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HP\Desktop\"/>
    </mc:Choice>
  </mc:AlternateContent>
  <bookViews>
    <workbookView xWindow="0" yWindow="0" windowWidth="25200" windowHeight="11850"/>
  </bookViews>
  <sheets>
    <sheet name="Rekapitulace" sheetId="5" r:id="rId1"/>
    <sheet name="Krycí list rozpočtu" sheetId="7" r:id="rId2"/>
    <sheet name="Slepý stavební rozpočet" sheetId="8" r:id="rId3"/>
    <sheet name="MaR" sheetId="6" r:id="rId4"/>
    <sheet name="VORN" sheetId="3" state="hidden" r:id="rId5"/>
    <sheet name="Stavební rozpočet" sheetId="4" state="hidden" r:id="rId6"/>
  </sheets>
  <externalReferences>
    <externalReference r:id="rId7"/>
  </externalReferences>
  <definedNames>
    <definedName name="_xlnm._FilterDatabase" localSheetId="3" hidden="1">MaR!$B$6:$K$202</definedName>
    <definedName name="_xlnm.Print_Titles" localSheetId="3">MaR!$6:$6</definedName>
    <definedName name="_xlnm.Print_Area" localSheetId="3">MaR!$A$1:$K$209</definedName>
    <definedName name="vorn_sum" localSheetId="1">[1]VORN!$I$45</definedName>
    <definedName name="vorn_sum" localSheetId="2">[1]VORN!$I$45</definedName>
    <definedName name="vorn_sum">VORN!$I$45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7" l="1"/>
  <c r="C28" i="7"/>
  <c r="C27" i="7"/>
  <c r="I19" i="7"/>
  <c r="I18" i="7"/>
  <c r="I17" i="7"/>
  <c r="I16" i="7"/>
  <c r="I15" i="7"/>
  <c r="I14" i="7"/>
  <c r="F16" i="7"/>
  <c r="F15" i="7"/>
  <c r="F14" i="7"/>
  <c r="C21" i="7"/>
  <c r="C20" i="7"/>
  <c r="C19" i="7"/>
  <c r="C18" i="7"/>
  <c r="C17" i="7"/>
  <c r="C16" i="7"/>
  <c r="C15" i="7"/>
  <c r="C14" i="7"/>
  <c r="BJ591" i="8"/>
  <c r="BH591" i="8"/>
  <c r="BF591" i="8"/>
  <c r="BD591" i="8"/>
  <c r="AP591" i="8"/>
  <c r="BI591" i="8" s="1"/>
  <c r="AO591" i="8"/>
  <c r="AW591" i="8" s="1"/>
  <c r="AH591" i="8"/>
  <c r="Z591" i="8"/>
  <c r="I591" i="8"/>
  <c r="BJ590" i="8"/>
  <c r="BF590" i="8"/>
  <c r="BD590" i="8"/>
  <c r="AX590" i="8"/>
  <c r="AP590" i="8"/>
  <c r="BI590" i="8" s="1"/>
  <c r="AE590" i="8" s="1"/>
  <c r="AO590" i="8"/>
  <c r="AL590" i="8"/>
  <c r="AH590" i="8"/>
  <c r="AG590" i="8"/>
  <c r="AC590" i="8"/>
  <c r="Z590" i="8"/>
  <c r="I590" i="8"/>
  <c r="BJ588" i="8"/>
  <c r="Z588" i="8" s="1"/>
  <c r="BH588" i="8"/>
  <c r="BF588" i="8"/>
  <c r="BD588" i="8"/>
  <c r="AX588" i="8"/>
  <c r="AW588" i="8"/>
  <c r="AP588" i="8"/>
  <c r="BI588" i="8" s="1"/>
  <c r="AE588" i="8" s="1"/>
  <c r="AO588" i="8"/>
  <c r="AH588" i="8"/>
  <c r="AG588" i="8"/>
  <c r="AC588" i="8"/>
  <c r="I588" i="8"/>
  <c r="BJ587" i="8"/>
  <c r="BF587" i="8"/>
  <c r="BD587" i="8"/>
  <c r="AW587" i="8"/>
  <c r="AP587" i="8"/>
  <c r="AO587" i="8"/>
  <c r="BH587" i="8" s="1"/>
  <c r="AL587" i="8"/>
  <c r="AK587" i="8"/>
  <c r="AJ587" i="8"/>
  <c r="AB587" i="8"/>
  <c r="I587" i="8"/>
  <c r="BJ586" i="8"/>
  <c r="AH586" i="8" s="1"/>
  <c r="BF586" i="8"/>
  <c r="BD586" i="8"/>
  <c r="AP586" i="8"/>
  <c r="AX586" i="8" s="1"/>
  <c r="AO586" i="8"/>
  <c r="Z586" i="8"/>
  <c r="I586" i="8"/>
  <c r="AL586" i="8" s="1"/>
  <c r="BJ585" i="8"/>
  <c r="BI585" i="8"/>
  <c r="BH585" i="8"/>
  <c r="BF585" i="8"/>
  <c r="BD585" i="8"/>
  <c r="AX585" i="8"/>
  <c r="BC585" i="8" s="1"/>
  <c r="AP585" i="8"/>
  <c r="AO585" i="8"/>
  <c r="AW585" i="8" s="1"/>
  <c r="AL585" i="8"/>
  <c r="AH585" i="8"/>
  <c r="Z585" i="8"/>
  <c r="I585" i="8"/>
  <c r="BJ584" i="8"/>
  <c r="Z584" i="8" s="1"/>
  <c r="BF584" i="8"/>
  <c r="BD584" i="8"/>
  <c r="AX584" i="8"/>
  <c r="AP584" i="8"/>
  <c r="BI584" i="8" s="1"/>
  <c r="AO584" i="8"/>
  <c r="BH584" i="8" s="1"/>
  <c r="AK584" i="8"/>
  <c r="AH584" i="8"/>
  <c r="AC584" i="8"/>
  <c r="I584" i="8"/>
  <c r="AJ584" i="8" s="1"/>
  <c r="BJ583" i="8"/>
  <c r="AH583" i="8" s="1"/>
  <c r="BI583" i="8"/>
  <c r="BF583" i="8"/>
  <c r="BD583" i="8"/>
  <c r="AW583" i="8"/>
  <c r="AV583" i="8" s="1"/>
  <c r="AP583" i="8"/>
  <c r="AX583" i="8" s="1"/>
  <c r="AO583" i="8"/>
  <c r="BH583" i="8" s="1"/>
  <c r="AL583" i="8"/>
  <c r="AK583" i="8"/>
  <c r="AJ583" i="8"/>
  <c r="AG583" i="8"/>
  <c r="Z583" i="8"/>
  <c r="I583" i="8"/>
  <c r="BJ582" i="8"/>
  <c r="BI582" i="8"/>
  <c r="BH582" i="8"/>
  <c r="BF582" i="8"/>
  <c r="BD582" i="8"/>
  <c r="AX582" i="8"/>
  <c r="BC582" i="8" s="1"/>
  <c r="AP582" i="8"/>
  <c r="AO582" i="8"/>
  <c r="AW582" i="8" s="1"/>
  <c r="AH582" i="8"/>
  <c r="Z582" i="8"/>
  <c r="I582" i="8"/>
  <c r="BJ581" i="8"/>
  <c r="BI581" i="8"/>
  <c r="BH581" i="8"/>
  <c r="BF581" i="8"/>
  <c r="BD581" i="8"/>
  <c r="AX581" i="8"/>
  <c r="AW581" i="8"/>
  <c r="AP581" i="8"/>
  <c r="AO581" i="8"/>
  <c r="AJ581" i="8"/>
  <c r="AH581" i="8"/>
  <c r="AG581" i="8"/>
  <c r="AE581" i="8"/>
  <c r="AD581" i="8"/>
  <c r="AC581" i="8"/>
  <c r="Z581" i="8"/>
  <c r="I581" i="8"/>
  <c r="AK581" i="8" s="1"/>
  <c r="BJ580" i="8"/>
  <c r="Z580" i="8" s="1"/>
  <c r="BF580" i="8"/>
  <c r="BD580" i="8"/>
  <c r="AX580" i="8"/>
  <c r="AP580" i="8"/>
  <c r="BI580" i="8" s="1"/>
  <c r="AE580" i="8" s="1"/>
  <c r="AO580" i="8"/>
  <c r="AK580" i="8"/>
  <c r="AG580" i="8"/>
  <c r="AC580" i="8"/>
  <c r="I580" i="8"/>
  <c r="AJ580" i="8" s="1"/>
  <c r="BJ579" i="8"/>
  <c r="AH579" i="8" s="1"/>
  <c r="BI579" i="8"/>
  <c r="BF579" i="8"/>
  <c r="BD579" i="8"/>
  <c r="AW579" i="8"/>
  <c r="BC579" i="8" s="1"/>
  <c r="AV579" i="8"/>
  <c r="AP579" i="8"/>
  <c r="AX579" i="8" s="1"/>
  <c r="AO579" i="8"/>
  <c r="BH579" i="8" s="1"/>
  <c r="AD579" i="8" s="1"/>
  <c r="AL579" i="8"/>
  <c r="AK579" i="8"/>
  <c r="AJ579" i="8"/>
  <c r="AF579" i="8"/>
  <c r="AB579" i="8"/>
  <c r="Z579" i="8"/>
  <c r="I579" i="8"/>
  <c r="BJ578" i="8"/>
  <c r="BI578" i="8"/>
  <c r="BH578" i="8"/>
  <c r="BF578" i="8"/>
  <c r="BD578" i="8"/>
  <c r="AX578" i="8"/>
  <c r="AV578" i="8"/>
  <c r="AP578" i="8"/>
  <c r="AO578" i="8"/>
  <c r="AW578" i="8" s="1"/>
  <c r="AK578" i="8"/>
  <c r="AJ578" i="8"/>
  <c r="AH578" i="8"/>
  <c r="AE578" i="8"/>
  <c r="Z578" i="8"/>
  <c r="I578" i="8"/>
  <c r="AL578" i="8" s="1"/>
  <c r="BJ577" i="8"/>
  <c r="BH577" i="8"/>
  <c r="BF577" i="8"/>
  <c r="BD577" i="8"/>
  <c r="AW577" i="8"/>
  <c r="AP577" i="8"/>
  <c r="AO577" i="8"/>
  <c r="AJ577" i="8"/>
  <c r="AH577" i="8"/>
  <c r="AD577" i="8"/>
  <c r="Z577" i="8"/>
  <c r="I577" i="8"/>
  <c r="AK577" i="8" s="1"/>
  <c r="BJ576" i="8"/>
  <c r="BH576" i="8"/>
  <c r="BF576" i="8"/>
  <c r="BD576" i="8"/>
  <c r="AX576" i="8"/>
  <c r="AW576" i="8"/>
  <c r="AP576" i="8"/>
  <c r="BI576" i="8" s="1"/>
  <c r="AE576" i="8" s="1"/>
  <c r="AO576" i="8"/>
  <c r="AG576" i="8"/>
  <c r="AC576" i="8"/>
  <c r="I576" i="8"/>
  <c r="BJ575" i="8"/>
  <c r="AH575" i="8" s="1"/>
  <c r="BF575" i="8"/>
  <c r="BD575" i="8"/>
  <c r="AW575" i="8"/>
  <c r="AP575" i="8"/>
  <c r="AO575" i="8"/>
  <c r="BH575" i="8" s="1"/>
  <c r="AD575" i="8" s="1"/>
  <c r="AL575" i="8"/>
  <c r="AK575" i="8"/>
  <c r="AJ575" i="8"/>
  <c r="AF575" i="8"/>
  <c r="AB575" i="8"/>
  <c r="Z575" i="8"/>
  <c r="I575" i="8"/>
  <c r="BJ574" i="8"/>
  <c r="Z574" i="8" s="1"/>
  <c r="BH574" i="8"/>
  <c r="AF574" i="8" s="1"/>
  <c r="BF574" i="8"/>
  <c r="BD574" i="8"/>
  <c r="AP574" i="8"/>
  <c r="AO574" i="8"/>
  <c r="AW574" i="8" s="1"/>
  <c r="AJ574" i="8"/>
  <c r="AH574" i="8"/>
  <c r="AD574" i="8"/>
  <c r="AB574" i="8"/>
  <c r="I574" i="8"/>
  <c r="AL574" i="8" s="1"/>
  <c r="BJ572" i="8"/>
  <c r="BI572" i="8"/>
  <c r="BF572" i="8"/>
  <c r="BD572" i="8"/>
  <c r="AX572" i="8"/>
  <c r="AP572" i="8"/>
  <c r="AO572" i="8"/>
  <c r="AL572" i="8"/>
  <c r="AH572" i="8"/>
  <c r="AE572" i="8"/>
  <c r="Z572" i="8"/>
  <c r="I572" i="8"/>
  <c r="BJ571" i="8"/>
  <c r="Z571" i="8" s="1"/>
  <c r="BH571" i="8"/>
  <c r="AB571" i="8" s="1"/>
  <c r="BF571" i="8"/>
  <c r="BD571" i="8"/>
  <c r="AX571" i="8"/>
  <c r="AW571" i="8"/>
  <c r="BC571" i="8" s="1"/>
  <c r="AV571" i="8"/>
  <c r="AP571" i="8"/>
  <c r="BI571" i="8" s="1"/>
  <c r="AO571" i="8"/>
  <c r="AK571" i="8"/>
  <c r="AH571" i="8"/>
  <c r="AF571" i="8"/>
  <c r="AD571" i="8"/>
  <c r="AC571" i="8"/>
  <c r="I571" i="8"/>
  <c r="AJ571" i="8" s="1"/>
  <c r="BJ570" i="8"/>
  <c r="BF570" i="8"/>
  <c r="BD570" i="8"/>
  <c r="AP570" i="8"/>
  <c r="AO570" i="8"/>
  <c r="AH570" i="8"/>
  <c r="Z570" i="8"/>
  <c r="I570" i="8"/>
  <c r="BJ569" i="8"/>
  <c r="BH569" i="8"/>
  <c r="BF569" i="8"/>
  <c r="BD569" i="8"/>
  <c r="AX569" i="8"/>
  <c r="AW569" i="8"/>
  <c r="AP569" i="8"/>
  <c r="BI569" i="8" s="1"/>
  <c r="AE569" i="8" s="1"/>
  <c r="AO569" i="8"/>
  <c r="AL569" i="8"/>
  <c r="AH569" i="8"/>
  <c r="AG569" i="8"/>
  <c r="AC569" i="8"/>
  <c r="Z569" i="8"/>
  <c r="I569" i="8"/>
  <c r="BJ568" i="8"/>
  <c r="BF568" i="8"/>
  <c r="BD568" i="8"/>
  <c r="AX568" i="8"/>
  <c r="AW568" i="8"/>
  <c r="BC568" i="8" s="1"/>
  <c r="AV568" i="8"/>
  <c r="AP568" i="8"/>
  <c r="BI568" i="8" s="1"/>
  <c r="AO568" i="8"/>
  <c r="BH568" i="8" s="1"/>
  <c r="AD568" i="8" s="1"/>
  <c r="AL568" i="8"/>
  <c r="AK568" i="8"/>
  <c r="AG568" i="8"/>
  <c r="AF568" i="8"/>
  <c r="AB568" i="8"/>
  <c r="I568" i="8"/>
  <c r="AJ568" i="8" s="1"/>
  <c r="BJ567" i="8"/>
  <c r="AH567" i="8" s="1"/>
  <c r="BF567" i="8"/>
  <c r="BD567" i="8"/>
  <c r="AW567" i="8"/>
  <c r="AP567" i="8"/>
  <c r="AO567" i="8"/>
  <c r="BH567" i="8" s="1"/>
  <c r="AD567" i="8" s="1"/>
  <c r="AL567" i="8"/>
  <c r="AK567" i="8"/>
  <c r="AJ567" i="8"/>
  <c r="AF567" i="8"/>
  <c r="AB567" i="8"/>
  <c r="Z567" i="8"/>
  <c r="I567" i="8"/>
  <c r="BJ566" i="8"/>
  <c r="BI566" i="8"/>
  <c r="BH566" i="8"/>
  <c r="BF566" i="8"/>
  <c r="BD566" i="8"/>
  <c r="AX566" i="8"/>
  <c r="BC566" i="8" s="1"/>
  <c r="AP566" i="8"/>
  <c r="AO566" i="8"/>
  <c r="AW566" i="8" s="1"/>
  <c r="AH566" i="8"/>
  <c r="Z566" i="8"/>
  <c r="I566" i="8"/>
  <c r="BJ565" i="8"/>
  <c r="BF565" i="8"/>
  <c r="BD565" i="8"/>
  <c r="AX565" i="8"/>
  <c r="AP565" i="8"/>
  <c r="BI565" i="8" s="1"/>
  <c r="AO565" i="8"/>
  <c r="AH565" i="8"/>
  <c r="AG565" i="8"/>
  <c r="Z565" i="8"/>
  <c r="I565" i="8"/>
  <c r="BJ564" i="8"/>
  <c r="BF564" i="8"/>
  <c r="BD564" i="8"/>
  <c r="AX564" i="8"/>
  <c r="AW564" i="8"/>
  <c r="AP564" i="8"/>
  <c r="BI564" i="8" s="1"/>
  <c r="AE564" i="8" s="1"/>
  <c r="AO564" i="8"/>
  <c r="BH564" i="8" s="1"/>
  <c r="AL564" i="8"/>
  <c r="AK564" i="8"/>
  <c r="AG564" i="8"/>
  <c r="AF564" i="8"/>
  <c r="AC564" i="8"/>
  <c r="I564" i="8"/>
  <c r="AJ564" i="8" s="1"/>
  <c r="BJ563" i="8"/>
  <c r="BI563" i="8"/>
  <c r="BF563" i="8"/>
  <c r="BD563" i="8"/>
  <c r="BC563" i="8"/>
  <c r="AW563" i="8"/>
  <c r="AP563" i="8"/>
  <c r="AX563" i="8" s="1"/>
  <c r="AV563" i="8" s="1"/>
  <c r="AO563" i="8"/>
  <c r="BH563" i="8" s="1"/>
  <c r="AL563" i="8"/>
  <c r="AK563" i="8"/>
  <c r="AJ563" i="8"/>
  <c r="AF563" i="8"/>
  <c r="I563" i="8"/>
  <c r="BJ562" i="8"/>
  <c r="BF562" i="8"/>
  <c r="BD562" i="8"/>
  <c r="AP562" i="8"/>
  <c r="AO562" i="8"/>
  <c r="AH562" i="8"/>
  <c r="Z562" i="8"/>
  <c r="I562" i="8"/>
  <c r="BJ560" i="8"/>
  <c r="BF560" i="8"/>
  <c r="BD560" i="8"/>
  <c r="AX560" i="8"/>
  <c r="AP560" i="8"/>
  <c r="BI560" i="8" s="1"/>
  <c r="AO560" i="8"/>
  <c r="AH560" i="8"/>
  <c r="Z560" i="8"/>
  <c r="I560" i="8"/>
  <c r="BJ559" i="8"/>
  <c r="BF559" i="8"/>
  <c r="BD559" i="8"/>
  <c r="AX559" i="8"/>
  <c r="AW559" i="8"/>
  <c r="AP559" i="8"/>
  <c r="BI559" i="8" s="1"/>
  <c r="AE559" i="8" s="1"/>
  <c r="AO559" i="8"/>
  <c r="BH559" i="8" s="1"/>
  <c r="AL559" i="8"/>
  <c r="AK559" i="8"/>
  <c r="AG559" i="8"/>
  <c r="AF559" i="8"/>
  <c r="AC559" i="8"/>
  <c r="I559" i="8"/>
  <c r="AJ559" i="8" s="1"/>
  <c r="BJ558" i="8"/>
  <c r="BI558" i="8"/>
  <c r="BF558" i="8"/>
  <c r="BD558" i="8"/>
  <c r="BC558" i="8"/>
  <c r="AW558" i="8"/>
  <c r="AP558" i="8"/>
  <c r="AX558" i="8" s="1"/>
  <c r="AV558" i="8" s="1"/>
  <c r="AO558" i="8"/>
  <c r="BH558" i="8" s="1"/>
  <c r="AK558" i="8"/>
  <c r="AJ558" i="8"/>
  <c r="AB558" i="8"/>
  <c r="I558" i="8"/>
  <c r="AL558" i="8" s="1"/>
  <c r="BJ557" i="8"/>
  <c r="BI557" i="8"/>
  <c r="BF557" i="8"/>
  <c r="BD557" i="8"/>
  <c r="AP557" i="8"/>
  <c r="AX557" i="8" s="1"/>
  <c r="AO557" i="8"/>
  <c r="AJ557" i="8"/>
  <c r="AH557" i="8"/>
  <c r="Z557" i="8"/>
  <c r="I557" i="8"/>
  <c r="BJ556" i="8"/>
  <c r="BH556" i="8"/>
  <c r="BF556" i="8"/>
  <c r="BD556" i="8"/>
  <c r="AX556" i="8"/>
  <c r="AW556" i="8"/>
  <c r="AP556" i="8"/>
  <c r="BI556" i="8" s="1"/>
  <c r="AO556" i="8"/>
  <c r="AH556" i="8"/>
  <c r="Z556" i="8"/>
  <c r="I556" i="8"/>
  <c r="BJ555" i="8"/>
  <c r="BF555" i="8"/>
  <c r="BD555" i="8"/>
  <c r="AX555" i="8"/>
  <c r="AP555" i="8"/>
  <c r="BI555" i="8" s="1"/>
  <c r="AO555" i="8"/>
  <c r="AH555" i="8"/>
  <c r="Z555" i="8"/>
  <c r="I555" i="8"/>
  <c r="BJ554" i="8"/>
  <c r="BF554" i="8"/>
  <c r="BD554" i="8"/>
  <c r="AX554" i="8"/>
  <c r="AP554" i="8"/>
  <c r="BI554" i="8" s="1"/>
  <c r="AE554" i="8" s="1"/>
  <c r="AO554" i="8"/>
  <c r="AL554" i="8"/>
  <c r="AH554" i="8"/>
  <c r="AG554" i="8"/>
  <c r="AC554" i="8"/>
  <c r="Z554" i="8"/>
  <c r="I554" i="8"/>
  <c r="BJ552" i="8"/>
  <c r="BF552" i="8"/>
  <c r="BD552" i="8"/>
  <c r="AX552" i="8"/>
  <c r="AW552" i="8"/>
  <c r="BC552" i="8" s="1"/>
  <c r="AV552" i="8"/>
  <c r="AP552" i="8"/>
  <c r="BI552" i="8" s="1"/>
  <c r="AO552" i="8"/>
  <c r="BH552" i="8" s="1"/>
  <c r="AL552" i="8"/>
  <c r="AK552" i="8"/>
  <c r="AT551" i="8" s="1"/>
  <c r="AG552" i="8"/>
  <c r="AF552" i="8"/>
  <c r="I552" i="8"/>
  <c r="AJ552" i="8" s="1"/>
  <c r="AS551" i="8" s="1"/>
  <c r="AU551" i="8"/>
  <c r="I551" i="8"/>
  <c r="BJ550" i="8"/>
  <c r="BI550" i="8"/>
  <c r="BF550" i="8"/>
  <c r="BD550" i="8"/>
  <c r="BC550" i="8"/>
  <c r="AW550" i="8"/>
  <c r="AP550" i="8"/>
  <c r="AX550" i="8" s="1"/>
  <c r="AV550" i="8" s="1"/>
  <c r="AO550" i="8"/>
  <c r="BH550" i="8" s="1"/>
  <c r="AL550" i="8"/>
  <c r="AK550" i="8"/>
  <c r="AJ550" i="8"/>
  <c r="AF550" i="8"/>
  <c r="I550" i="8"/>
  <c r="BJ549" i="8"/>
  <c r="BF549" i="8"/>
  <c r="BD549" i="8"/>
  <c r="AP549" i="8"/>
  <c r="AO549" i="8"/>
  <c r="AH549" i="8"/>
  <c r="Z549" i="8"/>
  <c r="I549" i="8"/>
  <c r="BJ548" i="8"/>
  <c r="BH548" i="8"/>
  <c r="BF548" i="8"/>
  <c r="BD548" i="8"/>
  <c r="AX548" i="8"/>
  <c r="AW548" i="8"/>
  <c r="AP548" i="8"/>
  <c r="BI548" i="8" s="1"/>
  <c r="AE548" i="8" s="1"/>
  <c r="AO548" i="8"/>
  <c r="AL548" i="8"/>
  <c r="AH548" i="8"/>
  <c r="AG548" i="8"/>
  <c r="AC548" i="8"/>
  <c r="Z548" i="8"/>
  <c r="I548" i="8"/>
  <c r="BJ547" i="8"/>
  <c r="BF547" i="8"/>
  <c r="BD547" i="8"/>
  <c r="AX547" i="8"/>
  <c r="AW547" i="8"/>
  <c r="BC547" i="8" s="1"/>
  <c r="AV547" i="8"/>
  <c r="AP547" i="8"/>
  <c r="BI547" i="8" s="1"/>
  <c r="AO547" i="8"/>
  <c r="BH547" i="8" s="1"/>
  <c r="AD547" i="8" s="1"/>
  <c r="AL547" i="8"/>
  <c r="AK547" i="8"/>
  <c r="AG547" i="8"/>
  <c r="AF547" i="8"/>
  <c r="AB547" i="8"/>
  <c r="I547" i="8"/>
  <c r="AJ547" i="8" s="1"/>
  <c r="BJ546" i="8"/>
  <c r="AH546" i="8" s="1"/>
  <c r="BF546" i="8"/>
  <c r="BD546" i="8"/>
  <c r="AW546" i="8"/>
  <c r="AP546" i="8"/>
  <c r="AO546" i="8"/>
  <c r="BH546" i="8" s="1"/>
  <c r="AD546" i="8" s="1"/>
  <c r="AL546" i="8"/>
  <c r="AK546" i="8"/>
  <c r="AJ546" i="8"/>
  <c r="AF546" i="8"/>
  <c r="AB546" i="8"/>
  <c r="Z546" i="8"/>
  <c r="I546" i="8"/>
  <c r="BJ545" i="8"/>
  <c r="BI545" i="8"/>
  <c r="BH545" i="8"/>
  <c r="BF545" i="8"/>
  <c r="BD545" i="8"/>
  <c r="AX545" i="8"/>
  <c r="BC545" i="8" s="1"/>
  <c r="AP545" i="8"/>
  <c r="AO545" i="8"/>
  <c r="AW545" i="8" s="1"/>
  <c r="AH545" i="8"/>
  <c r="Z545" i="8"/>
  <c r="I545" i="8"/>
  <c r="BJ544" i="8"/>
  <c r="BF544" i="8"/>
  <c r="BD544" i="8"/>
  <c r="AX544" i="8"/>
  <c r="AP544" i="8"/>
  <c r="BI544" i="8" s="1"/>
  <c r="AO544" i="8"/>
  <c r="AH544" i="8"/>
  <c r="AG544" i="8"/>
  <c r="Z544" i="8"/>
  <c r="I544" i="8"/>
  <c r="BJ543" i="8"/>
  <c r="BF543" i="8"/>
  <c r="BD543" i="8"/>
  <c r="AX543" i="8"/>
  <c r="AW543" i="8"/>
  <c r="AP543" i="8"/>
  <c r="BI543" i="8" s="1"/>
  <c r="AE543" i="8" s="1"/>
  <c r="AO543" i="8"/>
  <c r="BH543" i="8" s="1"/>
  <c r="AL543" i="8"/>
  <c r="AK543" i="8"/>
  <c r="AG543" i="8"/>
  <c r="AF543" i="8"/>
  <c r="AC543" i="8"/>
  <c r="I543" i="8"/>
  <c r="AJ543" i="8" s="1"/>
  <c r="BJ542" i="8"/>
  <c r="BI542" i="8"/>
  <c r="BF542" i="8"/>
  <c r="BD542" i="8"/>
  <c r="BC542" i="8"/>
  <c r="AW542" i="8"/>
  <c r="AP542" i="8"/>
  <c r="AX542" i="8" s="1"/>
  <c r="AV542" i="8" s="1"/>
  <c r="AO542" i="8"/>
  <c r="BH542" i="8" s="1"/>
  <c r="AL542" i="8"/>
  <c r="AK542" i="8"/>
  <c r="AJ542" i="8"/>
  <c r="AF542" i="8"/>
  <c r="I542" i="8"/>
  <c r="BJ541" i="8"/>
  <c r="BF541" i="8"/>
  <c r="BD541" i="8"/>
  <c r="AP541" i="8"/>
  <c r="AO541" i="8"/>
  <c r="AH541" i="8"/>
  <c r="Z541" i="8"/>
  <c r="I541" i="8"/>
  <c r="BJ540" i="8"/>
  <c r="BH540" i="8"/>
  <c r="BF540" i="8"/>
  <c r="BD540" i="8"/>
  <c r="AX540" i="8"/>
  <c r="AW540" i="8"/>
  <c r="AP540" i="8"/>
  <c r="BI540" i="8" s="1"/>
  <c r="AE540" i="8" s="1"/>
  <c r="AO540" i="8"/>
  <c r="AL540" i="8"/>
  <c r="AH540" i="8"/>
  <c r="AG540" i="8"/>
  <c r="AC540" i="8"/>
  <c r="Z540" i="8"/>
  <c r="I540" i="8"/>
  <c r="BJ539" i="8"/>
  <c r="BF539" i="8"/>
  <c r="BD539" i="8"/>
  <c r="AX539" i="8"/>
  <c r="AW539" i="8"/>
  <c r="BC539" i="8" s="1"/>
  <c r="AV539" i="8"/>
  <c r="AP539" i="8"/>
  <c r="BI539" i="8" s="1"/>
  <c r="AO539" i="8"/>
  <c r="BH539" i="8" s="1"/>
  <c r="AD539" i="8" s="1"/>
  <c r="AL539" i="8"/>
  <c r="AK539" i="8"/>
  <c r="AG539" i="8"/>
  <c r="AF539" i="8"/>
  <c r="AB539" i="8"/>
  <c r="I539" i="8"/>
  <c r="AJ539" i="8" s="1"/>
  <c r="BJ538" i="8"/>
  <c r="AH538" i="8" s="1"/>
  <c r="BF538" i="8"/>
  <c r="BD538" i="8"/>
  <c r="AW538" i="8"/>
  <c r="AP538" i="8"/>
  <c r="AO538" i="8"/>
  <c r="BH538" i="8" s="1"/>
  <c r="AD538" i="8" s="1"/>
  <c r="AL538" i="8"/>
  <c r="AK538" i="8"/>
  <c r="AJ538" i="8"/>
  <c r="AF538" i="8"/>
  <c r="AB538" i="8"/>
  <c r="Z538" i="8"/>
  <c r="I538" i="8"/>
  <c r="BJ537" i="8"/>
  <c r="BI537" i="8"/>
  <c r="BH537" i="8"/>
  <c r="BF537" i="8"/>
  <c r="BD537" i="8"/>
  <c r="BC537" i="8"/>
  <c r="AX537" i="8"/>
  <c r="AP537" i="8"/>
  <c r="AO537" i="8"/>
  <c r="AW537" i="8" s="1"/>
  <c r="AJ537" i="8"/>
  <c r="AH537" i="8"/>
  <c r="Z537" i="8"/>
  <c r="I537" i="8"/>
  <c r="BJ536" i="8"/>
  <c r="BF536" i="8"/>
  <c r="BD536" i="8"/>
  <c r="AX536" i="8"/>
  <c r="AP536" i="8"/>
  <c r="BI536" i="8" s="1"/>
  <c r="AO536" i="8"/>
  <c r="AH536" i="8"/>
  <c r="Z536" i="8"/>
  <c r="I536" i="8"/>
  <c r="BJ535" i="8"/>
  <c r="BF535" i="8"/>
  <c r="BD535" i="8"/>
  <c r="AX535" i="8"/>
  <c r="AW535" i="8"/>
  <c r="AP535" i="8"/>
  <c r="BI535" i="8" s="1"/>
  <c r="AE535" i="8" s="1"/>
  <c r="AO535" i="8"/>
  <c r="BH535" i="8" s="1"/>
  <c r="AL535" i="8"/>
  <c r="AK535" i="8"/>
  <c r="AG535" i="8"/>
  <c r="AF535" i="8"/>
  <c r="AC535" i="8"/>
  <c r="I535" i="8"/>
  <c r="AJ535" i="8" s="1"/>
  <c r="BJ534" i="8"/>
  <c r="BI534" i="8"/>
  <c r="BF534" i="8"/>
  <c r="BD534" i="8"/>
  <c r="BC534" i="8"/>
  <c r="AW534" i="8"/>
  <c r="AP534" i="8"/>
  <c r="AX534" i="8" s="1"/>
  <c r="AV534" i="8" s="1"/>
  <c r="AO534" i="8"/>
  <c r="BH534" i="8" s="1"/>
  <c r="AL534" i="8"/>
  <c r="AK534" i="8"/>
  <c r="AJ534" i="8"/>
  <c r="AF534" i="8"/>
  <c r="AE534" i="8"/>
  <c r="I534" i="8"/>
  <c r="BJ533" i="8"/>
  <c r="BF533" i="8"/>
  <c r="BD533" i="8"/>
  <c r="AP533" i="8"/>
  <c r="AO533" i="8"/>
  <c r="AH533" i="8"/>
  <c r="Z533" i="8"/>
  <c r="I533" i="8"/>
  <c r="BJ531" i="8"/>
  <c r="BF531" i="8"/>
  <c r="BD531" i="8"/>
  <c r="AX531" i="8"/>
  <c r="AP531" i="8"/>
  <c r="BI531" i="8" s="1"/>
  <c r="AO531" i="8"/>
  <c r="AH531" i="8"/>
  <c r="Z531" i="8"/>
  <c r="I531" i="8"/>
  <c r="BJ529" i="8"/>
  <c r="BF529" i="8"/>
  <c r="BD529" i="8"/>
  <c r="AX529" i="8"/>
  <c r="AW529" i="8"/>
  <c r="BC529" i="8" s="1"/>
  <c r="AV529" i="8"/>
  <c r="AP529" i="8"/>
  <c r="BI529" i="8" s="1"/>
  <c r="AO529" i="8"/>
  <c r="BH529" i="8" s="1"/>
  <c r="AD529" i="8" s="1"/>
  <c r="AL529" i="8"/>
  <c r="AK529" i="8"/>
  <c r="AG529" i="8"/>
  <c r="AF529" i="8"/>
  <c r="AB529" i="8"/>
  <c r="I529" i="8"/>
  <c r="AJ529" i="8" s="1"/>
  <c r="BJ528" i="8"/>
  <c r="AH528" i="8" s="1"/>
  <c r="BF528" i="8"/>
  <c r="BD528" i="8"/>
  <c r="AW528" i="8"/>
  <c r="AP528" i="8"/>
  <c r="AO528" i="8"/>
  <c r="BH528" i="8" s="1"/>
  <c r="AD528" i="8" s="1"/>
  <c r="AL528" i="8"/>
  <c r="AK528" i="8"/>
  <c r="AJ528" i="8"/>
  <c r="AF528" i="8"/>
  <c r="AB528" i="8"/>
  <c r="Z528" i="8"/>
  <c r="I528" i="8"/>
  <c r="BJ527" i="8"/>
  <c r="Z527" i="8" s="1"/>
  <c r="BH527" i="8"/>
  <c r="AF527" i="8" s="1"/>
  <c r="BF527" i="8"/>
  <c r="BD527" i="8"/>
  <c r="AP527" i="8"/>
  <c r="AO527" i="8"/>
  <c r="AW527" i="8" s="1"/>
  <c r="AJ527" i="8"/>
  <c r="AH527" i="8"/>
  <c r="AD527" i="8"/>
  <c r="AB527" i="8"/>
  <c r="I527" i="8"/>
  <c r="AL527" i="8" s="1"/>
  <c r="BJ526" i="8"/>
  <c r="BF526" i="8"/>
  <c r="BD526" i="8"/>
  <c r="AP526" i="8"/>
  <c r="AX526" i="8" s="1"/>
  <c r="AO526" i="8"/>
  <c r="AJ526" i="8"/>
  <c r="AH526" i="8"/>
  <c r="Z526" i="8"/>
  <c r="I526" i="8"/>
  <c r="AK526" i="8" s="1"/>
  <c r="BJ525" i="8"/>
  <c r="Z525" i="8" s="1"/>
  <c r="BH525" i="8"/>
  <c r="AB525" i="8" s="1"/>
  <c r="BF525" i="8"/>
  <c r="BD525" i="8"/>
  <c r="AX525" i="8"/>
  <c r="AW525" i="8"/>
  <c r="BC525" i="8" s="1"/>
  <c r="AV525" i="8"/>
  <c r="AP525" i="8"/>
  <c r="BI525" i="8" s="1"/>
  <c r="AE525" i="8" s="1"/>
  <c r="AO525" i="8"/>
  <c r="AG525" i="8"/>
  <c r="AD525" i="8"/>
  <c r="AC525" i="8"/>
  <c r="I525" i="8"/>
  <c r="BJ524" i="8"/>
  <c r="BF524" i="8"/>
  <c r="BD524" i="8"/>
  <c r="AW524" i="8"/>
  <c r="AP524" i="8"/>
  <c r="AO524" i="8"/>
  <c r="BH524" i="8" s="1"/>
  <c r="AL524" i="8"/>
  <c r="AK524" i="8"/>
  <c r="AJ524" i="8"/>
  <c r="I524" i="8"/>
  <c r="BJ523" i="8"/>
  <c r="BI523" i="8"/>
  <c r="BF523" i="8"/>
  <c r="BD523" i="8"/>
  <c r="AP523" i="8"/>
  <c r="AX523" i="8" s="1"/>
  <c r="AO523" i="8"/>
  <c r="I523" i="8"/>
  <c r="BJ522" i="8"/>
  <c r="BF522" i="8"/>
  <c r="BD522" i="8"/>
  <c r="AX522" i="8"/>
  <c r="AP522" i="8"/>
  <c r="BI522" i="8" s="1"/>
  <c r="AE522" i="8" s="1"/>
  <c r="AO522" i="8"/>
  <c r="AL522" i="8"/>
  <c r="AH522" i="8"/>
  <c r="AG522" i="8"/>
  <c r="AC522" i="8"/>
  <c r="Z522" i="8"/>
  <c r="I522" i="8"/>
  <c r="BJ521" i="8"/>
  <c r="BF521" i="8"/>
  <c r="BD521" i="8"/>
  <c r="AX521" i="8"/>
  <c r="AW521" i="8"/>
  <c r="BC521" i="8" s="1"/>
  <c r="AV521" i="8"/>
  <c r="AP521" i="8"/>
  <c r="BI521" i="8" s="1"/>
  <c r="AE521" i="8" s="1"/>
  <c r="AO521" i="8"/>
  <c r="BH521" i="8" s="1"/>
  <c r="AD521" i="8" s="1"/>
  <c r="AL521" i="8"/>
  <c r="AK521" i="8"/>
  <c r="AG521" i="8"/>
  <c r="AF521" i="8"/>
  <c r="AC521" i="8"/>
  <c r="AB521" i="8"/>
  <c r="I521" i="8"/>
  <c r="AJ521" i="8" s="1"/>
  <c r="BR518" i="8"/>
  <c r="BJ518" i="8"/>
  <c r="BH518" i="8"/>
  <c r="BF518" i="8"/>
  <c r="BD518" i="8"/>
  <c r="AX518" i="8"/>
  <c r="AW518" i="8"/>
  <c r="AP518" i="8"/>
  <c r="BI518" i="8" s="1"/>
  <c r="AO518" i="8"/>
  <c r="AH518" i="8"/>
  <c r="Z518" i="8"/>
  <c r="I518" i="8"/>
  <c r="BJ515" i="8"/>
  <c r="BF515" i="8"/>
  <c r="BD515" i="8"/>
  <c r="AX515" i="8"/>
  <c r="AP515" i="8"/>
  <c r="BI515" i="8" s="1"/>
  <c r="AE515" i="8" s="1"/>
  <c r="AO515" i="8"/>
  <c r="AL515" i="8"/>
  <c r="AH515" i="8"/>
  <c r="AG515" i="8"/>
  <c r="AC515" i="8"/>
  <c r="Z515" i="8"/>
  <c r="I515" i="8"/>
  <c r="BJ514" i="8"/>
  <c r="BF514" i="8"/>
  <c r="BD514" i="8"/>
  <c r="AX514" i="8"/>
  <c r="AW514" i="8"/>
  <c r="BC514" i="8" s="1"/>
  <c r="AV514" i="8"/>
  <c r="AP514" i="8"/>
  <c r="BI514" i="8" s="1"/>
  <c r="AE514" i="8" s="1"/>
  <c r="AO514" i="8"/>
  <c r="BH514" i="8" s="1"/>
  <c r="AD514" i="8" s="1"/>
  <c r="AL514" i="8"/>
  <c r="AK514" i="8"/>
  <c r="AG514" i="8"/>
  <c r="AF514" i="8"/>
  <c r="AC514" i="8"/>
  <c r="AB514" i="8"/>
  <c r="I514" i="8"/>
  <c r="AJ514" i="8" s="1"/>
  <c r="BJ512" i="8"/>
  <c r="BF512" i="8"/>
  <c r="BD512" i="8"/>
  <c r="AP512" i="8"/>
  <c r="AX512" i="8" s="1"/>
  <c r="AO512" i="8"/>
  <c r="BH512" i="8" s="1"/>
  <c r="AK512" i="8"/>
  <c r="AJ512" i="8"/>
  <c r="I512" i="8"/>
  <c r="AL512" i="8" s="1"/>
  <c r="BJ511" i="8"/>
  <c r="BI511" i="8"/>
  <c r="BF511" i="8"/>
  <c r="BD511" i="8"/>
  <c r="AP511" i="8"/>
  <c r="AX511" i="8" s="1"/>
  <c r="AO511" i="8"/>
  <c r="AJ511" i="8"/>
  <c r="AH511" i="8"/>
  <c r="Z511" i="8"/>
  <c r="I511" i="8"/>
  <c r="BJ510" i="8"/>
  <c r="BH510" i="8"/>
  <c r="BF510" i="8"/>
  <c r="BD510" i="8"/>
  <c r="AX510" i="8"/>
  <c r="AW510" i="8"/>
  <c r="AP510" i="8"/>
  <c r="BI510" i="8" s="1"/>
  <c r="AO510" i="8"/>
  <c r="AH510" i="8"/>
  <c r="Z510" i="8"/>
  <c r="I510" i="8"/>
  <c r="BJ509" i="8"/>
  <c r="BF509" i="8"/>
  <c r="BD509" i="8"/>
  <c r="AX509" i="8"/>
  <c r="AW509" i="8"/>
  <c r="BC509" i="8" s="1"/>
  <c r="AV509" i="8"/>
  <c r="AP509" i="8"/>
  <c r="BI509" i="8" s="1"/>
  <c r="AO509" i="8"/>
  <c r="BH509" i="8" s="1"/>
  <c r="AL509" i="8"/>
  <c r="AK509" i="8"/>
  <c r="AG509" i="8"/>
  <c r="AF509" i="8"/>
  <c r="I509" i="8"/>
  <c r="AJ509" i="8" s="1"/>
  <c r="BJ508" i="8"/>
  <c r="AH508" i="8" s="1"/>
  <c r="BF508" i="8"/>
  <c r="BD508" i="8"/>
  <c r="AW508" i="8"/>
  <c r="AP508" i="8"/>
  <c r="AO508" i="8"/>
  <c r="BH508" i="8" s="1"/>
  <c r="AL508" i="8"/>
  <c r="AK508" i="8"/>
  <c r="AJ508" i="8"/>
  <c r="AF508" i="8"/>
  <c r="I508" i="8"/>
  <c r="BJ507" i="8"/>
  <c r="BH507" i="8"/>
  <c r="BF507" i="8"/>
  <c r="BD507" i="8"/>
  <c r="AX507" i="8"/>
  <c r="BC507" i="8" s="1"/>
  <c r="AP507" i="8"/>
  <c r="BI507" i="8" s="1"/>
  <c r="AO507" i="8"/>
  <c r="AW507" i="8" s="1"/>
  <c r="AH507" i="8"/>
  <c r="AE507" i="8"/>
  <c r="Z507" i="8"/>
  <c r="I507" i="8"/>
  <c r="BJ506" i="8"/>
  <c r="BF506" i="8"/>
  <c r="BD506" i="8"/>
  <c r="AX506" i="8"/>
  <c r="AP506" i="8"/>
  <c r="BI506" i="8" s="1"/>
  <c r="AE506" i="8" s="1"/>
  <c r="AO506" i="8"/>
  <c r="AL506" i="8"/>
  <c r="AH506" i="8"/>
  <c r="AG506" i="8"/>
  <c r="AC506" i="8"/>
  <c r="Z506" i="8"/>
  <c r="I506" i="8"/>
  <c r="BJ505" i="8"/>
  <c r="BF505" i="8"/>
  <c r="BD505" i="8"/>
  <c r="AX505" i="8"/>
  <c r="AW505" i="8"/>
  <c r="AP505" i="8"/>
  <c r="BI505" i="8" s="1"/>
  <c r="AE505" i="8" s="1"/>
  <c r="AO505" i="8"/>
  <c r="BH505" i="8" s="1"/>
  <c r="AD505" i="8" s="1"/>
  <c r="AL505" i="8"/>
  <c r="AK505" i="8"/>
  <c r="AG505" i="8"/>
  <c r="AF505" i="8"/>
  <c r="AC505" i="8"/>
  <c r="AB505" i="8"/>
  <c r="I505" i="8"/>
  <c r="AJ505" i="8" s="1"/>
  <c r="BJ504" i="8"/>
  <c r="AH504" i="8" s="1"/>
  <c r="BI504" i="8"/>
  <c r="BF504" i="8"/>
  <c r="BD504" i="8"/>
  <c r="BC504" i="8"/>
  <c r="AW504" i="8"/>
  <c r="AV504" i="8"/>
  <c r="AP504" i="8"/>
  <c r="AX504" i="8" s="1"/>
  <c r="AO504" i="8"/>
  <c r="BH504" i="8" s="1"/>
  <c r="AD504" i="8" s="1"/>
  <c r="AL504" i="8"/>
  <c r="AK504" i="8"/>
  <c r="AJ504" i="8"/>
  <c r="AF504" i="8"/>
  <c r="AE504" i="8"/>
  <c r="AB504" i="8"/>
  <c r="I504" i="8"/>
  <c r="BJ503" i="8"/>
  <c r="BI503" i="8"/>
  <c r="BF503" i="8"/>
  <c r="BD503" i="8"/>
  <c r="AP503" i="8"/>
  <c r="AX503" i="8" s="1"/>
  <c r="AO503" i="8"/>
  <c r="AJ503" i="8"/>
  <c r="AH503" i="8"/>
  <c r="Z503" i="8"/>
  <c r="I503" i="8"/>
  <c r="BJ502" i="8"/>
  <c r="BH502" i="8"/>
  <c r="BF502" i="8"/>
  <c r="BD502" i="8"/>
  <c r="AX502" i="8"/>
  <c r="AW502" i="8"/>
  <c r="AP502" i="8"/>
  <c r="BI502" i="8" s="1"/>
  <c r="AO502" i="8"/>
  <c r="AH502" i="8"/>
  <c r="Z502" i="8"/>
  <c r="I502" i="8"/>
  <c r="BJ501" i="8"/>
  <c r="BF501" i="8"/>
  <c r="BD501" i="8"/>
  <c r="AX501" i="8"/>
  <c r="AW501" i="8"/>
  <c r="BC501" i="8" s="1"/>
  <c r="AV501" i="8"/>
  <c r="AP501" i="8"/>
  <c r="BI501" i="8" s="1"/>
  <c r="AO501" i="8"/>
  <c r="BH501" i="8" s="1"/>
  <c r="AL501" i="8"/>
  <c r="AK501" i="8"/>
  <c r="AG501" i="8"/>
  <c r="AF501" i="8"/>
  <c r="I501" i="8"/>
  <c r="AJ501" i="8" s="1"/>
  <c r="BJ500" i="8"/>
  <c r="BF500" i="8"/>
  <c r="BD500" i="8"/>
  <c r="AW500" i="8"/>
  <c r="AP500" i="8"/>
  <c r="AO500" i="8"/>
  <c r="BH500" i="8" s="1"/>
  <c r="AL500" i="8"/>
  <c r="AK500" i="8"/>
  <c r="AJ500" i="8"/>
  <c r="AF500" i="8"/>
  <c r="I500" i="8"/>
  <c r="BJ499" i="8"/>
  <c r="BH499" i="8"/>
  <c r="BF499" i="8"/>
  <c r="BD499" i="8"/>
  <c r="AX499" i="8"/>
  <c r="BC499" i="8" s="1"/>
  <c r="AP499" i="8"/>
  <c r="BI499" i="8" s="1"/>
  <c r="AO499" i="8"/>
  <c r="AW499" i="8" s="1"/>
  <c r="AH499" i="8"/>
  <c r="AE499" i="8"/>
  <c r="Z499" i="8"/>
  <c r="I499" i="8"/>
  <c r="BJ498" i="8"/>
  <c r="BF498" i="8"/>
  <c r="BD498" i="8"/>
  <c r="AX498" i="8"/>
  <c r="AP498" i="8"/>
  <c r="BI498" i="8" s="1"/>
  <c r="AE498" i="8" s="1"/>
  <c r="AO498" i="8"/>
  <c r="AL498" i="8"/>
  <c r="AH498" i="8"/>
  <c r="AG498" i="8"/>
  <c r="AC498" i="8"/>
  <c r="Z498" i="8"/>
  <c r="I498" i="8"/>
  <c r="BJ496" i="8"/>
  <c r="BF496" i="8"/>
  <c r="BD496" i="8"/>
  <c r="AX496" i="8"/>
  <c r="AW496" i="8"/>
  <c r="BC496" i="8" s="1"/>
  <c r="AV496" i="8"/>
  <c r="AP496" i="8"/>
  <c r="BI496" i="8" s="1"/>
  <c r="AO496" i="8"/>
  <c r="BH496" i="8" s="1"/>
  <c r="AL496" i="8"/>
  <c r="AK496" i="8"/>
  <c r="AG496" i="8"/>
  <c r="AF496" i="8"/>
  <c r="I496" i="8"/>
  <c r="AJ496" i="8" s="1"/>
  <c r="BJ495" i="8"/>
  <c r="BF495" i="8"/>
  <c r="BD495" i="8"/>
  <c r="AW495" i="8"/>
  <c r="AP495" i="8"/>
  <c r="AO495" i="8"/>
  <c r="BH495" i="8" s="1"/>
  <c r="AL495" i="8"/>
  <c r="AK495" i="8"/>
  <c r="AJ495" i="8"/>
  <c r="AF495" i="8"/>
  <c r="I495" i="8"/>
  <c r="BJ494" i="8"/>
  <c r="BH494" i="8"/>
  <c r="BF494" i="8"/>
  <c r="BD494" i="8"/>
  <c r="AX494" i="8"/>
  <c r="BC494" i="8" s="1"/>
  <c r="AP494" i="8"/>
  <c r="BI494" i="8" s="1"/>
  <c r="AO494" i="8"/>
  <c r="AW494" i="8" s="1"/>
  <c r="AH494" i="8"/>
  <c r="AE494" i="8"/>
  <c r="Z494" i="8"/>
  <c r="I494" i="8"/>
  <c r="BJ493" i="8"/>
  <c r="BF493" i="8"/>
  <c r="BD493" i="8"/>
  <c r="AX493" i="8"/>
  <c r="AP493" i="8"/>
  <c r="BI493" i="8" s="1"/>
  <c r="AE493" i="8" s="1"/>
  <c r="AO493" i="8"/>
  <c r="AL493" i="8"/>
  <c r="AH493" i="8"/>
  <c r="AG493" i="8"/>
  <c r="AC493" i="8"/>
  <c r="Z493" i="8"/>
  <c r="I493" i="8"/>
  <c r="BJ492" i="8"/>
  <c r="BF492" i="8"/>
  <c r="BD492" i="8"/>
  <c r="AX492" i="8"/>
  <c r="AW492" i="8"/>
  <c r="AP492" i="8"/>
  <c r="BI492" i="8" s="1"/>
  <c r="AE492" i="8" s="1"/>
  <c r="AO492" i="8"/>
  <c r="BH492" i="8" s="1"/>
  <c r="AD492" i="8" s="1"/>
  <c r="AL492" i="8"/>
  <c r="AK492" i="8"/>
  <c r="AG492" i="8"/>
  <c r="AF492" i="8"/>
  <c r="AC492" i="8"/>
  <c r="AB492" i="8"/>
  <c r="I492" i="8"/>
  <c r="AJ492" i="8" s="1"/>
  <c r="BJ491" i="8"/>
  <c r="AH491" i="8" s="1"/>
  <c r="BI491" i="8"/>
  <c r="BF491" i="8"/>
  <c r="BD491" i="8"/>
  <c r="BC491" i="8"/>
  <c r="AW491" i="8"/>
  <c r="AV491" i="8"/>
  <c r="AP491" i="8"/>
  <c r="AX491" i="8" s="1"/>
  <c r="AO491" i="8"/>
  <c r="BH491" i="8" s="1"/>
  <c r="AD491" i="8" s="1"/>
  <c r="AL491" i="8"/>
  <c r="AK491" i="8"/>
  <c r="AJ491" i="8"/>
  <c r="AF491" i="8"/>
  <c r="AE491" i="8"/>
  <c r="AB491" i="8"/>
  <c r="I491" i="8"/>
  <c r="BJ490" i="8"/>
  <c r="BI490" i="8"/>
  <c r="BF490" i="8"/>
  <c r="BD490" i="8"/>
  <c r="AP490" i="8"/>
  <c r="AX490" i="8" s="1"/>
  <c r="AO490" i="8"/>
  <c r="AJ490" i="8"/>
  <c r="AH490" i="8"/>
  <c r="Z490" i="8"/>
  <c r="I490" i="8"/>
  <c r="BJ489" i="8"/>
  <c r="BH489" i="8"/>
  <c r="BF489" i="8"/>
  <c r="BD489" i="8"/>
  <c r="AX489" i="8"/>
  <c r="AW489" i="8"/>
  <c r="AP489" i="8"/>
  <c r="BI489" i="8" s="1"/>
  <c r="AO489" i="8"/>
  <c r="AH489" i="8"/>
  <c r="AG489" i="8"/>
  <c r="Z489" i="8"/>
  <c r="I489" i="8"/>
  <c r="BJ488" i="8"/>
  <c r="BF488" i="8"/>
  <c r="BD488" i="8"/>
  <c r="AX488" i="8"/>
  <c r="AW488" i="8"/>
  <c r="BC488" i="8" s="1"/>
  <c r="AV488" i="8"/>
  <c r="AP488" i="8"/>
  <c r="BI488" i="8" s="1"/>
  <c r="AO488" i="8"/>
  <c r="BH488" i="8" s="1"/>
  <c r="AL488" i="8"/>
  <c r="AK488" i="8"/>
  <c r="AG488" i="8"/>
  <c r="AF488" i="8"/>
  <c r="I488" i="8"/>
  <c r="AJ488" i="8" s="1"/>
  <c r="BJ487" i="8"/>
  <c r="AH487" i="8" s="1"/>
  <c r="BF487" i="8"/>
  <c r="BD487" i="8"/>
  <c r="AW487" i="8"/>
  <c r="AP487" i="8"/>
  <c r="AO487" i="8"/>
  <c r="BH487" i="8" s="1"/>
  <c r="AL487" i="8"/>
  <c r="AK487" i="8"/>
  <c r="AJ487" i="8"/>
  <c r="AF487" i="8"/>
  <c r="I487" i="8"/>
  <c r="BJ486" i="8"/>
  <c r="BH486" i="8"/>
  <c r="BF486" i="8"/>
  <c r="BD486" i="8"/>
  <c r="AP486" i="8"/>
  <c r="BI486" i="8" s="1"/>
  <c r="AO486" i="8"/>
  <c r="AW486" i="8" s="1"/>
  <c r="AH486" i="8"/>
  <c r="Z486" i="8"/>
  <c r="I486" i="8"/>
  <c r="BJ484" i="8"/>
  <c r="BF484" i="8"/>
  <c r="BD484" i="8"/>
  <c r="AP484" i="8"/>
  <c r="AX484" i="8" s="1"/>
  <c r="AO484" i="8"/>
  <c r="AJ484" i="8"/>
  <c r="AH484" i="8"/>
  <c r="Z484" i="8"/>
  <c r="I484" i="8"/>
  <c r="BJ483" i="8"/>
  <c r="BH483" i="8"/>
  <c r="BF483" i="8"/>
  <c r="BD483" i="8"/>
  <c r="AX483" i="8"/>
  <c r="AW483" i="8"/>
  <c r="AP483" i="8"/>
  <c r="BI483" i="8" s="1"/>
  <c r="AO483" i="8"/>
  <c r="AH483" i="8"/>
  <c r="AG483" i="8"/>
  <c r="Z483" i="8"/>
  <c r="I483" i="8"/>
  <c r="BJ482" i="8"/>
  <c r="BF482" i="8"/>
  <c r="BD482" i="8"/>
  <c r="AX482" i="8"/>
  <c r="AW482" i="8"/>
  <c r="BC482" i="8" s="1"/>
  <c r="AV482" i="8"/>
  <c r="AP482" i="8"/>
  <c r="BI482" i="8" s="1"/>
  <c r="AO482" i="8"/>
  <c r="BH482" i="8" s="1"/>
  <c r="AL482" i="8"/>
  <c r="AK482" i="8"/>
  <c r="AG482" i="8"/>
  <c r="AF482" i="8"/>
  <c r="I482" i="8"/>
  <c r="AJ482" i="8" s="1"/>
  <c r="BJ481" i="8"/>
  <c r="AH481" i="8" s="1"/>
  <c r="BF481" i="8"/>
  <c r="BD481" i="8"/>
  <c r="AW481" i="8"/>
  <c r="AP481" i="8"/>
  <c r="AO481" i="8"/>
  <c r="BH481" i="8" s="1"/>
  <c r="AL481" i="8"/>
  <c r="AK481" i="8"/>
  <c r="AJ481" i="8"/>
  <c r="AF481" i="8"/>
  <c r="Z481" i="8"/>
  <c r="I481" i="8"/>
  <c r="BJ480" i="8"/>
  <c r="BH480" i="8"/>
  <c r="BF480" i="8"/>
  <c r="BD480" i="8"/>
  <c r="AP480" i="8"/>
  <c r="BI480" i="8" s="1"/>
  <c r="AO480" i="8"/>
  <c r="AW480" i="8" s="1"/>
  <c r="AH480" i="8"/>
  <c r="Z480" i="8"/>
  <c r="I480" i="8"/>
  <c r="BJ479" i="8"/>
  <c r="BF479" i="8"/>
  <c r="BD479" i="8"/>
  <c r="AX479" i="8"/>
  <c r="AP479" i="8"/>
  <c r="BI479" i="8" s="1"/>
  <c r="AE479" i="8" s="1"/>
  <c r="AO479" i="8"/>
  <c r="AL479" i="8"/>
  <c r="AH479" i="8"/>
  <c r="AG479" i="8"/>
  <c r="AC479" i="8"/>
  <c r="Z479" i="8"/>
  <c r="I479" i="8"/>
  <c r="BJ478" i="8"/>
  <c r="BF478" i="8"/>
  <c r="BD478" i="8"/>
  <c r="AX478" i="8"/>
  <c r="AW478" i="8"/>
  <c r="BC478" i="8" s="1"/>
  <c r="AV478" i="8"/>
  <c r="AP478" i="8"/>
  <c r="BI478" i="8" s="1"/>
  <c r="AE478" i="8" s="1"/>
  <c r="AO478" i="8"/>
  <c r="BH478" i="8" s="1"/>
  <c r="AD478" i="8" s="1"/>
  <c r="AL478" i="8"/>
  <c r="AK478" i="8"/>
  <c r="AG478" i="8"/>
  <c r="AF478" i="8"/>
  <c r="AC478" i="8"/>
  <c r="AB478" i="8"/>
  <c r="I478" i="8"/>
  <c r="AJ478" i="8" s="1"/>
  <c r="BJ476" i="8"/>
  <c r="AH476" i="8" s="1"/>
  <c r="BF476" i="8"/>
  <c r="BD476" i="8"/>
  <c r="AW476" i="8"/>
  <c r="AP476" i="8"/>
  <c r="AO476" i="8"/>
  <c r="BH476" i="8" s="1"/>
  <c r="AL476" i="8"/>
  <c r="AK476" i="8"/>
  <c r="AJ476" i="8"/>
  <c r="AF476" i="8"/>
  <c r="Z476" i="8"/>
  <c r="I476" i="8"/>
  <c r="AU475" i="8"/>
  <c r="AT475" i="8"/>
  <c r="AS475" i="8"/>
  <c r="I475" i="8"/>
  <c r="BJ474" i="8"/>
  <c r="BH474" i="8"/>
  <c r="BF474" i="8"/>
  <c r="BD474" i="8"/>
  <c r="AP474" i="8"/>
  <c r="AO474" i="8"/>
  <c r="AW474" i="8" s="1"/>
  <c r="AH474" i="8"/>
  <c r="Z474" i="8"/>
  <c r="I474" i="8"/>
  <c r="BJ473" i="8"/>
  <c r="BF473" i="8"/>
  <c r="BD473" i="8"/>
  <c r="AX473" i="8"/>
  <c r="AP473" i="8"/>
  <c r="BI473" i="8" s="1"/>
  <c r="AE473" i="8" s="1"/>
  <c r="AO473" i="8"/>
  <c r="AL473" i="8"/>
  <c r="AH473" i="8"/>
  <c r="AG473" i="8"/>
  <c r="AC473" i="8"/>
  <c r="Z473" i="8"/>
  <c r="I473" i="8"/>
  <c r="BJ472" i="8"/>
  <c r="BF472" i="8"/>
  <c r="BD472" i="8"/>
  <c r="AX472" i="8"/>
  <c r="AW472" i="8"/>
  <c r="BC472" i="8" s="1"/>
  <c r="AV472" i="8"/>
  <c r="AP472" i="8"/>
  <c r="BI472" i="8" s="1"/>
  <c r="AE472" i="8" s="1"/>
  <c r="AO472" i="8"/>
  <c r="BH472" i="8" s="1"/>
  <c r="AD472" i="8" s="1"/>
  <c r="AL472" i="8"/>
  <c r="AK472" i="8"/>
  <c r="AG472" i="8"/>
  <c r="AF472" i="8"/>
  <c r="AC472" i="8"/>
  <c r="AB472" i="8"/>
  <c r="I472" i="8"/>
  <c r="AJ472" i="8" s="1"/>
  <c r="BJ471" i="8"/>
  <c r="AH471" i="8" s="1"/>
  <c r="BI471" i="8"/>
  <c r="BF471" i="8"/>
  <c r="BD471" i="8"/>
  <c r="BC471" i="8"/>
  <c r="AW471" i="8"/>
  <c r="AV471" i="8"/>
  <c r="AP471" i="8"/>
  <c r="AX471" i="8" s="1"/>
  <c r="AO471" i="8"/>
  <c r="BH471" i="8" s="1"/>
  <c r="AD471" i="8" s="1"/>
  <c r="AL471" i="8"/>
  <c r="AK471" i="8"/>
  <c r="AJ471" i="8"/>
  <c r="AF471" i="8"/>
  <c r="AE471" i="8"/>
  <c r="AB471" i="8"/>
  <c r="I471" i="8"/>
  <c r="BJ470" i="8"/>
  <c r="BI470" i="8"/>
  <c r="BF470" i="8"/>
  <c r="BD470" i="8"/>
  <c r="AP470" i="8"/>
  <c r="AX470" i="8" s="1"/>
  <c r="AO470" i="8"/>
  <c r="AJ470" i="8"/>
  <c r="AH470" i="8"/>
  <c r="Z470" i="8"/>
  <c r="I470" i="8"/>
  <c r="BJ469" i="8"/>
  <c r="BH469" i="8"/>
  <c r="BF469" i="8"/>
  <c r="BD469" i="8"/>
  <c r="AX469" i="8"/>
  <c r="AW469" i="8"/>
  <c r="AP469" i="8"/>
  <c r="BI469" i="8" s="1"/>
  <c r="AO469" i="8"/>
  <c r="AH469" i="8"/>
  <c r="Z469" i="8"/>
  <c r="I469" i="8"/>
  <c r="BJ468" i="8"/>
  <c r="BF468" i="8"/>
  <c r="BD468" i="8"/>
  <c r="AX468" i="8"/>
  <c r="AW468" i="8"/>
  <c r="BC468" i="8" s="1"/>
  <c r="AV468" i="8"/>
  <c r="AP468" i="8"/>
  <c r="BI468" i="8" s="1"/>
  <c r="AO468" i="8"/>
  <c r="BH468" i="8" s="1"/>
  <c r="AL468" i="8"/>
  <c r="AK468" i="8"/>
  <c r="AG468" i="8"/>
  <c r="AF468" i="8"/>
  <c r="I468" i="8"/>
  <c r="AJ468" i="8" s="1"/>
  <c r="BJ467" i="8"/>
  <c r="AH467" i="8" s="1"/>
  <c r="BF467" i="8"/>
  <c r="BD467" i="8"/>
  <c r="AW467" i="8"/>
  <c r="AP467" i="8"/>
  <c r="AO467" i="8"/>
  <c r="BH467" i="8" s="1"/>
  <c r="AL467" i="8"/>
  <c r="AK467" i="8"/>
  <c r="AJ467" i="8"/>
  <c r="AF467" i="8"/>
  <c r="I467" i="8"/>
  <c r="BJ466" i="8"/>
  <c r="BH466" i="8"/>
  <c r="BF466" i="8"/>
  <c r="BD466" i="8"/>
  <c r="AP466" i="8"/>
  <c r="BI466" i="8" s="1"/>
  <c r="AO466" i="8"/>
  <c r="AW466" i="8" s="1"/>
  <c r="AH466" i="8"/>
  <c r="Z466" i="8"/>
  <c r="I466" i="8"/>
  <c r="BJ465" i="8"/>
  <c r="BF465" i="8"/>
  <c r="BD465" i="8"/>
  <c r="AX465" i="8"/>
  <c r="AP465" i="8"/>
  <c r="BI465" i="8" s="1"/>
  <c r="AE465" i="8" s="1"/>
  <c r="AO465" i="8"/>
  <c r="AL465" i="8"/>
  <c r="AH465" i="8"/>
  <c r="AG465" i="8"/>
  <c r="AC465" i="8"/>
  <c r="Z465" i="8"/>
  <c r="I465" i="8"/>
  <c r="BJ464" i="8"/>
  <c r="BF464" i="8"/>
  <c r="BD464" i="8"/>
  <c r="AX464" i="8"/>
  <c r="AW464" i="8"/>
  <c r="BC464" i="8" s="1"/>
  <c r="AV464" i="8"/>
  <c r="AP464" i="8"/>
  <c r="BI464" i="8" s="1"/>
  <c r="AE464" i="8" s="1"/>
  <c r="AO464" i="8"/>
  <c r="BH464" i="8" s="1"/>
  <c r="AD464" i="8" s="1"/>
  <c r="AL464" i="8"/>
  <c r="AK464" i="8"/>
  <c r="AG464" i="8"/>
  <c r="AF464" i="8"/>
  <c r="AC464" i="8"/>
  <c r="AB464" i="8"/>
  <c r="I464" i="8"/>
  <c r="AJ464" i="8" s="1"/>
  <c r="BJ463" i="8"/>
  <c r="AH463" i="8" s="1"/>
  <c r="BI463" i="8"/>
  <c r="BF463" i="8"/>
  <c r="BD463" i="8"/>
  <c r="BC463" i="8"/>
  <c r="AW463" i="8"/>
  <c r="AV463" i="8"/>
  <c r="AP463" i="8"/>
  <c r="AX463" i="8" s="1"/>
  <c r="AO463" i="8"/>
  <c r="BH463" i="8" s="1"/>
  <c r="AD463" i="8" s="1"/>
  <c r="AL463" i="8"/>
  <c r="AK463" i="8"/>
  <c r="AJ463" i="8"/>
  <c r="AF463" i="8"/>
  <c r="AE463" i="8"/>
  <c r="AB463" i="8"/>
  <c r="I463" i="8"/>
  <c r="BJ461" i="8"/>
  <c r="BH461" i="8"/>
  <c r="BF461" i="8"/>
  <c r="BD461" i="8"/>
  <c r="AX461" i="8"/>
  <c r="BC461" i="8" s="1"/>
  <c r="AP461" i="8"/>
  <c r="BI461" i="8" s="1"/>
  <c r="AO461" i="8"/>
  <c r="AW461" i="8" s="1"/>
  <c r="AH461" i="8"/>
  <c r="AE461" i="8"/>
  <c r="Z461" i="8"/>
  <c r="I461" i="8"/>
  <c r="BJ459" i="8"/>
  <c r="BH459" i="8"/>
  <c r="BF459" i="8"/>
  <c r="BD459" i="8"/>
  <c r="AX459" i="8"/>
  <c r="AW459" i="8"/>
  <c r="AP459" i="8"/>
  <c r="BI459" i="8" s="1"/>
  <c r="AO459" i="8"/>
  <c r="AH459" i="8"/>
  <c r="Z459" i="8"/>
  <c r="I459" i="8"/>
  <c r="BJ458" i="8"/>
  <c r="BF458" i="8"/>
  <c r="BD458" i="8"/>
  <c r="AX458" i="8"/>
  <c r="AW458" i="8"/>
  <c r="BC458" i="8" s="1"/>
  <c r="AV458" i="8"/>
  <c r="AP458" i="8"/>
  <c r="BI458" i="8" s="1"/>
  <c r="AO458" i="8"/>
  <c r="BH458" i="8" s="1"/>
  <c r="AL458" i="8"/>
  <c r="AK458" i="8"/>
  <c r="AG458" i="8"/>
  <c r="AF458" i="8"/>
  <c r="I458" i="8"/>
  <c r="AJ458" i="8" s="1"/>
  <c r="BJ457" i="8"/>
  <c r="AH457" i="8" s="1"/>
  <c r="BF457" i="8"/>
  <c r="BD457" i="8"/>
  <c r="AW457" i="8"/>
  <c r="AP457" i="8"/>
  <c r="AO457" i="8"/>
  <c r="BH457" i="8" s="1"/>
  <c r="AL457" i="8"/>
  <c r="AK457" i="8"/>
  <c r="AJ457" i="8"/>
  <c r="AF457" i="8"/>
  <c r="Z457" i="8"/>
  <c r="I457" i="8"/>
  <c r="BJ456" i="8"/>
  <c r="BH456" i="8"/>
  <c r="BF456" i="8"/>
  <c r="BD456" i="8"/>
  <c r="AP456" i="8"/>
  <c r="AO456" i="8"/>
  <c r="AW456" i="8" s="1"/>
  <c r="AH456" i="8"/>
  <c r="Z456" i="8"/>
  <c r="I456" i="8"/>
  <c r="BJ455" i="8"/>
  <c r="BF455" i="8"/>
  <c r="BD455" i="8"/>
  <c r="AX455" i="8"/>
  <c r="AP455" i="8"/>
  <c r="BI455" i="8" s="1"/>
  <c r="AE455" i="8" s="1"/>
  <c r="AO455" i="8"/>
  <c r="AL455" i="8"/>
  <c r="AH455" i="8"/>
  <c r="AG455" i="8"/>
  <c r="AC455" i="8"/>
  <c r="Z455" i="8"/>
  <c r="I455" i="8"/>
  <c r="BJ454" i="8"/>
  <c r="BF454" i="8"/>
  <c r="BD454" i="8"/>
  <c r="AX454" i="8"/>
  <c r="AW454" i="8"/>
  <c r="BC454" i="8" s="1"/>
  <c r="AV454" i="8"/>
  <c r="AP454" i="8"/>
  <c r="BI454" i="8" s="1"/>
  <c r="AE454" i="8" s="1"/>
  <c r="AO454" i="8"/>
  <c r="BH454" i="8" s="1"/>
  <c r="AD454" i="8" s="1"/>
  <c r="AL454" i="8"/>
  <c r="AK454" i="8"/>
  <c r="AG454" i="8"/>
  <c r="AF454" i="8"/>
  <c r="AC454" i="8"/>
  <c r="AB454" i="8"/>
  <c r="I454" i="8"/>
  <c r="AJ454" i="8" s="1"/>
  <c r="BJ453" i="8"/>
  <c r="AH453" i="8" s="1"/>
  <c r="BI453" i="8"/>
  <c r="BF453" i="8"/>
  <c r="BD453" i="8"/>
  <c r="BC453" i="8"/>
  <c r="AW453" i="8"/>
  <c r="AV453" i="8"/>
  <c r="AP453" i="8"/>
  <c r="AX453" i="8" s="1"/>
  <c r="AO453" i="8"/>
  <c r="BH453" i="8" s="1"/>
  <c r="AD453" i="8" s="1"/>
  <c r="AL453" i="8"/>
  <c r="AK453" i="8"/>
  <c r="AJ453" i="8"/>
  <c r="AF453" i="8"/>
  <c r="AE453" i="8"/>
  <c r="AB453" i="8"/>
  <c r="I453" i="8"/>
  <c r="BJ452" i="8"/>
  <c r="BI452" i="8"/>
  <c r="BF452" i="8"/>
  <c r="BD452" i="8"/>
  <c r="AP452" i="8"/>
  <c r="AX452" i="8" s="1"/>
  <c r="AO452" i="8"/>
  <c r="AJ452" i="8"/>
  <c r="AH452" i="8"/>
  <c r="Z452" i="8"/>
  <c r="I452" i="8"/>
  <c r="BJ451" i="8"/>
  <c r="BH451" i="8"/>
  <c r="BF451" i="8"/>
  <c r="BD451" i="8"/>
  <c r="AX451" i="8"/>
  <c r="AW451" i="8"/>
  <c r="AP451" i="8"/>
  <c r="BI451" i="8" s="1"/>
  <c r="AO451" i="8"/>
  <c r="AH451" i="8"/>
  <c r="Z451" i="8"/>
  <c r="I451" i="8"/>
  <c r="BR448" i="8"/>
  <c r="BJ448" i="8"/>
  <c r="BH448" i="8"/>
  <c r="BF448" i="8"/>
  <c r="BD448" i="8"/>
  <c r="AX448" i="8"/>
  <c r="BC448" i="8" s="1"/>
  <c r="AP448" i="8"/>
  <c r="BI448" i="8" s="1"/>
  <c r="AO448" i="8"/>
  <c r="AW448" i="8" s="1"/>
  <c r="AH448" i="8"/>
  <c r="AE448" i="8"/>
  <c r="Z448" i="8"/>
  <c r="I448" i="8"/>
  <c r="BJ445" i="8"/>
  <c r="BI445" i="8"/>
  <c r="BH445" i="8"/>
  <c r="BF445" i="8"/>
  <c r="BD445" i="8"/>
  <c r="BC445" i="8"/>
  <c r="AX445" i="8"/>
  <c r="AP445" i="8"/>
  <c r="AO445" i="8"/>
  <c r="AW445" i="8" s="1"/>
  <c r="AJ445" i="8"/>
  <c r="AH445" i="8"/>
  <c r="Z445" i="8"/>
  <c r="I445" i="8"/>
  <c r="BJ444" i="8"/>
  <c r="BF444" i="8"/>
  <c r="BD444" i="8"/>
  <c r="AX444" i="8"/>
  <c r="AP444" i="8"/>
  <c r="BI444" i="8" s="1"/>
  <c r="AG444" i="8" s="1"/>
  <c r="AO444" i="8"/>
  <c r="AH444" i="8"/>
  <c r="Z444" i="8"/>
  <c r="I444" i="8"/>
  <c r="BJ442" i="8"/>
  <c r="BF442" i="8"/>
  <c r="BD442" i="8"/>
  <c r="AX442" i="8"/>
  <c r="AW442" i="8"/>
  <c r="BC442" i="8" s="1"/>
  <c r="AV442" i="8"/>
  <c r="AP442" i="8"/>
  <c r="BI442" i="8" s="1"/>
  <c r="AO442" i="8"/>
  <c r="BH442" i="8" s="1"/>
  <c r="AD442" i="8" s="1"/>
  <c r="AL442" i="8"/>
  <c r="AK442" i="8"/>
  <c r="AG442" i="8"/>
  <c r="AF442" i="8"/>
  <c r="AB442" i="8"/>
  <c r="I442" i="8"/>
  <c r="AJ442" i="8" s="1"/>
  <c r="BJ441" i="8"/>
  <c r="AH441" i="8" s="1"/>
  <c r="BF441" i="8"/>
  <c r="BD441" i="8"/>
  <c r="AW441" i="8"/>
  <c r="AP441" i="8"/>
  <c r="AO441" i="8"/>
  <c r="BH441" i="8" s="1"/>
  <c r="AD441" i="8" s="1"/>
  <c r="AL441" i="8"/>
  <c r="AK441" i="8"/>
  <c r="AJ441" i="8"/>
  <c r="AF441" i="8"/>
  <c r="AB441" i="8"/>
  <c r="Z441" i="8"/>
  <c r="I441" i="8"/>
  <c r="BJ440" i="8"/>
  <c r="BI440" i="8"/>
  <c r="BH440" i="8"/>
  <c r="BF440" i="8"/>
  <c r="BD440" i="8"/>
  <c r="AX440" i="8"/>
  <c r="BC440" i="8" s="1"/>
  <c r="AP440" i="8"/>
  <c r="AO440" i="8"/>
  <c r="AW440" i="8" s="1"/>
  <c r="AH440" i="8"/>
  <c r="Z440" i="8"/>
  <c r="I440" i="8"/>
  <c r="BJ439" i="8"/>
  <c r="BF439" i="8"/>
  <c r="BD439" i="8"/>
  <c r="AX439" i="8"/>
  <c r="AP439" i="8"/>
  <c r="BI439" i="8" s="1"/>
  <c r="AO439" i="8"/>
  <c r="AH439" i="8"/>
  <c r="AG439" i="8"/>
  <c r="Z439" i="8"/>
  <c r="I439" i="8"/>
  <c r="BJ438" i="8"/>
  <c r="BF438" i="8"/>
  <c r="BD438" i="8"/>
  <c r="AX438" i="8"/>
  <c r="AW438" i="8"/>
  <c r="AP438" i="8"/>
  <c r="BI438" i="8" s="1"/>
  <c r="AE438" i="8" s="1"/>
  <c r="AO438" i="8"/>
  <c r="BH438" i="8" s="1"/>
  <c r="AL438" i="8"/>
  <c r="AK438" i="8"/>
  <c r="AG438" i="8"/>
  <c r="AF438" i="8"/>
  <c r="AC438" i="8"/>
  <c r="I438" i="8"/>
  <c r="AJ438" i="8" s="1"/>
  <c r="BJ437" i="8"/>
  <c r="BI437" i="8"/>
  <c r="BF437" i="8"/>
  <c r="BD437" i="8"/>
  <c r="BC437" i="8"/>
  <c r="AW437" i="8"/>
  <c r="AP437" i="8"/>
  <c r="AX437" i="8" s="1"/>
  <c r="AV437" i="8" s="1"/>
  <c r="AO437" i="8"/>
  <c r="BH437" i="8" s="1"/>
  <c r="AL437" i="8"/>
  <c r="AK437" i="8"/>
  <c r="AJ437" i="8"/>
  <c r="AF437" i="8"/>
  <c r="I437" i="8"/>
  <c r="BJ436" i="8"/>
  <c r="BF436" i="8"/>
  <c r="BD436" i="8"/>
  <c r="AP436" i="8"/>
  <c r="AO436" i="8"/>
  <c r="AH436" i="8"/>
  <c r="Z436" i="8"/>
  <c r="I436" i="8"/>
  <c r="BJ435" i="8"/>
  <c r="BH435" i="8"/>
  <c r="BF435" i="8"/>
  <c r="BD435" i="8"/>
  <c r="AX435" i="8"/>
  <c r="AW435" i="8"/>
  <c r="AP435" i="8"/>
  <c r="BI435" i="8" s="1"/>
  <c r="AE435" i="8" s="1"/>
  <c r="AO435" i="8"/>
  <c r="AL435" i="8"/>
  <c r="AH435" i="8"/>
  <c r="AG435" i="8"/>
  <c r="AC435" i="8"/>
  <c r="Z435" i="8"/>
  <c r="I435" i="8"/>
  <c r="BJ434" i="8"/>
  <c r="BF434" i="8"/>
  <c r="BD434" i="8"/>
  <c r="AX434" i="8"/>
  <c r="AW434" i="8"/>
  <c r="BC434" i="8" s="1"/>
  <c r="AV434" i="8"/>
  <c r="AP434" i="8"/>
  <c r="BI434" i="8" s="1"/>
  <c r="AO434" i="8"/>
  <c r="BH434" i="8" s="1"/>
  <c r="AD434" i="8" s="1"/>
  <c r="AL434" i="8"/>
  <c r="AK434" i="8"/>
  <c r="AG434" i="8"/>
  <c r="AF434" i="8"/>
  <c r="AB434" i="8"/>
  <c r="I434" i="8"/>
  <c r="AJ434" i="8" s="1"/>
  <c r="BJ433" i="8"/>
  <c r="AH433" i="8" s="1"/>
  <c r="BF433" i="8"/>
  <c r="BD433" i="8"/>
  <c r="AW433" i="8"/>
  <c r="AP433" i="8"/>
  <c r="AO433" i="8"/>
  <c r="BH433" i="8" s="1"/>
  <c r="AD433" i="8" s="1"/>
  <c r="AL433" i="8"/>
  <c r="AK433" i="8"/>
  <c r="AJ433" i="8"/>
  <c r="AF433" i="8"/>
  <c r="AB433" i="8"/>
  <c r="Z433" i="8"/>
  <c r="I433" i="8"/>
  <c r="BJ432" i="8"/>
  <c r="BI432" i="8"/>
  <c r="BH432" i="8"/>
  <c r="BF432" i="8"/>
  <c r="BD432" i="8"/>
  <c r="BC432" i="8"/>
  <c r="AX432" i="8"/>
  <c r="AP432" i="8"/>
  <c r="AO432" i="8"/>
  <c r="AW432" i="8" s="1"/>
  <c r="AJ432" i="8"/>
  <c r="AH432" i="8"/>
  <c r="Z432" i="8"/>
  <c r="I432" i="8"/>
  <c r="BJ431" i="8"/>
  <c r="BF431" i="8"/>
  <c r="BD431" i="8"/>
  <c r="AX431" i="8"/>
  <c r="AP431" i="8"/>
  <c r="BI431" i="8" s="1"/>
  <c r="AG431" i="8" s="1"/>
  <c r="AO431" i="8"/>
  <c r="AH431" i="8"/>
  <c r="Z431" i="8"/>
  <c r="I431" i="8"/>
  <c r="BJ430" i="8"/>
  <c r="BF430" i="8"/>
  <c r="BD430" i="8"/>
  <c r="AX430" i="8"/>
  <c r="AW430" i="8"/>
  <c r="AP430" i="8"/>
  <c r="BI430" i="8" s="1"/>
  <c r="AE430" i="8" s="1"/>
  <c r="AO430" i="8"/>
  <c r="BH430" i="8" s="1"/>
  <c r="AL430" i="8"/>
  <c r="AK430" i="8"/>
  <c r="AG430" i="8"/>
  <c r="AF430" i="8"/>
  <c r="AC430" i="8"/>
  <c r="I430" i="8"/>
  <c r="AJ430" i="8" s="1"/>
  <c r="BJ429" i="8"/>
  <c r="BI429" i="8"/>
  <c r="BF429" i="8"/>
  <c r="BD429" i="8"/>
  <c r="BC429" i="8"/>
  <c r="AW429" i="8"/>
  <c r="AP429" i="8"/>
  <c r="AX429" i="8" s="1"/>
  <c r="AV429" i="8" s="1"/>
  <c r="AO429" i="8"/>
  <c r="BH429" i="8" s="1"/>
  <c r="AL429" i="8"/>
  <c r="AK429" i="8"/>
  <c r="AJ429" i="8"/>
  <c r="AF429" i="8"/>
  <c r="AE429" i="8"/>
  <c r="I429" i="8"/>
  <c r="BJ428" i="8"/>
  <c r="BF428" i="8"/>
  <c r="BD428" i="8"/>
  <c r="AP428" i="8"/>
  <c r="AO428" i="8"/>
  <c r="AH428" i="8"/>
  <c r="Z428" i="8"/>
  <c r="I428" i="8"/>
  <c r="BJ426" i="8"/>
  <c r="BF426" i="8"/>
  <c r="BD426" i="8"/>
  <c r="AX426" i="8"/>
  <c r="AP426" i="8"/>
  <c r="BI426" i="8" s="1"/>
  <c r="AO426" i="8"/>
  <c r="AH426" i="8"/>
  <c r="Z426" i="8"/>
  <c r="I426" i="8"/>
  <c r="BJ425" i="8"/>
  <c r="BF425" i="8"/>
  <c r="BD425" i="8"/>
  <c r="AX425" i="8"/>
  <c r="AW425" i="8"/>
  <c r="AP425" i="8"/>
  <c r="BI425" i="8" s="1"/>
  <c r="AE425" i="8" s="1"/>
  <c r="AO425" i="8"/>
  <c r="BH425" i="8" s="1"/>
  <c r="AL425" i="8"/>
  <c r="AK425" i="8"/>
  <c r="AG425" i="8"/>
  <c r="AF425" i="8"/>
  <c r="AC425" i="8"/>
  <c r="I425" i="8"/>
  <c r="AJ425" i="8" s="1"/>
  <c r="BJ424" i="8"/>
  <c r="BI424" i="8"/>
  <c r="BF424" i="8"/>
  <c r="BD424" i="8"/>
  <c r="BC424" i="8"/>
  <c r="AW424" i="8"/>
  <c r="AP424" i="8"/>
  <c r="AX424" i="8" s="1"/>
  <c r="AV424" i="8" s="1"/>
  <c r="AO424" i="8"/>
  <c r="BH424" i="8" s="1"/>
  <c r="AL424" i="8"/>
  <c r="AK424" i="8"/>
  <c r="AJ424" i="8"/>
  <c r="AF424" i="8"/>
  <c r="I424" i="8"/>
  <c r="BJ423" i="8"/>
  <c r="BF423" i="8"/>
  <c r="BD423" i="8"/>
  <c r="AP423" i="8"/>
  <c r="AO423" i="8"/>
  <c r="AH423" i="8"/>
  <c r="Z423" i="8"/>
  <c r="I423" i="8"/>
  <c r="BJ422" i="8"/>
  <c r="BH422" i="8"/>
  <c r="BF422" i="8"/>
  <c r="BD422" i="8"/>
  <c r="AX422" i="8"/>
  <c r="AW422" i="8"/>
  <c r="AP422" i="8"/>
  <c r="BI422" i="8" s="1"/>
  <c r="AE422" i="8" s="1"/>
  <c r="AO422" i="8"/>
  <c r="AL422" i="8"/>
  <c r="AH422" i="8"/>
  <c r="AG422" i="8"/>
  <c r="AC422" i="8"/>
  <c r="Z422" i="8"/>
  <c r="I422" i="8"/>
  <c r="BJ421" i="8"/>
  <c r="BF421" i="8"/>
  <c r="BD421" i="8"/>
  <c r="AX421" i="8"/>
  <c r="AW421" i="8"/>
  <c r="BC421" i="8" s="1"/>
  <c r="AV421" i="8"/>
  <c r="AP421" i="8"/>
  <c r="BI421" i="8" s="1"/>
  <c r="AO421" i="8"/>
  <c r="BH421" i="8" s="1"/>
  <c r="AD421" i="8" s="1"/>
  <c r="AL421" i="8"/>
  <c r="AK421" i="8"/>
  <c r="AG421" i="8"/>
  <c r="AF421" i="8"/>
  <c r="AB421" i="8"/>
  <c r="I421" i="8"/>
  <c r="AJ421" i="8" s="1"/>
  <c r="BJ420" i="8"/>
  <c r="AH420" i="8" s="1"/>
  <c r="BF420" i="8"/>
  <c r="BD420" i="8"/>
  <c r="AW420" i="8"/>
  <c r="AP420" i="8"/>
  <c r="AO420" i="8"/>
  <c r="BH420" i="8" s="1"/>
  <c r="AD420" i="8" s="1"/>
  <c r="AL420" i="8"/>
  <c r="AK420" i="8"/>
  <c r="AJ420" i="8"/>
  <c r="AF420" i="8"/>
  <c r="AB420" i="8"/>
  <c r="Z420" i="8"/>
  <c r="I420" i="8"/>
  <c r="BJ419" i="8"/>
  <c r="BI419" i="8"/>
  <c r="BH419" i="8"/>
  <c r="BF419" i="8"/>
  <c r="BD419" i="8"/>
  <c r="AX419" i="8"/>
  <c r="BC419" i="8" s="1"/>
  <c r="AP419" i="8"/>
  <c r="AO419" i="8"/>
  <c r="AW419" i="8" s="1"/>
  <c r="AH419" i="8"/>
  <c r="Z419" i="8"/>
  <c r="I419" i="8"/>
  <c r="BJ418" i="8"/>
  <c r="BF418" i="8"/>
  <c r="BD418" i="8"/>
  <c r="AX418" i="8"/>
  <c r="AP418" i="8"/>
  <c r="BI418" i="8" s="1"/>
  <c r="AO418" i="8"/>
  <c r="AH418" i="8"/>
  <c r="AG418" i="8"/>
  <c r="Z418" i="8"/>
  <c r="I418" i="8"/>
  <c r="BJ417" i="8"/>
  <c r="BF417" i="8"/>
  <c r="BD417" i="8"/>
  <c r="AX417" i="8"/>
  <c r="AW417" i="8"/>
  <c r="AP417" i="8"/>
  <c r="BI417" i="8" s="1"/>
  <c r="AE417" i="8" s="1"/>
  <c r="AO417" i="8"/>
  <c r="BH417" i="8" s="1"/>
  <c r="AL417" i="8"/>
  <c r="AK417" i="8"/>
  <c r="AG417" i="8"/>
  <c r="AF417" i="8"/>
  <c r="AC417" i="8"/>
  <c r="I417" i="8"/>
  <c r="AJ417" i="8" s="1"/>
  <c r="BJ416" i="8"/>
  <c r="BI416" i="8"/>
  <c r="BF416" i="8"/>
  <c r="BD416" i="8"/>
  <c r="BC416" i="8"/>
  <c r="AW416" i="8"/>
  <c r="AP416" i="8"/>
  <c r="AX416" i="8" s="1"/>
  <c r="AV416" i="8" s="1"/>
  <c r="AO416" i="8"/>
  <c r="BH416" i="8" s="1"/>
  <c r="AL416" i="8"/>
  <c r="AK416" i="8"/>
  <c r="AJ416" i="8"/>
  <c r="AF416" i="8"/>
  <c r="I416" i="8"/>
  <c r="BJ414" i="8"/>
  <c r="BI414" i="8"/>
  <c r="BF414" i="8"/>
  <c r="BD414" i="8"/>
  <c r="AX414" i="8"/>
  <c r="AP414" i="8"/>
  <c r="AO414" i="8"/>
  <c r="AK414" i="8"/>
  <c r="AH414" i="8"/>
  <c r="AE414" i="8"/>
  <c r="Z414" i="8"/>
  <c r="I414" i="8"/>
  <c r="AL414" i="8" s="1"/>
  <c r="BJ413" i="8"/>
  <c r="BF413" i="8"/>
  <c r="BD413" i="8"/>
  <c r="AP413" i="8"/>
  <c r="AO413" i="8"/>
  <c r="AH413" i="8"/>
  <c r="Z413" i="8"/>
  <c r="I413" i="8"/>
  <c r="BJ412" i="8"/>
  <c r="BH412" i="8"/>
  <c r="BF412" i="8"/>
  <c r="BD412" i="8"/>
  <c r="AX412" i="8"/>
  <c r="AW412" i="8"/>
  <c r="AP412" i="8"/>
  <c r="BI412" i="8" s="1"/>
  <c r="AE412" i="8" s="1"/>
  <c r="AO412" i="8"/>
  <c r="AL412" i="8"/>
  <c r="AH412" i="8"/>
  <c r="AG412" i="8"/>
  <c r="AC412" i="8"/>
  <c r="Z412" i="8"/>
  <c r="I412" i="8"/>
  <c r="BJ411" i="8"/>
  <c r="BF411" i="8"/>
  <c r="BD411" i="8"/>
  <c r="AX411" i="8"/>
  <c r="AW411" i="8"/>
  <c r="BC411" i="8" s="1"/>
  <c r="AV411" i="8"/>
  <c r="AP411" i="8"/>
  <c r="BI411" i="8" s="1"/>
  <c r="AO411" i="8"/>
  <c r="BH411" i="8" s="1"/>
  <c r="AD411" i="8" s="1"/>
  <c r="AL411" i="8"/>
  <c r="AK411" i="8"/>
  <c r="AG411" i="8"/>
  <c r="AF411" i="8"/>
  <c r="AB411" i="8"/>
  <c r="I411" i="8"/>
  <c r="AJ411" i="8" s="1"/>
  <c r="BJ410" i="8"/>
  <c r="AH410" i="8" s="1"/>
  <c r="BF410" i="8"/>
  <c r="BD410" i="8"/>
  <c r="AW410" i="8"/>
  <c r="AP410" i="8"/>
  <c r="AO410" i="8"/>
  <c r="BH410" i="8" s="1"/>
  <c r="AD410" i="8" s="1"/>
  <c r="AL410" i="8"/>
  <c r="AK410" i="8"/>
  <c r="AJ410" i="8"/>
  <c r="AF410" i="8"/>
  <c r="AB410" i="8"/>
  <c r="Z410" i="8"/>
  <c r="I410" i="8"/>
  <c r="BJ409" i="8"/>
  <c r="BI409" i="8"/>
  <c r="BH409" i="8"/>
  <c r="BF409" i="8"/>
  <c r="BD409" i="8"/>
  <c r="AX409" i="8"/>
  <c r="BC409" i="8" s="1"/>
  <c r="AP409" i="8"/>
  <c r="AO409" i="8"/>
  <c r="AW409" i="8" s="1"/>
  <c r="AJ409" i="8"/>
  <c r="AH409" i="8"/>
  <c r="Z409" i="8"/>
  <c r="I409" i="8"/>
  <c r="BJ408" i="8"/>
  <c r="BF408" i="8"/>
  <c r="BD408" i="8"/>
  <c r="AX408" i="8"/>
  <c r="AP408" i="8"/>
  <c r="BI408" i="8" s="1"/>
  <c r="AO408" i="8"/>
  <c r="AH408" i="8"/>
  <c r="Z408" i="8"/>
  <c r="I408" i="8"/>
  <c r="BJ406" i="8"/>
  <c r="BF406" i="8"/>
  <c r="BD406" i="8"/>
  <c r="AX406" i="8"/>
  <c r="AW406" i="8"/>
  <c r="BC406" i="8" s="1"/>
  <c r="AV406" i="8"/>
  <c r="AP406" i="8"/>
  <c r="BI406" i="8" s="1"/>
  <c r="AO406" i="8"/>
  <c r="BH406" i="8" s="1"/>
  <c r="AD406" i="8" s="1"/>
  <c r="AL406" i="8"/>
  <c r="AU405" i="8" s="1"/>
  <c r="AK406" i="8"/>
  <c r="AT405" i="8" s="1"/>
  <c r="AG406" i="8"/>
  <c r="AF406" i="8"/>
  <c r="AB406" i="8"/>
  <c r="I406" i="8"/>
  <c r="AJ406" i="8" s="1"/>
  <c r="AS405" i="8" s="1"/>
  <c r="I405" i="8"/>
  <c r="BJ404" i="8"/>
  <c r="AH404" i="8" s="1"/>
  <c r="BF404" i="8"/>
  <c r="BD404" i="8"/>
  <c r="AW404" i="8"/>
  <c r="AP404" i="8"/>
  <c r="AO404" i="8"/>
  <c r="BH404" i="8" s="1"/>
  <c r="AL404" i="8"/>
  <c r="AK404" i="8"/>
  <c r="AJ404" i="8"/>
  <c r="AF404" i="8"/>
  <c r="I404" i="8"/>
  <c r="BJ403" i="8"/>
  <c r="BH403" i="8"/>
  <c r="BF403" i="8"/>
  <c r="BD403" i="8"/>
  <c r="AP403" i="8"/>
  <c r="BI403" i="8" s="1"/>
  <c r="AE403" i="8" s="1"/>
  <c r="AO403" i="8"/>
  <c r="AW403" i="8" s="1"/>
  <c r="AH403" i="8"/>
  <c r="Z403" i="8"/>
  <c r="I403" i="8"/>
  <c r="BJ402" i="8"/>
  <c r="BF402" i="8"/>
  <c r="BD402" i="8"/>
  <c r="AX402" i="8"/>
  <c r="AP402" i="8"/>
  <c r="BI402" i="8" s="1"/>
  <c r="AE402" i="8" s="1"/>
  <c r="AO402" i="8"/>
  <c r="AL402" i="8"/>
  <c r="AH402" i="8"/>
  <c r="AG402" i="8"/>
  <c r="AC402" i="8"/>
  <c r="Z402" i="8"/>
  <c r="I402" i="8"/>
  <c r="BJ401" i="8"/>
  <c r="BF401" i="8"/>
  <c r="BD401" i="8"/>
  <c r="AX401" i="8"/>
  <c r="AW401" i="8"/>
  <c r="BC401" i="8" s="1"/>
  <c r="AV401" i="8"/>
  <c r="AP401" i="8"/>
  <c r="BI401" i="8" s="1"/>
  <c r="AE401" i="8" s="1"/>
  <c r="AO401" i="8"/>
  <c r="BH401" i="8" s="1"/>
  <c r="AD401" i="8" s="1"/>
  <c r="AL401" i="8"/>
  <c r="AK401" i="8"/>
  <c r="AG401" i="8"/>
  <c r="AF401" i="8"/>
  <c r="AC401" i="8"/>
  <c r="AB401" i="8"/>
  <c r="I401" i="8"/>
  <c r="AJ401" i="8" s="1"/>
  <c r="BJ400" i="8"/>
  <c r="AH400" i="8" s="1"/>
  <c r="BI400" i="8"/>
  <c r="BF400" i="8"/>
  <c r="BD400" i="8"/>
  <c r="BC400" i="8"/>
  <c r="AW400" i="8"/>
  <c r="AV400" i="8"/>
  <c r="AP400" i="8"/>
  <c r="AX400" i="8" s="1"/>
  <c r="AO400" i="8"/>
  <c r="BH400" i="8" s="1"/>
  <c r="AD400" i="8" s="1"/>
  <c r="AL400" i="8"/>
  <c r="AK400" i="8"/>
  <c r="AJ400" i="8"/>
  <c r="AF400" i="8"/>
  <c r="AE400" i="8"/>
  <c r="AB400" i="8"/>
  <c r="I400" i="8"/>
  <c r="BJ399" i="8"/>
  <c r="BI399" i="8"/>
  <c r="BF399" i="8"/>
  <c r="BD399" i="8"/>
  <c r="AP399" i="8"/>
  <c r="AX399" i="8" s="1"/>
  <c r="AO399" i="8"/>
  <c r="AJ399" i="8"/>
  <c r="AH399" i="8"/>
  <c r="Z399" i="8"/>
  <c r="I399" i="8"/>
  <c r="BJ398" i="8"/>
  <c r="BH398" i="8"/>
  <c r="BF398" i="8"/>
  <c r="BD398" i="8"/>
  <c r="AX398" i="8"/>
  <c r="AW398" i="8"/>
  <c r="AP398" i="8"/>
  <c r="BI398" i="8" s="1"/>
  <c r="AG398" i="8" s="1"/>
  <c r="AO398" i="8"/>
  <c r="AH398" i="8"/>
  <c r="Z398" i="8"/>
  <c r="I398" i="8"/>
  <c r="BJ397" i="8"/>
  <c r="BF397" i="8"/>
  <c r="BD397" i="8"/>
  <c r="AX397" i="8"/>
  <c r="AW397" i="8"/>
  <c r="BC397" i="8" s="1"/>
  <c r="AV397" i="8"/>
  <c r="AP397" i="8"/>
  <c r="BI397" i="8" s="1"/>
  <c r="AO397" i="8"/>
  <c r="BH397" i="8" s="1"/>
  <c r="AL397" i="8"/>
  <c r="AK397" i="8"/>
  <c r="AG397" i="8"/>
  <c r="AF397" i="8"/>
  <c r="I397" i="8"/>
  <c r="AJ397" i="8" s="1"/>
  <c r="BJ396" i="8"/>
  <c r="BF396" i="8"/>
  <c r="BD396" i="8"/>
  <c r="AW396" i="8"/>
  <c r="AP396" i="8"/>
  <c r="AO396" i="8"/>
  <c r="BH396" i="8" s="1"/>
  <c r="AL396" i="8"/>
  <c r="AK396" i="8"/>
  <c r="AJ396" i="8"/>
  <c r="AF396" i="8"/>
  <c r="I396" i="8"/>
  <c r="BJ395" i="8"/>
  <c r="BI395" i="8"/>
  <c r="BH395" i="8"/>
  <c r="BF395" i="8"/>
  <c r="BD395" i="8"/>
  <c r="AX395" i="8"/>
  <c r="AV395" i="8"/>
  <c r="AP395" i="8"/>
  <c r="AO395" i="8"/>
  <c r="AW395" i="8" s="1"/>
  <c r="BC395" i="8" s="1"/>
  <c r="AH395" i="8"/>
  <c r="AE395" i="8"/>
  <c r="Z395" i="8"/>
  <c r="I395" i="8"/>
  <c r="BJ394" i="8"/>
  <c r="BH394" i="8"/>
  <c r="BF394" i="8"/>
  <c r="BD394" i="8"/>
  <c r="AW394" i="8"/>
  <c r="AP394" i="8"/>
  <c r="AO394" i="8"/>
  <c r="AJ394" i="8"/>
  <c r="AH394" i="8"/>
  <c r="AD394" i="8"/>
  <c r="Z394" i="8"/>
  <c r="I394" i="8"/>
  <c r="AK394" i="8" s="1"/>
  <c r="BJ393" i="8"/>
  <c r="BF393" i="8"/>
  <c r="BD393" i="8"/>
  <c r="AX393" i="8"/>
  <c r="AP393" i="8"/>
  <c r="BI393" i="8" s="1"/>
  <c r="AE393" i="8" s="1"/>
  <c r="AO393" i="8"/>
  <c r="AG393" i="8"/>
  <c r="AC393" i="8"/>
  <c r="I393" i="8"/>
  <c r="I392" i="8"/>
  <c r="BJ391" i="8"/>
  <c r="BF391" i="8"/>
  <c r="BD391" i="8"/>
  <c r="AW391" i="8"/>
  <c r="AP391" i="8"/>
  <c r="AO391" i="8"/>
  <c r="BH391" i="8" s="1"/>
  <c r="AL391" i="8"/>
  <c r="AK391" i="8"/>
  <c r="AJ391" i="8"/>
  <c r="AS390" i="8" s="1"/>
  <c r="AB391" i="8"/>
  <c r="I391" i="8"/>
  <c r="AU390" i="8"/>
  <c r="AT390" i="8"/>
  <c r="I390" i="8"/>
  <c r="BJ389" i="8"/>
  <c r="BF389" i="8"/>
  <c r="BD389" i="8"/>
  <c r="AP389" i="8"/>
  <c r="AX389" i="8" s="1"/>
  <c r="AO389" i="8"/>
  <c r="AJ389" i="8"/>
  <c r="AH389" i="8"/>
  <c r="Z389" i="8"/>
  <c r="I389" i="8"/>
  <c r="AL389" i="8" s="1"/>
  <c r="BJ388" i="8"/>
  <c r="BI388" i="8"/>
  <c r="BH388" i="8"/>
  <c r="BF388" i="8"/>
  <c r="BD388" i="8"/>
  <c r="BC388" i="8"/>
  <c r="AX388" i="8"/>
  <c r="AP388" i="8"/>
  <c r="AO388" i="8"/>
  <c r="AW388" i="8" s="1"/>
  <c r="AL388" i="8"/>
  <c r="AH388" i="8"/>
  <c r="Z388" i="8"/>
  <c r="I388" i="8"/>
  <c r="BJ387" i="8"/>
  <c r="Z387" i="8" s="1"/>
  <c r="BH387" i="8"/>
  <c r="AB387" i="8" s="1"/>
  <c r="BF387" i="8"/>
  <c r="BD387" i="8"/>
  <c r="AX387" i="8"/>
  <c r="AW387" i="8"/>
  <c r="BC387" i="8" s="1"/>
  <c r="AV387" i="8"/>
  <c r="AP387" i="8"/>
  <c r="BI387" i="8" s="1"/>
  <c r="AO387" i="8"/>
  <c r="AK387" i="8"/>
  <c r="AH387" i="8"/>
  <c r="AF387" i="8"/>
  <c r="AD387" i="8"/>
  <c r="I387" i="8"/>
  <c r="AJ387" i="8" s="1"/>
  <c r="BJ386" i="8"/>
  <c r="BI386" i="8"/>
  <c r="BF386" i="8"/>
  <c r="BD386" i="8"/>
  <c r="BC386" i="8"/>
  <c r="AW386" i="8"/>
  <c r="AV386" i="8" s="1"/>
  <c r="AP386" i="8"/>
  <c r="AX386" i="8" s="1"/>
  <c r="AO386" i="8"/>
  <c r="BH386" i="8" s="1"/>
  <c r="AL386" i="8"/>
  <c r="AK386" i="8"/>
  <c r="AJ386" i="8"/>
  <c r="AG386" i="8"/>
  <c r="AF386" i="8"/>
  <c r="I386" i="8"/>
  <c r="BJ385" i="8"/>
  <c r="BI385" i="8"/>
  <c r="BF385" i="8"/>
  <c r="BD385" i="8"/>
  <c r="AX385" i="8"/>
  <c r="AP385" i="8"/>
  <c r="AO385" i="8"/>
  <c r="AH385" i="8"/>
  <c r="AE385" i="8"/>
  <c r="Z385" i="8"/>
  <c r="I385" i="8"/>
  <c r="BJ384" i="8"/>
  <c r="BI384" i="8"/>
  <c r="AC384" i="8" s="1"/>
  <c r="BH384" i="8"/>
  <c r="BF384" i="8"/>
  <c r="BD384" i="8"/>
  <c r="AX384" i="8"/>
  <c r="AW384" i="8"/>
  <c r="AP384" i="8"/>
  <c r="AO384" i="8"/>
  <c r="AH384" i="8"/>
  <c r="AG384" i="8"/>
  <c r="AE384" i="8"/>
  <c r="AD384" i="8"/>
  <c r="Z384" i="8"/>
  <c r="I384" i="8"/>
  <c r="BJ383" i="8"/>
  <c r="Z383" i="8" s="1"/>
  <c r="BF383" i="8"/>
  <c r="BD383" i="8"/>
  <c r="AX383" i="8"/>
  <c r="AP383" i="8"/>
  <c r="BI383" i="8" s="1"/>
  <c r="AO383" i="8"/>
  <c r="AK383" i="8"/>
  <c r="AG383" i="8"/>
  <c r="I383" i="8"/>
  <c r="AJ383" i="8" s="1"/>
  <c r="BJ382" i="8"/>
  <c r="AH382" i="8" s="1"/>
  <c r="BI382" i="8"/>
  <c r="BF382" i="8"/>
  <c r="BD382" i="8"/>
  <c r="AW382" i="8"/>
  <c r="AP382" i="8"/>
  <c r="AX382" i="8" s="1"/>
  <c r="AO382" i="8"/>
  <c r="BH382" i="8" s="1"/>
  <c r="AD382" i="8" s="1"/>
  <c r="AL382" i="8"/>
  <c r="AK382" i="8"/>
  <c r="AJ382" i="8"/>
  <c r="AF382" i="8"/>
  <c r="AE382" i="8"/>
  <c r="AB382" i="8"/>
  <c r="Z382" i="8"/>
  <c r="I382" i="8"/>
  <c r="BJ381" i="8"/>
  <c r="BI381" i="8"/>
  <c r="BH381" i="8"/>
  <c r="BF381" i="8"/>
  <c r="BD381" i="8"/>
  <c r="AX381" i="8"/>
  <c r="AV381" i="8"/>
  <c r="AP381" i="8"/>
  <c r="AO381" i="8"/>
  <c r="AW381" i="8" s="1"/>
  <c r="BC381" i="8" s="1"/>
  <c r="AH381" i="8"/>
  <c r="AE381" i="8"/>
  <c r="Z381" i="8"/>
  <c r="I381" i="8"/>
  <c r="BR378" i="8"/>
  <c r="BJ378" i="8"/>
  <c r="BF378" i="8"/>
  <c r="BD378" i="8"/>
  <c r="AW378" i="8"/>
  <c r="AP378" i="8"/>
  <c r="AO378" i="8"/>
  <c r="BH378" i="8" s="1"/>
  <c r="AL378" i="8"/>
  <c r="AK378" i="8"/>
  <c r="AJ378" i="8"/>
  <c r="AS377" i="8" s="1"/>
  <c r="I378" i="8"/>
  <c r="AU377" i="8"/>
  <c r="AT377" i="8"/>
  <c r="I377" i="8"/>
  <c r="I376" i="8"/>
  <c r="BJ375" i="8"/>
  <c r="BF375" i="8"/>
  <c r="BD375" i="8"/>
  <c r="AW375" i="8"/>
  <c r="AP375" i="8"/>
  <c r="AO375" i="8"/>
  <c r="BH375" i="8" s="1"/>
  <c r="AL375" i="8"/>
  <c r="AK375" i="8"/>
  <c r="AJ375" i="8"/>
  <c r="AB375" i="8"/>
  <c r="I375" i="8"/>
  <c r="BJ374" i="8"/>
  <c r="Z374" i="8" s="1"/>
  <c r="BF374" i="8"/>
  <c r="BD374" i="8"/>
  <c r="AP374" i="8"/>
  <c r="AX374" i="8" s="1"/>
  <c r="AO374" i="8"/>
  <c r="AJ374" i="8"/>
  <c r="AH374" i="8"/>
  <c r="I374" i="8"/>
  <c r="AL374" i="8" s="1"/>
  <c r="AU373" i="8" s="1"/>
  <c r="AS373" i="8"/>
  <c r="I373" i="8"/>
  <c r="BJ372" i="8"/>
  <c r="BI372" i="8"/>
  <c r="AC372" i="8" s="1"/>
  <c r="BH372" i="8"/>
  <c r="BF372" i="8"/>
  <c r="BD372" i="8"/>
  <c r="AX372" i="8"/>
  <c r="AW372" i="8"/>
  <c r="AP372" i="8"/>
  <c r="AO372" i="8"/>
  <c r="AL372" i="8"/>
  <c r="AJ372" i="8"/>
  <c r="AH372" i="8"/>
  <c r="AG372" i="8"/>
  <c r="AE372" i="8"/>
  <c r="AD372" i="8"/>
  <c r="Z372" i="8"/>
  <c r="I372" i="8"/>
  <c r="AK372" i="8" s="1"/>
  <c r="BJ371" i="8"/>
  <c r="Z371" i="8" s="1"/>
  <c r="BF371" i="8"/>
  <c r="BD371" i="8"/>
  <c r="AX371" i="8"/>
  <c r="AP371" i="8"/>
  <c r="BI371" i="8" s="1"/>
  <c r="AE371" i="8" s="1"/>
  <c r="AO371" i="8"/>
  <c r="AK371" i="8"/>
  <c r="AG371" i="8"/>
  <c r="AC371" i="8"/>
  <c r="I371" i="8"/>
  <c r="AJ371" i="8" s="1"/>
  <c r="BJ370" i="8"/>
  <c r="AH370" i="8" s="1"/>
  <c r="BI370" i="8"/>
  <c r="BF370" i="8"/>
  <c r="BD370" i="8"/>
  <c r="AW370" i="8"/>
  <c r="BC370" i="8" s="1"/>
  <c r="AV370" i="8"/>
  <c r="AP370" i="8"/>
  <c r="AX370" i="8" s="1"/>
  <c r="AO370" i="8"/>
  <c r="BH370" i="8" s="1"/>
  <c r="AD370" i="8" s="1"/>
  <c r="AL370" i="8"/>
  <c r="AK370" i="8"/>
  <c r="AJ370" i="8"/>
  <c r="AF370" i="8"/>
  <c r="AB370" i="8"/>
  <c r="Z370" i="8"/>
  <c r="I370" i="8"/>
  <c r="BJ369" i="8"/>
  <c r="BI369" i="8"/>
  <c r="BH369" i="8"/>
  <c r="BF369" i="8"/>
  <c r="BD369" i="8"/>
  <c r="AX369" i="8"/>
  <c r="AV369" i="8"/>
  <c r="AP369" i="8"/>
  <c r="AO369" i="8"/>
  <c r="AW369" i="8" s="1"/>
  <c r="AK369" i="8"/>
  <c r="AJ369" i="8"/>
  <c r="AH369" i="8"/>
  <c r="AE369" i="8"/>
  <c r="Z369" i="8"/>
  <c r="I369" i="8"/>
  <c r="AL369" i="8" s="1"/>
  <c r="BJ368" i="8"/>
  <c r="BH368" i="8"/>
  <c r="BF368" i="8"/>
  <c r="BD368" i="8"/>
  <c r="AW368" i="8"/>
  <c r="AP368" i="8"/>
  <c r="AO368" i="8"/>
  <c r="AJ368" i="8"/>
  <c r="AH368" i="8"/>
  <c r="AD368" i="8"/>
  <c r="Z368" i="8"/>
  <c r="I368" i="8"/>
  <c r="AK368" i="8" s="1"/>
  <c r="BJ367" i="8"/>
  <c r="BF367" i="8"/>
  <c r="BD367" i="8"/>
  <c r="AX367" i="8"/>
  <c r="AP367" i="8"/>
  <c r="BI367" i="8" s="1"/>
  <c r="AE367" i="8" s="1"/>
  <c r="AO367" i="8"/>
  <c r="BH367" i="8" s="1"/>
  <c r="AG367" i="8"/>
  <c r="AC367" i="8"/>
  <c r="I367" i="8"/>
  <c r="BJ366" i="8"/>
  <c r="BF366" i="8"/>
  <c r="BD366" i="8"/>
  <c r="AW366" i="8"/>
  <c r="AP366" i="8"/>
  <c r="AO366" i="8"/>
  <c r="BH366" i="8" s="1"/>
  <c r="AL366" i="8"/>
  <c r="AK366" i="8"/>
  <c r="AJ366" i="8"/>
  <c r="I366" i="8"/>
  <c r="BJ365" i="8"/>
  <c r="BF365" i="8"/>
  <c r="BD365" i="8"/>
  <c r="AP365" i="8"/>
  <c r="AX365" i="8" s="1"/>
  <c r="AO365" i="8"/>
  <c r="AJ365" i="8"/>
  <c r="I365" i="8"/>
  <c r="AL365" i="8" s="1"/>
  <c r="BJ364" i="8"/>
  <c r="BI364" i="8"/>
  <c r="AG364" i="8" s="1"/>
  <c r="BF364" i="8"/>
  <c r="BD364" i="8"/>
  <c r="AP364" i="8"/>
  <c r="AX364" i="8" s="1"/>
  <c r="AO364" i="8"/>
  <c r="AL364" i="8"/>
  <c r="AH364" i="8"/>
  <c r="AE364" i="8"/>
  <c r="AC364" i="8"/>
  <c r="Z364" i="8"/>
  <c r="I364" i="8"/>
  <c r="BJ363" i="8"/>
  <c r="Z363" i="8" s="1"/>
  <c r="BH363" i="8"/>
  <c r="AB363" i="8" s="1"/>
  <c r="BF363" i="8"/>
  <c r="BD363" i="8"/>
  <c r="AX363" i="8"/>
  <c r="AW363" i="8"/>
  <c r="AP363" i="8"/>
  <c r="BI363" i="8" s="1"/>
  <c r="AO363" i="8"/>
  <c r="AL363" i="8"/>
  <c r="AH363" i="8"/>
  <c r="I363" i="8"/>
  <c r="AJ363" i="8" s="1"/>
  <c r="BJ362" i="8"/>
  <c r="BI362" i="8"/>
  <c r="BF362" i="8"/>
  <c r="BD362" i="8"/>
  <c r="BC362" i="8"/>
  <c r="AW362" i="8"/>
  <c r="AV362" i="8" s="1"/>
  <c r="AP362" i="8"/>
  <c r="AX362" i="8" s="1"/>
  <c r="AO362" i="8"/>
  <c r="BH362" i="8" s="1"/>
  <c r="AD362" i="8" s="1"/>
  <c r="AL362" i="8"/>
  <c r="AK362" i="8"/>
  <c r="AJ362" i="8"/>
  <c r="AF362" i="8"/>
  <c r="AC362" i="8"/>
  <c r="I362" i="8"/>
  <c r="BJ361" i="8"/>
  <c r="BF361" i="8"/>
  <c r="BD361" i="8"/>
  <c r="AP361" i="8"/>
  <c r="AO361" i="8"/>
  <c r="I361" i="8"/>
  <c r="BJ360" i="8"/>
  <c r="BI360" i="8"/>
  <c r="AC360" i="8" s="1"/>
  <c r="BH360" i="8"/>
  <c r="BF360" i="8"/>
  <c r="BD360" i="8"/>
  <c r="AX360" i="8"/>
  <c r="AW360" i="8"/>
  <c r="AP360" i="8"/>
  <c r="AO360" i="8"/>
  <c r="AL360" i="8"/>
  <c r="AJ360" i="8"/>
  <c r="AH360" i="8"/>
  <c r="AG360" i="8"/>
  <c r="AE360" i="8"/>
  <c r="AD360" i="8"/>
  <c r="Z360" i="8"/>
  <c r="I360" i="8"/>
  <c r="AK360" i="8" s="1"/>
  <c r="BJ359" i="8"/>
  <c r="Z359" i="8" s="1"/>
  <c r="BF359" i="8"/>
  <c r="BD359" i="8"/>
  <c r="AX359" i="8"/>
  <c r="AP359" i="8"/>
  <c r="BI359" i="8" s="1"/>
  <c r="AO359" i="8"/>
  <c r="AK359" i="8"/>
  <c r="AH359" i="8"/>
  <c r="AG359" i="8"/>
  <c r="I359" i="8"/>
  <c r="BJ358" i="8"/>
  <c r="AH358" i="8" s="1"/>
  <c r="BI358" i="8"/>
  <c r="AC358" i="8" s="1"/>
  <c r="BF358" i="8"/>
  <c r="BD358" i="8"/>
  <c r="BC358" i="8"/>
  <c r="AW358" i="8"/>
  <c r="AV358" i="8"/>
  <c r="AP358" i="8"/>
  <c r="AX358" i="8" s="1"/>
  <c r="AO358" i="8"/>
  <c r="BH358" i="8" s="1"/>
  <c r="AL358" i="8"/>
  <c r="AK358" i="8"/>
  <c r="AJ358" i="8"/>
  <c r="AG358" i="8"/>
  <c r="AE358" i="8"/>
  <c r="AB358" i="8"/>
  <c r="I358" i="8"/>
  <c r="BJ356" i="8"/>
  <c r="BH356" i="8"/>
  <c r="AF356" i="8" s="1"/>
  <c r="BF356" i="8"/>
  <c r="BD356" i="8"/>
  <c r="AX356" i="8"/>
  <c r="AV356" i="8" s="1"/>
  <c r="AP356" i="8"/>
  <c r="BI356" i="8" s="1"/>
  <c r="AO356" i="8"/>
  <c r="AW356" i="8" s="1"/>
  <c r="AK356" i="8"/>
  <c r="AE356" i="8"/>
  <c r="AD356" i="8"/>
  <c r="AB356" i="8"/>
  <c r="I356" i="8"/>
  <c r="AL356" i="8" s="1"/>
  <c r="BJ355" i="8"/>
  <c r="BI355" i="8"/>
  <c r="BF355" i="8"/>
  <c r="BD355" i="8"/>
  <c r="BC355" i="8"/>
  <c r="AW355" i="8"/>
  <c r="AV355" i="8" s="1"/>
  <c r="AP355" i="8"/>
  <c r="AX355" i="8" s="1"/>
  <c r="AO355" i="8"/>
  <c r="BH355" i="8" s="1"/>
  <c r="AJ355" i="8"/>
  <c r="AH355" i="8"/>
  <c r="AD355" i="8"/>
  <c r="AC355" i="8"/>
  <c r="Z355" i="8"/>
  <c r="I355" i="8"/>
  <c r="AK355" i="8" s="1"/>
  <c r="BJ354" i="8"/>
  <c r="BH354" i="8"/>
  <c r="AD354" i="8" s="1"/>
  <c r="BF354" i="8"/>
  <c r="BD354" i="8"/>
  <c r="AX354" i="8"/>
  <c r="AW354" i="8"/>
  <c r="BC354" i="8" s="1"/>
  <c r="AV354" i="8"/>
  <c r="AP354" i="8"/>
  <c r="BI354" i="8" s="1"/>
  <c r="AE354" i="8" s="1"/>
  <c r="AO354" i="8"/>
  <c r="AL354" i="8"/>
  <c r="AK354" i="8"/>
  <c r="AG354" i="8"/>
  <c r="AC354" i="8"/>
  <c r="I354" i="8"/>
  <c r="AJ354" i="8" s="1"/>
  <c r="BJ353" i="8"/>
  <c r="BF353" i="8"/>
  <c r="BD353" i="8"/>
  <c r="AW353" i="8"/>
  <c r="AP353" i="8"/>
  <c r="AO353" i="8"/>
  <c r="BH353" i="8" s="1"/>
  <c r="AL353" i="8"/>
  <c r="AK353" i="8"/>
  <c r="AJ353" i="8"/>
  <c r="I353" i="8"/>
  <c r="BJ352" i="8"/>
  <c r="Z352" i="8" s="1"/>
  <c r="BI352" i="8"/>
  <c r="BF352" i="8"/>
  <c r="BD352" i="8"/>
  <c r="AP352" i="8"/>
  <c r="AX352" i="8" s="1"/>
  <c r="AO352" i="8"/>
  <c r="AJ352" i="8"/>
  <c r="AH352" i="8"/>
  <c r="I352" i="8"/>
  <c r="AL352" i="8" s="1"/>
  <c r="BJ351" i="8"/>
  <c r="BI351" i="8"/>
  <c r="AC351" i="8" s="1"/>
  <c r="BH351" i="8"/>
  <c r="BF351" i="8"/>
  <c r="BD351" i="8"/>
  <c r="BC351" i="8"/>
  <c r="AX351" i="8"/>
  <c r="AP351" i="8"/>
  <c r="AO351" i="8"/>
  <c r="AW351" i="8" s="1"/>
  <c r="AL351" i="8"/>
  <c r="AH351" i="8"/>
  <c r="Z351" i="8"/>
  <c r="I351" i="8"/>
  <c r="BJ350" i="8"/>
  <c r="Z350" i="8" s="1"/>
  <c r="BH350" i="8"/>
  <c r="BF350" i="8"/>
  <c r="BD350" i="8"/>
  <c r="AX350" i="8"/>
  <c r="AW350" i="8"/>
  <c r="BC350" i="8" s="1"/>
  <c r="AV350" i="8"/>
  <c r="AP350" i="8"/>
  <c r="BI350" i="8" s="1"/>
  <c r="AO350" i="8"/>
  <c r="AL350" i="8"/>
  <c r="AK350" i="8"/>
  <c r="AH350" i="8"/>
  <c r="AC350" i="8"/>
  <c r="I350" i="8"/>
  <c r="AJ350" i="8" s="1"/>
  <c r="BJ349" i="8"/>
  <c r="AH349" i="8" s="1"/>
  <c r="BF349" i="8"/>
  <c r="BD349" i="8"/>
  <c r="AW349" i="8"/>
  <c r="AP349" i="8"/>
  <c r="AX349" i="8" s="1"/>
  <c r="AO349" i="8"/>
  <c r="BH349" i="8" s="1"/>
  <c r="AD349" i="8" s="1"/>
  <c r="AL349" i="8"/>
  <c r="AK349" i="8"/>
  <c r="AJ349" i="8"/>
  <c r="AF349" i="8"/>
  <c r="AB349" i="8"/>
  <c r="I349" i="8"/>
  <c r="BJ348" i="8"/>
  <c r="BI348" i="8"/>
  <c r="AE348" i="8" s="1"/>
  <c r="BF348" i="8"/>
  <c r="BD348" i="8"/>
  <c r="AP348" i="8"/>
  <c r="AX348" i="8" s="1"/>
  <c r="AO348" i="8"/>
  <c r="AK348" i="8"/>
  <c r="I348" i="8"/>
  <c r="BJ347" i="8"/>
  <c r="BI347" i="8"/>
  <c r="BF347" i="8"/>
  <c r="BD347" i="8"/>
  <c r="AX347" i="8"/>
  <c r="AP347" i="8"/>
  <c r="AO347" i="8"/>
  <c r="AH347" i="8"/>
  <c r="AG347" i="8"/>
  <c r="Z347" i="8"/>
  <c r="I347" i="8"/>
  <c r="BJ346" i="8"/>
  <c r="Z346" i="8" s="1"/>
  <c r="BF346" i="8"/>
  <c r="BD346" i="8"/>
  <c r="AX346" i="8"/>
  <c r="AP346" i="8"/>
  <c r="BI346" i="8" s="1"/>
  <c r="AE346" i="8" s="1"/>
  <c r="AO346" i="8"/>
  <c r="AK346" i="8"/>
  <c r="AH346" i="8"/>
  <c r="AG346" i="8"/>
  <c r="AC346" i="8"/>
  <c r="I346" i="8"/>
  <c r="AJ346" i="8" s="1"/>
  <c r="BJ344" i="8"/>
  <c r="AH344" i="8" s="1"/>
  <c r="BI344" i="8"/>
  <c r="BF344" i="8"/>
  <c r="BD344" i="8"/>
  <c r="AW344" i="8"/>
  <c r="AV344" i="8"/>
  <c r="AP344" i="8"/>
  <c r="AX344" i="8" s="1"/>
  <c r="AO344" i="8"/>
  <c r="BH344" i="8" s="1"/>
  <c r="AD344" i="8" s="1"/>
  <c r="AL344" i="8"/>
  <c r="AK344" i="8"/>
  <c r="AJ344" i="8"/>
  <c r="AF344" i="8"/>
  <c r="AB344" i="8"/>
  <c r="Z344" i="8"/>
  <c r="I344" i="8"/>
  <c r="BJ343" i="8"/>
  <c r="BH343" i="8"/>
  <c r="AF343" i="8" s="1"/>
  <c r="BF343" i="8"/>
  <c r="BD343" i="8"/>
  <c r="AX343" i="8"/>
  <c r="AV343" i="8"/>
  <c r="AP343" i="8"/>
  <c r="BI343" i="8" s="1"/>
  <c r="AO343" i="8"/>
  <c r="AW343" i="8" s="1"/>
  <c r="AK343" i="8"/>
  <c r="AJ343" i="8"/>
  <c r="AE343" i="8"/>
  <c r="I343" i="8"/>
  <c r="AL343" i="8" s="1"/>
  <c r="BJ342" i="8"/>
  <c r="BF342" i="8"/>
  <c r="BD342" i="8"/>
  <c r="AW342" i="8"/>
  <c r="AP342" i="8"/>
  <c r="AX342" i="8" s="1"/>
  <c r="AO342" i="8"/>
  <c r="BH342" i="8" s="1"/>
  <c r="AJ342" i="8"/>
  <c r="AH342" i="8"/>
  <c r="AD342" i="8"/>
  <c r="Z342" i="8"/>
  <c r="I342" i="8"/>
  <c r="AK342" i="8" s="1"/>
  <c r="BJ341" i="8"/>
  <c r="BH341" i="8"/>
  <c r="AF341" i="8" s="1"/>
  <c r="BF341" i="8"/>
  <c r="BD341" i="8"/>
  <c r="AX341" i="8"/>
  <c r="AW341" i="8"/>
  <c r="BC341" i="8" s="1"/>
  <c r="AV341" i="8"/>
  <c r="AP341" i="8"/>
  <c r="BI341" i="8" s="1"/>
  <c r="AE341" i="8" s="1"/>
  <c r="AO341" i="8"/>
  <c r="AL341" i="8"/>
  <c r="AK341" i="8"/>
  <c r="AG341" i="8"/>
  <c r="AD341" i="8"/>
  <c r="AC341" i="8"/>
  <c r="AB341" i="8"/>
  <c r="I341" i="8"/>
  <c r="AJ341" i="8" s="1"/>
  <c r="BJ340" i="8"/>
  <c r="BF340" i="8"/>
  <c r="BD340" i="8"/>
  <c r="AW340" i="8"/>
  <c r="AP340" i="8"/>
  <c r="AO340" i="8"/>
  <c r="BH340" i="8" s="1"/>
  <c r="AL340" i="8"/>
  <c r="AK340" i="8"/>
  <c r="AJ340" i="8"/>
  <c r="AB340" i="8"/>
  <c r="I340" i="8"/>
  <c r="BJ339" i="8"/>
  <c r="BF339" i="8"/>
  <c r="BD339" i="8"/>
  <c r="AP339" i="8"/>
  <c r="AX339" i="8" s="1"/>
  <c r="AO339" i="8"/>
  <c r="AJ339" i="8"/>
  <c r="AH339" i="8"/>
  <c r="Z339" i="8"/>
  <c r="I339" i="8"/>
  <c r="AL339" i="8" s="1"/>
  <c r="BJ338" i="8"/>
  <c r="BH338" i="8"/>
  <c r="BF338" i="8"/>
  <c r="BD338" i="8"/>
  <c r="AP338" i="8"/>
  <c r="BI338" i="8" s="1"/>
  <c r="AO338" i="8"/>
  <c r="AW338" i="8" s="1"/>
  <c r="AH338" i="8"/>
  <c r="Z338" i="8"/>
  <c r="I338" i="8"/>
  <c r="BJ336" i="8"/>
  <c r="Z336" i="8" s="1"/>
  <c r="BF336" i="8"/>
  <c r="BD336" i="8"/>
  <c r="AX336" i="8"/>
  <c r="AP336" i="8"/>
  <c r="BI336" i="8" s="1"/>
  <c r="AG336" i="8" s="1"/>
  <c r="AO336" i="8"/>
  <c r="AK336" i="8"/>
  <c r="AH336" i="8"/>
  <c r="I336" i="8"/>
  <c r="AJ336" i="8" s="1"/>
  <c r="AS335" i="8" s="1"/>
  <c r="AT335" i="8"/>
  <c r="I335" i="8"/>
  <c r="BJ334" i="8"/>
  <c r="AH334" i="8" s="1"/>
  <c r="BF334" i="8"/>
  <c r="BD334" i="8"/>
  <c r="AW334" i="8"/>
  <c r="AP334" i="8"/>
  <c r="AX334" i="8" s="1"/>
  <c r="AO334" i="8"/>
  <c r="BH334" i="8" s="1"/>
  <c r="AD334" i="8" s="1"/>
  <c r="AL334" i="8"/>
  <c r="AK334" i="8"/>
  <c r="AJ334" i="8"/>
  <c r="AF334" i="8"/>
  <c r="AB334" i="8"/>
  <c r="Z334" i="8"/>
  <c r="I334" i="8"/>
  <c r="BJ333" i="8"/>
  <c r="Z333" i="8" s="1"/>
  <c r="BH333" i="8"/>
  <c r="AF333" i="8" s="1"/>
  <c r="BF333" i="8"/>
  <c r="BD333" i="8"/>
  <c r="AP333" i="8"/>
  <c r="AO333" i="8"/>
  <c r="AW333" i="8" s="1"/>
  <c r="AH333" i="8"/>
  <c r="AB333" i="8"/>
  <c r="I333" i="8"/>
  <c r="BJ332" i="8"/>
  <c r="BF332" i="8"/>
  <c r="BD332" i="8"/>
  <c r="AP332" i="8"/>
  <c r="AX332" i="8" s="1"/>
  <c r="AO332" i="8"/>
  <c r="AJ332" i="8"/>
  <c r="AH332" i="8"/>
  <c r="Z332" i="8"/>
  <c r="I332" i="8"/>
  <c r="AK332" i="8" s="1"/>
  <c r="BJ331" i="8"/>
  <c r="BF331" i="8"/>
  <c r="BD331" i="8"/>
  <c r="AX331" i="8"/>
  <c r="AP331" i="8"/>
  <c r="BI331" i="8" s="1"/>
  <c r="AE331" i="8" s="1"/>
  <c r="AO331" i="8"/>
  <c r="BH331" i="8" s="1"/>
  <c r="AL331" i="8"/>
  <c r="AG331" i="8"/>
  <c r="AC331" i="8"/>
  <c r="I331" i="8"/>
  <c r="BJ330" i="8"/>
  <c r="BF330" i="8"/>
  <c r="BD330" i="8"/>
  <c r="AW330" i="8"/>
  <c r="AP330" i="8"/>
  <c r="AO330" i="8"/>
  <c r="BH330" i="8" s="1"/>
  <c r="AL330" i="8"/>
  <c r="AK330" i="8"/>
  <c r="AJ330" i="8"/>
  <c r="I330" i="8"/>
  <c r="BJ329" i="8"/>
  <c r="BF329" i="8"/>
  <c r="BD329" i="8"/>
  <c r="AP329" i="8"/>
  <c r="AX329" i="8" s="1"/>
  <c r="AO329" i="8"/>
  <c r="AJ329" i="8"/>
  <c r="I329" i="8"/>
  <c r="AL329" i="8" s="1"/>
  <c r="BJ328" i="8"/>
  <c r="BI328" i="8"/>
  <c r="AG328" i="8" s="1"/>
  <c r="BF328" i="8"/>
  <c r="BD328" i="8"/>
  <c r="AP328" i="8"/>
  <c r="AX328" i="8" s="1"/>
  <c r="AO328" i="8"/>
  <c r="AL328" i="8"/>
  <c r="AH328" i="8"/>
  <c r="AE328" i="8"/>
  <c r="AC328" i="8"/>
  <c r="Z328" i="8"/>
  <c r="I328" i="8"/>
  <c r="BJ327" i="8"/>
  <c r="Z327" i="8" s="1"/>
  <c r="BH327" i="8"/>
  <c r="AB327" i="8" s="1"/>
  <c r="BF327" i="8"/>
  <c r="BD327" i="8"/>
  <c r="AX327" i="8"/>
  <c r="AW327" i="8"/>
  <c r="AP327" i="8"/>
  <c r="BI327" i="8" s="1"/>
  <c r="AO327" i="8"/>
  <c r="AL327" i="8"/>
  <c r="AH327" i="8"/>
  <c r="AF327" i="8"/>
  <c r="I327" i="8"/>
  <c r="AJ327" i="8" s="1"/>
  <c r="BJ326" i="8"/>
  <c r="BI326" i="8"/>
  <c r="BF326" i="8"/>
  <c r="BD326" i="8"/>
  <c r="AW326" i="8"/>
  <c r="AV326" i="8" s="1"/>
  <c r="AP326" i="8"/>
  <c r="AX326" i="8" s="1"/>
  <c r="AO326" i="8"/>
  <c r="BH326" i="8" s="1"/>
  <c r="AD326" i="8" s="1"/>
  <c r="AL326" i="8"/>
  <c r="AK326" i="8"/>
  <c r="AJ326" i="8"/>
  <c r="AF326" i="8"/>
  <c r="I326" i="8"/>
  <c r="BJ325" i="8"/>
  <c r="BF325" i="8"/>
  <c r="BD325" i="8"/>
  <c r="AP325" i="8"/>
  <c r="AO325" i="8"/>
  <c r="I325" i="8"/>
  <c r="BJ324" i="8"/>
  <c r="BI324" i="8"/>
  <c r="AC324" i="8" s="1"/>
  <c r="BH324" i="8"/>
  <c r="BF324" i="8"/>
  <c r="BD324" i="8"/>
  <c r="AX324" i="8"/>
  <c r="AW324" i="8"/>
  <c r="AP324" i="8"/>
  <c r="AO324" i="8"/>
  <c r="AL324" i="8"/>
  <c r="AJ324" i="8"/>
  <c r="AH324" i="8"/>
  <c r="AG324" i="8"/>
  <c r="AE324" i="8"/>
  <c r="AD324" i="8"/>
  <c r="Z324" i="8"/>
  <c r="I324" i="8"/>
  <c r="AK324" i="8" s="1"/>
  <c r="BJ323" i="8"/>
  <c r="Z323" i="8" s="1"/>
  <c r="BF323" i="8"/>
  <c r="BD323" i="8"/>
  <c r="AX323" i="8"/>
  <c r="AP323" i="8"/>
  <c r="BI323" i="8" s="1"/>
  <c r="AO323" i="8"/>
  <c r="AK323" i="8"/>
  <c r="AH323" i="8"/>
  <c r="AG323" i="8"/>
  <c r="I323" i="8"/>
  <c r="AJ323" i="8" s="1"/>
  <c r="BJ321" i="8"/>
  <c r="AH321" i="8" s="1"/>
  <c r="BI321" i="8"/>
  <c r="AG321" i="8" s="1"/>
  <c r="BF321" i="8"/>
  <c r="BD321" i="8"/>
  <c r="AW321" i="8"/>
  <c r="BC321" i="8" s="1"/>
  <c r="AV321" i="8"/>
  <c r="AP321" i="8"/>
  <c r="AX321" i="8" s="1"/>
  <c r="AO321" i="8"/>
  <c r="BH321" i="8" s="1"/>
  <c r="AD321" i="8" s="1"/>
  <c r="AL321" i="8"/>
  <c r="AK321" i="8"/>
  <c r="AT320" i="8" s="1"/>
  <c r="AJ321" i="8"/>
  <c r="AF321" i="8"/>
  <c r="AC321" i="8"/>
  <c r="AB321" i="8"/>
  <c r="Z321" i="8"/>
  <c r="I321" i="8"/>
  <c r="AU320" i="8"/>
  <c r="AS320" i="8"/>
  <c r="I320" i="8"/>
  <c r="BJ319" i="8"/>
  <c r="BH319" i="8"/>
  <c r="AF319" i="8" s="1"/>
  <c r="BF319" i="8"/>
  <c r="BD319" i="8"/>
  <c r="AX319" i="8"/>
  <c r="AV319" i="8"/>
  <c r="AP319" i="8"/>
  <c r="BI319" i="8" s="1"/>
  <c r="AO319" i="8"/>
  <c r="AW319" i="8" s="1"/>
  <c r="AK319" i="8"/>
  <c r="AJ319" i="8"/>
  <c r="AE319" i="8"/>
  <c r="I319" i="8"/>
  <c r="AL319" i="8" s="1"/>
  <c r="BJ318" i="8"/>
  <c r="BF318" i="8"/>
  <c r="BD318" i="8"/>
  <c r="AW318" i="8"/>
  <c r="AP318" i="8"/>
  <c r="AX318" i="8" s="1"/>
  <c r="AO318" i="8"/>
  <c r="BH318" i="8" s="1"/>
  <c r="AJ318" i="8"/>
  <c r="AH318" i="8"/>
  <c r="AD318" i="8"/>
  <c r="Z318" i="8"/>
  <c r="I318" i="8"/>
  <c r="AK318" i="8" s="1"/>
  <c r="BJ317" i="8"/>
  <c r="BH317" i="8"/>
  <c r="AF317" i="8" s="1"/>
  <c r="BF317" i="8"/>
  <c r="BD317" i="8"/>
  <c r="AX317" i="8"/>
  <c r="AW317" i="8"/>
  <c r="BC317" i="8" s="1"/>
  <c r="AV317" i="8"/>
  <c r="AP317" i="8"/>
  <c r="BI317" i="8" s="1"/>
  <c r="AE317" i="8" s="1"/>
  <c r="AO317" i="8"/>
  <c r="AL317" i="8"/>
  <c r="AK317" i="8"/>
  <c r="AG317" i="8"/>
  <c r="AD317" i="8"/>
  <c r="AC317" i="8"/>
  <c r="AB317" i="8"/>
  <c r="I317" i="8"/>
  <c r="AJ317" i="8" s="1"/>
  <c r="BJ316" i="8"/>
  <c r="BF316" i="8"/>
  <c r="BD316" i="8"/>
  <c r="AW316" i="8"/>
  <c r="AP316" i="8"/>
  <c r="AO316" i="8"/>
  <c r="BH316" i="8" s="1"/>
  <c r="AL316" i="8"/>
  <c r="AK316" i="8"/>
  <c r="AJ316" i="8"/>
  <c r="AB316" i="8"/>
  <c r="I316" i="8"/>
  <c r="BJ315" i="8"/>
  <c r="BF315" i="8"/>
  <c r="BD315" i="8"/>
  <c r="AP315" i="8"/>
  <c r="AX315" i="8" s="1"/>
  <c r="AO315" i="8"/>
  <c r="AJ315" i="8"/>
  <c r="AH315" i="8"/>
  <c r="Z315" i="8"/>
  <c r="I315" i="8"/>
  <c r="AL315" i="8" s="1"/>
  <c r="BJ314" i="8"/>
  <c r="BH314" i="8"/>
  <c r="BF314" i="8"/>
  <c r="BD314" i="8"/>
  <c r="AP314" i="8"/>
  <c r="BI314" i="8" s="1"/>
  <c r="AO314" i="8"/>
  <c r="AW314" i="8" s="1"/>
  <c r="AH314" i="8"/>
  <c r="Z314" i="8"/>
  <c r="I314" i="8"/>
  <c r="I310" i="8" s="1"/>
  <c r="BJ313" i="8"/>
  <c r="Z313" i="8" s="1"/>
  <c r="BH313" i="8"/>
  <c r="AB313" i="8" s="1"/>
  <c r="BF313" i="8"/>
  <c r="BD313" i="8"/>
  <c r="AX313" i="8"/>
  <c r="AW313" i="8"/>
  <c r="BC313" i="8" s="1"/>
  <c r="AV313" i="8"/>
  <c r="AP313" i="8"/>
  <c r="BI313" i="8" s="1"/>
  <c r="AO313" i="8"/>
  <c r="AH313" i="8"/>
  <c r="AD313" i="8"/>
  <c r="I313" i="8"/>
  <c r="BJ312" i="8"/>
  <c r="AH312" i="8" s="1"/>
  <c r="BF312" i="8"/>
  <c r="BD312" i="8"/>
  <c r="AW312" i="8"/>
  <c r="AP312" i="8"/>
  <c r="AO312" i="8"/>
  <c r="BH312" i="8" s="1"/>
  <c r="AL312" i="8"/>
  <c r="AK312" i="8"/>
  <c r="AJ312" i="8"/>
  <c r="Z312" i="8"/>
  <c r="I312" i="8"/>
  <c r="BJ311" i="8"/>
  <c r="BI311" i="8"/>
  <c r="BH311" i="8"/>
  <c r="BF311" i="8"/>
  <c r="BD311" i="8"/>
  <c r="AX311" i="8"/>
  <c r="BC311" i="8" s="1"/>
  <c r="AP311" i="8"/>
  <c r="AO311" i="8"/>
  <c r="AW311" i="8" s="1"/>
  <c r="AK311" i="8"/>
  <c r="AH311" i="8"/>
  <c r="AB311" i="8"/>
  <c r="Z311" i="8"/>
  <c r="I311" i="8"/>
  <c r="BR308" i="8"/>
  <c r="BJ308" i="8"/>
  <c r="AH308" i="8" s="1"/>
  <c r="BF308" i="8"/>
  <c r="BD308" i="8"/>
  <c r="AW308" i="8"/>
  <c r="AP308" i="8"/>
  <c r="AO308" i="8"/>
  <c r="BH308" i="8" s="1"/>
  <c r="AD308" i="8" s="1"/>
  <c r="AL308" i="8"/>
  <c r="AK308" i="8"/>
  <c r="AT307" i="8" s="1"/>
  <c r="AJ308" i="8"/>
  <c r="AS307" i="8" s="1"/>
  <c r="AF308" i="8"/>
  <c r="AB308" i="8"/>
  <c r="Z308" i="8"/>
  <c r="I308" i="8"/>
  <c r="AU307" i="8"/>
  <c r="I307" i="8"/>
  <c r="I306" i="8"/>
  <c r="BJ305" i="8"/>
  <c r="AH305" i="8" s="1"/>
  <c r="BF305" i="8"/>
  <c r="BD305" i="8"/>
  <c r="AW305" i="8"/>
  <c r="AP305" i="8"/>
  <c r="AX305" i="8" s="1"/>
  <c r="AV305" i="8" s="1"/>
  <c r="AO305" i="8"/>
  <c r="BH305" i="8" s="1"/>
  <c r="AD305" i="8" s="1"/>
  <c r="AL305" i="8"/>
  <c r="AK305" i="8"/>
  <c r="AJ305" i="8"/>
  <c r="AF305" i="8"/>
  <c r="AB305" i="8"/>
  <c r="Z305" i="8"/>
  <c r="I305" i="8"/>
  <c r="BJ304" i="8"/>
  <c r="BH304" i="8"/>
  <c r="AF304" i="8" s="1"/>
  <c r="BF304" i="8"/>
  <c r="BD304" i="8"/>
  <c r="AX304" i="8"/>
  <c r="AV304" i="8"/>
  <c r="AP304" i="8"/>
  <c r="BI304" i="8" s="1"/>
  <c r="AO304" i="8"/>
  <c r="AW304" i="8" s="1"/>
  <c r="AK304" i="8"/>
  <c r="AJ304" i="8"/>
  <c r="AE304" i="8"/>
  <c r="AD304" i="8"/>
  <c r="I304" i="8"/>
  <c r="AS303" i="8"/>
  <c r="BJ302" i="8"/>
  <c r="BF302" i="8"/>
  <c r="BD302" i="8"/>
  <c r="AP302" i="8"/>
  <c r="AO302" i="8"/>
  <c r="AH302" i="8"/>
  <c r="Z302" i="8"/>
  <c r="I302" i="8"/>
  <c r="BJ301" i="8"/>
  <c r="Z301" i="8" s="1"/>
  <c r="BH301" i="8"/>
  <c r="AB301" i="8" s="1"/>
  <c r="BF301" i="8"/>
  <c r="BD301" i="8"/>
  <c r="AX301" i="8"/>
  <c r="AW301" i="8"/>
  <c r="BC301" i="8" s="1"/>
  <c r="AV301" i="8"/>
  <c r="AP301" i="8"/>
  <c r="BI301" i="8" s="1"/>
  <c r="AO301" i="8"/>
  <c r="AH301" i="8"/>
  <c r="AF301" i="8"/>
  <c r="AD301" i="8"/>
  <c r="I301" i="8"/>
  <c r="BJ300" i="8"/>
  <c r="AH300" i="8" s="1"/>
  <c r="BF300" i="8"/>
  <c r="BD300" i="8"/>
  <c r="BC300" i="8"/>
  <c r="AW300" i="8"/>
  <c r="AP300" i="8"/>
  <c r="AX300" i="8" s="1"/>
  <c r="AO300" i="8"/>
  <c r="BH300" i="8" s="1"/>
  <c r="AL300" i="8"/>
  <c r="AK300" i="8"/>
  <c r="AJ300" i="8"/>
  <c r="AF300" i="8"/>
  <c r="Z300" i="8"/>
  <c r="I300" i="8"/>
  <c r="BJ299" i="8"/>
  <c r="BH299" i="8"/>
  <c r="BF299" i="8"/>
  <c r="BD299" i="8"/>
  <c r="AP299" i="8"/>
  <c r="BI299" i="8" s="1"/>
  <c r="AO299" i="8"/>
  <c r="AW299" i="8" s="1"/>
  <c r="AH299" i="8"/>
  <c r="Z299" i="8"/>
  <c r="I299" i="8"/>
  <c r="BJ298" i="8"/>
  <c r="BI298" i="8"/>
  <c r="AC298" i="8" s="1"/>
  <c r="BH298" i="8"/>
  <c r="BF298" i="8"/>
  <c r="BD298" i="8"/>
  <c r="AX298" i="8"/>
  <c r="AW298" i="8"/>
  <c r="AP298" i="8"/>
  <c r="AO298" i="8"/>
  <c r="AL298" i="8"/>
  <c r="AJ298" i="8"/>
  <c r="AH298" i="8"/>
  <c r="AG298" i="8"/>
  <c r="AE298" i="8"/>
  <c r="AD298" i="8"/>
  <c r="Z298" i="8"/>
  <c r="I298" i="8"/>
  <c r="AK298" i="8" s="1"/>
  <c r="BJ297" i="8"/>
  <c r="Z297" i="8" s="1"/>
  <c r="BF297" i="8"/>
  <c r="BD297" i="8"/>
  <c r="AX297" i="8"/>
  <c r="AP297" i="8"/>
  <c r="BI297" i="8" s="1"/>
  <c r="AO297" i="8"/>
  <c r="AK297" i="8"/>
  <c r="AH297" i="8"/>
  <c r="AG297" i="8"/>
  <c r="I297" i="8"/>
  <c r="AJ297" i="8" s="1"/>
  <c r="BJ296" i="8"/>
  <c r="AH296" i="8" s="1"/>
  <c r="BI296" i="8"/>
  <c r="AC296" i="8" s="1"/>
  <c r="BF296" i="8"/>
  <c r="BD296" i="8"/>
  <c r="AW296" i="8"/>
  <c r="BC296" i="8" s="1"/>
  <c r="AV296" i="8"/>
  <c r="AP296" i="8"/>
  <c r="AX296" i="8" s="1"/>
  <c r="AO296" i="8"/>
  <c r="BH296" i="8" s="1"/>
  <c r="AD296" i="8" s="1"/>
  <c r="AL296" i="8"/>
  <c r="AK296" i="8"/>
  <c r="AJ296" i="8"/>
  <c r="AF296" i="8"/>
  <c r="AE296" i="8"/>
  <c r="AB296" i="8"/>
  <c r="Z296" i="8"/>
  <c r="I296" i="8"/>
  <c r="BJ295" i="8"/>
  <c r="BI295" i="8"/>
  <c r="BF295" i="8"/>
  <c r="BD295" i="8"/>
  <c r="AX295" i="8"/>
  <c r="AP295" i="8"/>
  <c r="AO295" i="8"/>
  <c r="AH295" i="8"/>
  <c r="Z295" i="8"/>
  <c r="I295" i="8"/>
  <c r="BJ294" i="8"/>
  <c r="BH294" i="8"/>
  <c r="BF294" i="8"/>
  <c r="BD294" i="8"/>
  <c r="AW294" i="8"/>
  <c r="AP294" i="8"/>
  <c r="AO294" i="8"/>
  <c r="AH294" i="8"/>
  <c r="Z294" i="8"/>
  <c r="I294" i="8"/>
  <c r="BJ293" i="8"/>
  <c r="Z293" i="8" s="1"/>
  <c r="BF293" i="8"/>
  <c r="BD293" i="8"/>
  <c r="AX293" i="8"/>
  <c r="AP293" i="8"/>
  <c r="BI293" i="8" s="1"/>
  <c r="AO293" i="8"/>
  <c r="AH293" i="8"/>
  <c r="I293" i="8"/>
  <c r="BJ292" i="8"/>
  <c r="AH292" i="8" s="1"/>
  <c r="BF292" i="8"/>
  <c r="BD292" i="8"/>
  <c r="AW292" i="8"/>
  <c r="AP292" i="8"/>
  <c r="AX292" i="8" s="1"/>
  <c r="AO292" i="8"/>
  <c r="BH292" i="8" s="1"/>
  <c r="AD292" i="8" s="1"/>
  <c r="AL292" i="8"/>
  <c r="AK292" i="8"/>
  <c r="AJ292" i="8"/>
  <c r="AF292" i="8"/>
  <c r="AB292" i="8"/>
  <c r="Z292" i="8"/>
  <c r="I292" i="8"/>
  <c r="BJ291" i="8"/>
  <c r="Z291" i="8" s="1"/>
  <c r="BH291" i="8"/>
  <c r="AF291" i="8" s="1"/>
  <c r="BF291" i="8"/>
  <c r="BD291" i="8"/>
  <c r="AP291" i="8"/>
  <c r="AO291" i="8"/>
  <c r="AW291" i="8" s="1"/>
  <c r="AH291" i="8"/>
  <c r="AB291" i="8"/>
  <c r="I291" i="8"/>
  <c r="BJ290" i="8"/>
  <c r="BF290" i="8"/>
  <c r="BD290" i="8"/>
  <c r="AP290" i="8"/>
  <c r="AX290" i="8" s="1"/>
  <c r="AO290" i="8"/>
  <c r="AJ290" i="8"/>
  <c r="AH290" i="8"/>
  <c r="Z290" i="8"/>
  <c r="I290" i="8"/>
  <c r="AK290" i="8" s="1"/>
  <c r="BJ289" i="8"/>
  <c r="BH289" i="8"/>
  <c r="AB289" i="8" s="1"/>
  <c r="BF289" i="8"/>
  <c r="BD289" i="8"/>
  <c r="AX289" i="8"/>
  <c r="AW289" i="8"/>
  <c r="AP289" i="8"/>
  <c r="BI289" i="8" s="1"/>
  <c r="AE289" i="8" s="1"/>
  <c r="AO289" i="8"/>
  <c r="AG289" i="8"/>
  <c r="AF289" i="8"/>
  <c r="AC289" i="8"/>
  <c r="I289" i="8"/>
  <c r="BJ288" i="8"/>
  <c r="BF288" i="8"/>
  <c r="BD288" i="8"/>
  <c r="AW288" i="8"/>
  <c r="AP288" i="8"/>
  <c r="AO288" i="8"/>
  <c r="BH288" i="8" s="1"/>
  <c r="AL288" i="8"/>
  <c r="AK288" i="8"/>
  <c r="AJ288" i="8"/>
  <c r="I288" i="8"/>
  <c r="BJ286" i="8"/>
  <c r="BI286" i="8"/>
  <c r="BH286" i="8"/>
  <c r="BF286" i="8"/>
  <c r="BD286" i="8"/>
  <c r="AX286" i="8"/>
  <c r="BC286" i="8" s="1"/>
  <c r="AP286" i="8"/>
  <c r="AO286" i="8"/>
  <c r="AW286" i="8" s="1"/>
  <c r="AK286" i="8"/>
  <c r="AH286" i="8"/>
  <c r="Z286" i="8"/>
  <c r="I286" i="8"/>
  <c r="BJ285" i="8"/>
  <c r="BI285" i="8"/>
  <c r="AC285" i="8" s="1"/>
  <c r="BF285" i="8"/>
  <c r="BD285" i="8"/>
  <c r="AX285" i="8"/>
  <c r="AP285" i="8"/>
  <c r="AO285" i="8"/>
  <c r="AW285" i="8" s="1"/>
  <c r="AV285" i="8" s="1"/>
  <c r="AH285" i="8"/>
  <c r="AG285" i="8"/>
  <c r="AE285" i="8"/>
  <c r="Z285" i="8"/>
  <c r="I285" i="8"/>
  <c r="BJ284" i="8"/>
  <c r="Z284" i="8" s="1"/>
  <c r="BF284" i="8"/>
  <c r="BD284" i="8"/>
  <c r="AX284" i="8"/>
  <c r="AP284" i="8"/>
  <c r="BI284" i="8" s="1"/>
  <c r="AE284" i="8" s="1"/>
  <c r="AO284" i="8"/>
  <c r="AK284" i="8"/>
  <c r="AH284" i="8"/>
  <c r="AG284" i="8"/>
  <c r="AC284" i="8"/>
  <c r="I284" i="8"/>
  <c r="AJ284" i="8" s="1"/>
  <c r="BJ283" i="8"/>
  <c r="AH283" i="8" s="1"/>
  <c r="BI283" i="8"/>
  <c r="BF283" i="8"/>
  <c r="BD283" i="8"/>
  <c r="AW283" i="8"/>
  <c r="BC283" i="8" s="1"/>
  <c r="AP283" i="8"/>
  <c r="AX283" i="8" s="1"/>
  <c r="AO283" i="8"/>
  <c r="BH283" i="8" s="1"/>
  <c r="AD283" i="8" s="1"/>
  <c r="AL283" i="8"/>
  <c r="AK283" i="8"/>
  <c r="AJ283" i="8"/>
  <c r="AF283" i="8"/>
  <c r="AE283" i="8"/>
  <c r="Z283" i="8"/>
  <c r="I283" i="8"/>
  <c r="BJ282" i="8"/>
  <c r="BI282" i="8"/>
  <c r="BH282" i="8"/>
  <c r="AB282" i="8" s="1"/>
  <c r="BF282" i="8"/>
  <c r="BD282" i="8"/>
  <c r="AX282" i="8"/>
  <c r="AV282" i="8"/>
  <c r="AP282" i="8"/>
  <c r="AO282" i="8"/>
  <c r="AW282" i="8" s="1"/>
  <c r="BC282" i="8" s="1"/>
  <c r="AK282" i="8"/>
  <c r="AJ282" i="8"/>
  <c r="AH282" i="8"/>
  <c r="AE282" i="8"/>
  <c r="AD282" i="8"/>
  <c r="Z282" i="8"/>
  <c r="I282" i="8"/>
  <c r="AL282" i="8" s="1"/>
  <c r="BJ281" i="8"/>
  <c r="BH281" i="8"/>
  <c r="BF281" i="8"/>
  <c r="BD281" i="8"/>
  <c r="AW281" i="8"/>
  <c r="AP281" i="8"/>
  <c r="AO281" i="8"/>
  <c r="AL281" i="8"/>
  <c r="AJ281" i="8"/>
  <c r="AH281" i="8"/>
  <c r="Z281" i="8"/>
  <c r="I281" i="8"/>
  <c r="AK281" i="8" s="1"/>
  <c r="BJ280" i="8"/>
  <c r="Z280" i="8" s="1"/>
  <c r="BH280" i="8"/>
  <c r="BF280" i="8"/>
  <c r="BD280" i="8"/>
  <c r="AX280" i="8"/>
  <c r="AW280" i="8"/>
  <c r="AP280" i="8"/>
  <c r="BI280" i="8" s="1"/>
  <c r="AO280" i="8"/>
  <c r="AH280" i="8"/>
  <c r="AB280" i="8"/>
  <c r="I280" i="8"/>
  <c r="BJ279" i="8"/>
  <c r="AH279" i="8" s="1"/>
  <c r="BF279" i="8"/>
  <c r="BD279" i="8"/>
  <c r="AW279" i="8"/>
  <c r="AP279" i="8"/>
  <c r="AO279" i="8"/>
  <c r="BH279" i="8" s="1"/>
  <c r="AD279" i="8" s="1"/>
  <c r="AL279" i="8"/>
  <c r="AK279" i="8"/>
  <c r="AJ279" i="8"/>
  <c r="AF279" i="8"/>
  <c r="AB279" i="8"/>
  <c r="Z279" i="8"/>
  <c r="I279" i="8"/>
  <c r="BJ278" i="8"/>
  <c r="Z278" i="8" s="1"/>
  <c r="BH278" i="8"/>
  <c r="BF278" i="8"/>
  <c r="BD278" i="8"/>
  <c r="AP278" i="8"/>
  <c r="AO278" i="8"/>
  <c r="AW278" i="8" s="1"/>
  <c r="AJ278" i="8"/>
  <c r="AH278" i="8"/>
  <c r="AB278" i="8"/>
  <c r="I278" i="8"/>
  <c r="BJ277" i="8"/>
  <c r="BF277" i="8"/>
  <c r="BD277" i="8"/>
  <c r="AP277" i="8"/>
  <c r="AO277" i="8"/>
  <c r="AJ277" i="8"/>
  <c r="AH277" i="8"/>
  <c r="Z277" i="8"/>
  <c r="I277" i="8"/>
  <c r="AK277" i="8" s="1"/>
  <c r="BJ276" i="8"/>
  <c r="BF276" i="8"/>
  <c r="BD276" i="8"/>
  <c r="AX276" i="8"/>
  <c r="AP276" i="8"/>
  <c r="BI276" i="8" s="1"/>
  <c r="AE276" i="8" s="1"/>
  <c r="AO276" i="8"/>
  <c r="AG276" i="8"/>
  <c r="AC276" i="8"/>
  <c r="I276" i="8"/>
  <c r="BJ274" i="8"/>
  <c r="BI274" i="8"/>
  <c r="BF274" i="8"/>
  <c r="BD274" i="8"/>
  <c r="AW274" i="8"/>
  <c r="AV274" i="8" s="1"/>
  <c r="AP274" i="8"/>
  <c r="AX274" i="8" s="1"/>
  <c r="AO274" i="8"/>
  <c r="BH274" i="8" s="1"/>
  <c r="AD274" i="8" s="1"/>
  <c r="AL274" i="8"/>
  <c r="AK274" i="8"/>
  <c r="AJ274" i="8"/>
  <c r="AF274" i="8"/>
  <c r="I274" i="8"/>
  <c r="BJ273" i="8"/>
  <c r="BF273" i="8"/>
  <c r="BD273" i="8"/>
  <c r="AP273" i="8"/>
  <c r="AO273" i="8"/>
  <c r="I273" i="8"/>
  <c r="BJ272" i="8"/>
  <c r="BI272" i="8"/>
  <c r="AC272" i="8" s="1"/>
  <c r="BH272" i="8"/>
  <c r="BF272" i="8"/>
  <c r="BD272" i="8"/>
  <c r="AX272" i="8"/>
  <c r="AW272" i="8"/>
  <c r="AP272" i="8"/>
  <c r="AO272" i="8"/>
  <c r="AL272" i="8"/>
  <c r="AJ272" i="8"/>
  <c r="AH272" i="8"/>
  <c r="AG272" i="8"/>
  <c r="AE272" i="8"/>
  <c r="AD272" i="8"/>
  <c r="Z272" i="8"/>
  <c r="I272" i="8"/>
  <c r="AK272" i="8" s="1"/>
  <c r="BJ271" i="8"/>
  <c r="Z271" i="8" s="1"/>
  <c r="BF271" i="8"/>
  <c r="BD271" i="8"/>
  <c r="AX271" i="8"/>
  <c r="AP271" i="8"/>
  <c r="BI271" i="8" s="1"/>
  <c r="AO271" i="8"/>
  <c r="AH271" i="8"/>
  <c r="AG271" i="8"/>
  <c r="I271" i="8"/>
  <c r="I267" i="8" s="1"/>
  <c r="BJ270" i="8"/>
  <c r="AH270" i="8" s="1"/>
  <c r="BF270" i="8"/>
  <c r="BD270" i="8"/>
  <c r="AW270" i="8"/>
  <c r="AP270" i="8"/>
  <c r="AO270" i="8"/>
  <c r="BH270" i="8" s="1"/>
  <c r="AD270" i="8" s="1"/>
  <c r="AL270" i="8"/>
  <c r="AK270" i="8"/>
  <c r="AJ270" i="8"/>
  <c r="AF270" i="8"/>
  <c r="AB270" i="8"/>
  <c r="Z270" i="8"/>
  <c r="I270" i="8"/>
  <c r="BJ269" i="8"/>
  <c r="Z269" i="8" s="1"/>
  <c r="BH269" i="8"/>
  <c r="AF269" i="8" s="1"/>
  <c r="BF269" i="8"/>
  <c r="BD269" i="8"/>
  <c r="AP269" i="8"/>
  <c r="AO269" i="8"/>
  <c r="AW269" i="8" s="1"/>
  <c r="AJ269" i="8"/>
  <c r="AH269" i="8"/>
  <c r="AD269" i="8"/>
  <c r="AB269" i="8"/>
  <c r="I269" i="8"/>
  <c r="AL269" i="8" s="1"/>
  <c r="BJ268" i="8"/>
  <c r="BF268" i="8"/>
  <c r="BD268" i="8"/>
  <c r="AP268" i="8"/>
  <c r="AX268" i="8" s="1"/>
  <c r="AO268" i="8"/>
  <c r="AJ268" i="8"/>
  <c r="AH268" i="8"/>
  <c r="Z268" i="8"/>
  <c r="I268" i="8"/>
  <c r="AK268" i="8" s="1"/>
  <c r="BJ266" i="8"/>
  <c r="Z266" i="8" s="1"/>
  <c r="BH266" i="8"/>
  <c r="AB266" i="8" s="1"/>
  <c r="BF266" i="8"/>
  <c r="BD266" i="8"/>
  <c r="AX266" i="8"/>
  <c r="AW266" i="8"/>
  <c r="BC266" i="8" s="1"/>
  <c r="AV266" i="8"/>
  <c r="AP266" i="8"/>
  <c r="BI266" i="8" s="1"/>
  <c r="AO266" i="8"/>
  <c r="AK266" i="8"/>
  <c r="AT265" i="8" s="1"/>
  <c r="AH266" i="8"/>
  <c r="AF266" i="8"/>
  <c r="AD266" i="8"/>
  <c r="AC266" i="8"/>
  <c r="I266" i="8"/>
  <c r="AJ266" i="8" s="1"/>
  <c r="AS265" i="8" s="1"/>
  <c r="BJ264" i="8"/>
  <c r="AH264" i="8" s="1"/>
  <c r="BI264" i="8"/>
  <c r="BF264" i="8"/>
  <c r="BD264" i="8"/>
  <c r="AW264" i="8"/>
  <c r="BC264" i="8" s="1"/>
  <c r="AP264" i="8"/>
  <c r="AX264" i="8" s="1"/>
  <c r="AO264" i="8"/>
  <c r="BH264" i="8" s="1"/>
  <c r="AD264" i="8" s="1"/>
  <c r="AL264" i="8"/>
  <c r="AK264" i="8"/>
  <c r="AJ264" i="8"/>
  <c r="AF264" i="8"/>
  <c r="AE264" i="8"/>
  <c r="AB264" i="8"/>
  <c r="Z264" i="8"/>
  <c r="I264" i="8"/>
  <c r="BJ263" i="8"/>
  <c r="BI263" i="8"/>
  <c r="BH263" i="8"/>
  <c r="BF263" i="8"/>
  <c r="BD263" i="8"/>
  <c r="AX263" i="8"/>
  <c r="AV263" i="8"/>
  <c r="AP263" i="8"/>
  <c r="AO263" i="8"/>
  <c r="AW263" i="8" s="1"/>
  <c r="BC263" i="8" s="1"/>
  <c r="AH263" i="8"/>
  <c r="AE263" i="8"/>
  <c r="Z263" i="8"/>
  <c r="I263" i="8"/>
  <c r="AL263" i="8" s="1"/>
  <c r="BJ262" i="8"/>
  <c r="BH262" i="8"/>
  <c r="AF262" i="8" s="1"/>
  <c r="BF262" i="8"/>
  <c r="BD262" i="8"/>
  <c r="AW262" i="8"/>
  <c r="AP262" i="8"/>
  <c r="AO262" i="8"/>
  <c r="AH262" i="8"/>
  <c r="AD262" i="8"/>
  <c r="Z262" i="8"/>
  <c r="I262" i="8"/>
  <c r="BJ261" i="8"/>
  <c r="BF261" i="8"/>
  <c r="BD261" i="8"/>
  <c r="AX261" i="8"/>
  <c r="AW261" i="8"/>
  <c r="BC261" i="8" s="1"/>
  <c r="AV261" i="8"/>
  <c r="AP261" i="8"/>
  <c r="BI261" i="8" s="1"/>
  <c r="AE261" i="8" s="1"/>
  <c r="AO261" i="8"/>
  <c r="BH261" i="8" s="1"/>
  <c r="AD261" i="8" s="1"/>
  <c r="AL261" i="8"/>
  <c r="AK261" i="8"/>
  <c r="AG261" i="8"/>
  <c r="AF261" i="8"/>
  <c r="I261" i="8"/>
  <c r="AJ261" i="8" s="1"/>
  <c r="BJ260" i="8"/>
  <c r="AH260" i="8" s="1"/>
  <c r="BF260" i="8"/>
  <c r="BD260" i="8"/>
  <c r="BC260" i="8"/>
  <c r="AW260" i="8"/>
  <c r="AP260" i="8"/>
  <c r="AX260" i="8" s="1"/>
  <c r="AV260" i="8" s="1"/>
  <c r="AO260" i="8"/>
  <c r="BH260" i="8" s="1"/>
  <c r="AD260" i="8" s="1"/>
  <c r="AL260" i="8"/>
  <c r="AK260" i="8"/>
  <c r="AJ260" i="8"/>
  <c r="AF260" i="8"/>
  <c r="I260" i="8"/>
  <c r="BJ259" i="8"/>
  <c r="BH259" i="8"/>
  <c r="BF259" i="8"/>
  <c r="BD259" i="8"/>
  <c r="AP259" i="8"/>
  <c r="BI259" i="8" s="1"/>
  <c r="AO259" i="8"/>
  <c r="AW259" i="8" s="1"/>
  <c r="AH259" i="8"/>
  <c r="Z259" i="8"/>
  <c r="I259" i="8"/>
  <c r="BJ258" i="8"/>
  <c r="BF258" i="8"/>
  <c r="BD258" i="8"/>
  <c r="AX258" i="8"/>
  <c r="AP258" i="8"/>
  <c r="BI258" i="8" s="1"/>
  <c r="AE258" i="8" s="1"/>
  <c r="AO258" i="8"/>
  <c r="BH258" i="8" s="1"/>
  <c r="AL258" i="8"/>
  <c r="AH258" i="8"/>
  <c r="AG258" i="8"/>
  <c r="AC258" i="8"/>
  <c r="Z258" i="8"/>
  <c r="I258" i="8"/>
  <c r="BJ257" i="8"/>
  <c r="BF257" i="8"/>
  <c r="BD257" i="8"/>
  <c r="AX257" i="8"/>
  <c r="AW257" i="8"/>
  <c r="BC257" i="8" s="1"/>
  <c r="AV257" i="8"/>
  <c r="AP257" i="8"/>
  <c r="BI257" i="8" s="1"/>
  <c r="AE257" i="8" s="1"/>
  <c r="AO257" i="8"/>
  <c r="BH257" i="8" s="1"/>
  <c r="AD257" i="8" s="1"/>
  <c r="AL257" i="8"/>
  <c r="AK257" i="8"/>
  <c r="AG257" i="8"/>
  <c r="AF257" i="8"/>
  <c r="AC257" i="8"/>
  <c r="AB257" i="8"/>
  <c r="I257" i="8"/>
  <c r="AJ257" i="8" s="1"/>
  <c r="BJ256" i="8"/>
  <c r="AH256" i="8" s="1"/>
  <c r="BI256" i="8"/>
  <c r="BF256" i="8"/>
  <c r="BD256" i="8"/>
  <c r="BC256" i="8"/>
  <c r="AW256" i="8"/>
  <c r="AV256" i="8"/>
  <c r="AP256" i="8"/>
  <c r="AX256" i="8" s="1"/>
  <c r="AO256" i="8"/>
  <c r="BH256" i="8" s="1"/>
  <c r="AD256" i="8" s="1"/>
  <c r="AL256" i="8"/>
  <c r="AK256" i="8"/>
  <c r="AJ256" i="8"/>
  <c r="AF256" i="8"/>
  <c r="AE256" i="8"/>
  <c r="AB256" i="8"/>
  <c r="I256" i="8"/>
  <c r="BJ255" i="8"/>
  <c r="BI255" i="8"/>
  <c r="BF255" i="8"/>
  <c r="BD255" i="8"/>
  <c r="AP255" i="8"/>
  <c r="AX255" i="8" s="1"/>
  <c r="BC255" i="8" s="1"/>
  <c r="AO255" i="8"/>
  <c r="AW255" i="8" s="1"/>
  <c r="AJ255" i="8"/>
  <c r="AH255" i="8"/>
  <c r="Z255" i="8"/>
  <c r="I255" i="8"/>
  <c r="BJ254" i="8"/>
  <c r="BH254" i="8"/>
  <c r="BF254" i="8"/>
  <c r="BD254" i="8"/>
  <c r="AX254" i="8"/>
  <c r="AW254" i="8"/>
  <c r="AP254" i="8"/>
  <c r="BI254" i="8" s="1"/>
  <c r="AE254" i="8" s="1"/>
  <c r="AO254" i="8"/>
  <c r="AH254" i="8"/>
  <c r="AG254" i="8"/>
  <c r="Z254" i="8"/>
  <c r="I254" i="8"/>
  <c r="AL254" i="8" s="1"/>
  <c r="BJ253" i="8"/>
  <c r="BF253" i="8"/>
  <c r="BD253" i="8"/>
  <c r="AX253" i="8"/>
  <c r="AW253" i="8"/>
  <c r="BC253" i="8" s="1"/>
  <c r="AV253" i="8"/>
  <c r="AP253" i="8"/>
  <c r="BI253" i="8" s="1"/>
  <c r="AE253" i="8" s="1"/>
  <c r="AO253" i="8"/>
  <c r="BH253" i="8" s="1"/>
  <c r="AD253" i="8" s="1"/>
  <c r="AL253" i="8"/>
  <c r="AK253" i="8"/>
  <c r="AF253" i="8"/>
  <c r="I253" i="8"/>
  <c r="AJ253" i="8" s="1"/>
  <c r="BJ251" i="8"/>
  <c r="AH251" i="8" s="1"/>
  <c r="BI251" i="8"/>
  <c r="BF251" i="8"/>
  <c r="BD251" i="8"/>
  <c r="BC251" i="8"/>
  <c r="AW251" i="8"/>
  <c r="AV251" i="8"/>
  <c r="AP251" i="8"/>
  <c r="AX251" i="8" s="1"/>
  <c r="AO251" i="8"/>
  <c r="BH251" i="8" s="1"/>
  <c r="AD251" i="8" s="1"/>
  <c r="AL251" i="8"/>
  <c r="AK251" i="8"/>
  <c r="AJ251" i="8"/>
  <c r="AF251" i="8"/>
  <c r="AE251" i="8"/>
  <c r="AB251" i="8"/>
  <c r="I251" i="8"/>
  <c r="AU250" i="8"/>
  <c r="AT250" i="8"/>
  <c r="AS250" i="8"/>
  <c r="I250" i="8"/>
  <c r="BJ249" i="8"/>
  <c r="BI249" i="8"/>
  <c r="AE249" i="8" s="1"/>
  <c r="BF249" i="8"/>
  <c r="BD249" i="8"/>
  <c r="AP249" i="8"/>
  <c r="AX249" i="8" s="1"/>
  <c r="BC249" i="8" s="1"/>
  <c r="AO249" i="8"/>
  <c r="AW249" i="8" s="1"/>
  <c r="AJ249" i="8"/>
  <c r="AH249" i="8"/>
  <c r="Z249" i="8"/>
  <c r="I249" i="8"/>
  <c r="BJ248" i="8"/>
  <c r="BH248" i="8"/>
  <c r="BF248" i="8"/>
  <c r="BD248" i="8"/>
  <c r="AX248" i="8"/>
  <c r="AW248" i="8"/>
  <c r="AP248" i="8"/>
  <c r="BI248" i="8" s="1"/>
  <c r="AE248" i="8" s="1"/>
  <c r="AO248" i="8"/>
  <c r="AH248" i="8"/>
  <c r="AG248" i="8"/>
  <c r="Z248" i="8"/>
  <c r="I248" i="8"/>
  <c r="BJ247" i="8"/>
  <c r="BF247" i="8"/>
  <c r="BD247" i="8"/>
  <c r="AX247" i="8"/>
  <c r="AW247" i="8"/>
  <c r="BC247" i="8" s="1"/>
  <c r="AV247" i="8"/>
  <c r="AP247" i="8"/>
  <c r="BI247" i="8" s="1"/>
  <c r="AE247" i="8" s="1"/>
  <c r="AO247" i="8"/>
  <c r="BH247" i="8" s="1"/>
  <c r="AD247" i="8" s="1"/>
  <c r="AL247" i="8"/>
  <c r="AK247" i="8"/>
  <c r="I247" i="8"/>
  <c r="AJ247" i="8" s="1"/>
  <c r="BJ246" i="8"/>
  <c r="AH246" i="8" s="1"/>
  <c r="BF246" i="8"/>
  <c r="BD246" i="8"/>
  <c r="BC246" i="8"/>
  <c r="AW246" i="8"/>
  <c r="AP246" i="8"/>
  <c r="AX246" i="8" s="1"/>
  <c r="AV246" i="8" s="1"/>
  <c r="AO246" i="8"/>
  <c r="BH246" i="8" s="1"/>
  <c r="AD246" i="8" s="1"/>
  <c r="AL246" i="8"/>
  <c r="AK246" i="8"/>
  <c r="AJ246" i="8"/>
  <c r="AF246" i="8"/>
  <c r="I246" i="8"/>
  <c r="BJ245" i="8"/>
  <c r="BH245" i="8"/>
  <c r="BF245" i="8"/>
  <c r="BD245" i="8"/>
  <c r="AP245" i="8"/>
  <c r="AX245" i="8" s="1"/>
  <c r="BC245" i="8" s="1"/>
  <c r="AO245" i="8"/>
  <c r="AW245" i="8" s="1"/>
  <c r="AH245" i="8"/>
  <c r="Z245" i="8"/>
  <c r="I245" i="8"/>
  <c r="AJ245" i="8" s="1"/>
  <c r="BJ244" i="8"/>
  <c r="BF244" i="8"/>
  <c r="BD244" i="8"/>
  <c r="AX244" i="8"/>
  <c r="AP244" i="8"/>
  <c r="BI244" i="8" s="1"/>
  <c r="AE244" i="8" s="1"/>
  <c r="AO244" i="8"/>
  <c r="BH244" i="8" s="1"/>
  <c r="AL244" i="8"/>
  <c r="AH244" i="8"/>
  <c r="AG244" i="8"/>
  <c r="AC244" i="8"/>
  <c r="Z244" i="8"/>
  <c r="I244" i="8"/>
  <c r="BJ243" i="8"/>
  <c r="BF243" i="8"/>
  <c r="BD243" i="8"/>
  <c r="AX243" i="8"/>
  <c r="AW243" i="8"/>
  <c r="BC243" i="8" s="1"/>
  <c r="AV243" i="8"/>
  <c r="AP243" i="8"/>
  <c r="BI243" i="8" s="1"/>
  <c r="AE243" i="8" s="1"/>
  <c r="AO243" i="8"/>
  <c r="BH243" i="8" s="1"/>
  <c r="AD243" i="8" s="1"/>
  <c r="AL243" i="8"/>
  <c r="AK243" i="8"/>
  <c r="AG243" i="8"/>
  <c r="AF243" i="8"/>
  <c r="AC243" i="8"/>
  <c r="AB243" i="8"/>
  <c r="I243" i="8"/>
  <c r="AJ243" i="8" s="1"/>
  <c r="BJ242" i="8"/>
  <c r="AH242" i="8" s="1"/>
  <c r="BI242" i="8"/>
  <c r="BF242" i="8"/>
  <c r="BD242" i="8"/>
  <c r="BC242" i="8"/>
  <c r="AW242" i="8"/>
  <c r="AV242" i="8"/>
  <c r="AP242" i="8"/>
  <c r="AX242" i="8" s="1"/>
  <c r="AO242" i="8"/>
  <c r="BH242" i="8" s="1"/>
  <c r="AD242" i="8" s="1"/>
  <c r="AL242" i="8"/>
  <c r="AK242" i="8"/>
  <c r="AJ242" i="8"/>
  <c r="AF242" i="8"/>
  <c r="AE242" i="8"/>
  <c r="AB242" i="8"/>
  <c r="I242" i="8"/>
  <c r="BJ241" i="8"/>
  <c r="BI241" i="8"/>
  <c r="AE241" i="8" s="1"/>
  <c r="BF241" i="8"/>
  <c r="BD241" i="8"/>
  <c r="AP241" i="8"/>
  <c r="AX241" i="8" s="1"/>
  <c r="BC241" i="8" s="1"/>
  <c r="AO241" i="8"/>
  <c r="AW241" i="8" s="1"/>
  <c r="AJ241" i="8"/>
  <c r="AH241" i="8"/>
  <c r="Z241" i="8"/>
  <c r="I241" i="8"/>
  <c r="BJ238" i="8"/>
  <c r="BF238" i="8"/>
  <c r="BD238" i="8"/>
  <c r="AP238" i="8"/>
  <c r="BI238" i="8" s="1"/>
  <c r="AO238" i="8"/>
  <c r="AW238" i="8" s="1"/>
  <c r="AH238" i="8"/>
  <c r="Z238" i="8"/>
  <c r="I238" i="8"/>
  <c r="BJ237" i="8"/>
  <c r="BH237" i="8"/>
  <c r="BF237" i="8"/>
  <c r="BD237" i="8"/>
  <c r="AX237" i="8"/>
  <c r="AW237" i="8"/>
  <c r="AP237" i="8"/>
  <c r="BI237" i="8" s="1"/>
  <c r="AE237" i="8" s="1"/>
  <c r="AO237" i="8"/>
  <c r="AL237" i="8"/>
  <c r="AH237" i="8"/>
  <c r="AG237" i="8"/>
  <c r="AC237" i="8"/>
  <c r="Z237" i="8"/>
  <c r="I237" i="8"/>
  <c r="I236" i="8"/>
  <c r="BJ235" i="8"/>
  <c r="BF235" i="8"/>
  <c r="BD235" i="8"/>
  <c r="AX235" i="8"/>
  <c r="AW235" i="8"/>
  <c r="BC235" i="8" s="1"/>
  <c r="AP235" i="8"/>
  <c r="BI235" i="8" s="1"/>
  <c r="AE235" i="8" s="1"/>
  <c r="AO235" i="8"/>
  <c r="BH235" i="8" s="1"/>
  <c r="AD235" i="8" s="1"/>
  <c r="AL235" i="8"/>
  <c r="AK235" i="8"/>
  <c r="AG235" i="8"/>
  <c r="AF235" i="8"/>
  <c r="AC235" i="8"/>
  <c r="I235" i="8"/>
  <c r="AJ235" i="8" s="1"/>
  <c r="BJ234" i="8"/>
  <c r="AH234" i="8" s="1"/>
  <c r="BI234" i="8"/>
  <c r="BF234" i="8"/>
  <c r="BD234" i="8"/>
  <c r="BC234" i="8"/>
  <c r="AW234" i="8"/>
  <c r="AP234" i="8"/>
  <c r="AX234" i="8" s="1"/>
  <c r="AV234" i="8" s="1"/>
  <c r="AO234" i="8"/>
  <c r="BH234" i="8" s="1"/>
  <c r="AD234" i="8" s="1"/>
  <c r="AL234" i="8"/>
  <c r="AK234" i="8"/>
  <c r="AJ234" i="8"/>
  <c r="AF234" i="8"/>
  <c r="AE234" i="8"/>
  <c r="I234" i="8"/>
  <c r="BJ233" i="8"/>
  <c r="BF233" i="8"/>
  <c r="BD233" i="8"/>
  <c r="AP233" i="8"/>
  <c r="BI233" i="8" s="1"/>
  <c r="AO233" i="8"/>
  <c r="AW233" i="8" s="1"/>
  <c r="AH233" i="8"/>
  <c r="Z233" i="8"/>
  <c r="I233" i="8"/>
  <c r="BJ232" i="8"/>
  <c r="BH232" i="8"/>
  <c r="BF232" i="8"/>
  <c r="BD232" i="8"/>
  <c r="AX232" i="8"/>
  <c r="AW232" i="8"/>
  <c r="AP232" i="8"/>
  <c r="BI232" i="8" s="1"/>
  <c r="AE232" i="8" s="1"/>
  <c r="AO232" i="8"/>
  <c r="AL232" i="8"/>
  <c r="AH232" i="8"/>
  <c r="AG232" i="8"/>
  <c r="AC232" i="8"/>
  <c r="Z232" i="8"/>
  <c r="I232" i="8"/>
  <c r="BJ231" i="8"/>
  <c r="BF231" i="8"/>
  <c r="BD231" i="8"/>
  <c r="AX231" i="8"/>
  <c r="AW231" i="8"/>
  <c r="BC231" i="8" s="1"/>
  <c r="AV231" i="8"/>
  <c r="AP231" i="8"/>
  <c r="BI231" i="8" s="1"/>
  <c r="AE231" i="8" s="1"/>
  <c r="AO231" i="8"/>
  <c r="BH231" i="8" s="1"/>
  <c r="AD231" i="8" s="1"/>
  <c r="AL231" i="8"/>
  <c r="AK231" i="8"/>
  <c r="AF231" i="8"/>
  <c r="AB231" i="8"/>
  <c r="I231" i="8"/>
  <c r="AJ231" i="8" s="1"/>
  <c r="BJ230" i="8"/>
  <c r="AH230" i="8" s="1"/>
  <c r="BF230" i="8"/>
  <c r="BD230" i="8"/>
  <c r="AW230" i="8"/>
  <c r="AP230" i="8"/>
  <c r="AX230" i="8" s="1"/>
  <c r="BC230" i="8" s="1"/>
  <c r="AO230" i="8"/>
  <c r="BH230" i="8" s="1"/>
  <c r="AD230" i="8" s="1"/>
  <c r="AL230" i="8"/>
  <c r="AK230" i="8"/>
  <c r="AJ230" i="8"/>
  <c r="AF230" i="8"/>
  <c r="AB230" i="8"/>
  <c r="Z230" i="8"/>
  <c r="I230" i="8"/>
  <c r="BJ229" i="8"/>
  <c r="BI229" i="8"/>
  <c r="BH229" i="8"/>
  <c r="AD229" i="8" s="1"/>
  <c r="BF229" i="8"/>
  <c r="BD229" i="8"/>
  <c r="AX229" i="8"/>
  <c r="BC229" i="8" s="1"/>
  <c r="AP229" i="8"/>
  <c r="AO229" i="8"/>
  <c r="AW229" i="8" s="1"/>
  <c r="AH229" i="8"/>
  <c r="Z229" i="8"/>
  <c r="I229" i="8"/>
  <c r="BJ228" i="8"/>
  <c r="BF228" i="8"/>
  <c r="BD228" i="8"/>
  <c r="AX228" i="8"/>
  <c r="AP228" i="8"/>
  <c r="BI228" i="8" s="1"/>
  <c r="AE228" i="8" s="1"/>
  <c r="AO228" i="8"/>
  <c r="BH228" i="8" s="1"/>
  <c r="AH228" i="8"/>
  <c r="AG228" i="8"/>
  <c r="Z228" i="8"/>
  <c r="I228" i="8"/>
  <c r="BJ227" i="8"/>
  <c r="BF227" i="8"/>
  <c r="BD227" i="8"/>
  <c r="AX227" i="8"/>
  <c r="AW227" i="8"/>
  <c r="BC227" i="8" s="1"/>
  <c r="AP227" i="8"/>
  <c r="BI227" i="8" s="1"/>
  <c r="AE227" i="8" s="1"/>
  <c r="AO227" i="8"/>
  <c r="BH227" i="8" s="1"/>
  <c r="AD227" i="8" s="1"/>
  <c r="AL227" i="8"/>
  <c r="AK227" i="8"/>
  <c r="AG227" i="8"/>
  <c r="AC227" i="8"/>
  <c r="I227" i="8"/>
  <c r="AJ227" i="8" s="1"/>
  <c r="BJ226" i="8"/>
  <c r="AH226" i="8" s="1"/>
  <c r="BI226" i="8"/>
  <c r="BF226" i="8"/>
  <c r="BD226" i="8"/>
  <c r="BC226" i="8"/>
  <c r="AW226" i="8"/>
  <c r="AP226" i="8"/>
  <c r="AX226" i="8" s="1"/>
  <c r="AV226" i="8" s="1"/>
  <c r="AO226" i="8"/>
  <c r="BH226" i="8" s="1"/>
  <c r="AD226" i="8" s="1"/>
  <c r="AL226" i="8"/>
  <c r="AK226" i="8"/>
  <c r="AJ226" i="8"/>
  <c r="AE226" i="8"/>
  <c r="I226" i="8"/>
  <c r="BJ225" i="8"/>
  <c r="BF225" i="8"/>
  <c r="BD225" i="8"/>
  <c r="AP225" i="8"/>
  <c r="BI225" i="8" s="1"/>
  <c r="AO225" i="8"/>
  <c r="AW225" i="8" s="1"/>
  <c r="AH225" i="8"/>
  <c r="Z225" i="8"/>
  <c r="I225" i="8"/>
  <c r="BJ224" i="8"/>
  <c r="BH224" i="8"/>
  <c r="BF224" i="8"/>
  <c r="BD224" i="8"/>
  <c r="AX224" i="8"/>
  <c r="AW224" i="8"/>
  <c r="AP224" i="8"/>
  <c r="BI224" i="8" s="1"/>
  <c r="AE224" i="8" s="1"/>
  <c r="AO224" i="8"/>
  <c r="AL224" i="8"/>
  <c r="AH224" i="8"/>
  <c r="AG224" i="8"/>
  <c r="AC224" i="8"/>
  <c r="Z224" i="8"/>
  <c r="I224" i="8"/>
  <c r="BJ223" i="8"/>
  <c r="BF223" i="8"/>
  <c r="BD223" i="8"/>
  <c r="AX223" i="8"/>
  <c r="AW223" i="8"/>
  <c r="BC223" i="8" s="1"/>
  <c r="AV223" i="8"/>
  <c r="AP223" i="8"/>
  <c r="BI223" i="8" s="1"/>
  <c r="AE223" i="8" s="1"/>
  <c r="AO223" i="8"/>
  <c r="BH223" i="8" s="1"/>
  <c r="AD223" i="8" s="1"/>
  <c r="AL223" i="8"/>
  <c r="AK223" i="8"/>
  <c r="AG223" i="8"/>
  <c r="AF223" i="8"/>
  <c r="AB223" i="8"/>
  <c r="I223" i="8"/>
  <c r="AJ223" i="8" s="1"/>
  <c r="BJ222" i="8"/>
  <c r="AH222" i="8" s="1"/>
  <c r="BF222" i="8"/>
  <c r="BD222" i="8"/>
  <c r="AW222" i="8"/>
  <c r="AP222" i="8"/>
  <c r="AX222" i="8" s="1"/>
  <c r="BC222" i="8" s="1"/>
  <c r="AO222" i="8"/>
  <c r="BH222" i="8" s="1"/>
  <c r="AD222" i="8" s="1"/>
  <c r="AL222" i="8"/>
  <c r="AK222" i="8"/>
  <c r="AJ222" i="8"/>
  <c r="AF222" i="8"/>
  <c r="AB222" i="8"/>
  <c r="Z222" i="8"/>
  <c r="I222" i="8"/>
  <c r="BJ221" i="8"/>
  <c r="BI221" i="8"/>
  <c r="BH221" i="8"/>
  <c r="BF221" i="8"/>
  <c r="BD221" i="8"/>
  <c r="AX221" i="8"/>
  <c r="BC221" i="8" s="1"/>
  <c r="AP221" i="8"/>
  <c r="AO221" i="8"/>
  <c r="AW221" i="8" s="1"/>
  <c r="AH221" i="8"/>
  <c r="Z221" i="8"/>
  <c r="I221" i="8"/>
  <c r="BJ219" i="8"/>
  <c r="BH219" i="8"/>
  <c r="BF219" i="8"/>
  <c r="BD219" i="8"/>
  <c r="AX219" i="8"/>
  <c r="AW219" i="8"/>
  <c r="AP219" i="8"/>
  <c r="BI219" i="8" s="1"/>
  <c r="AE219" i="8" s="1"/>
  <c r="AO219" i="8"/>
  <c r="AL219" i="8"/>
  <c r="AH219" i="8"/>
  <c r="AG219" i="8"/>
  <c r="AC219" i="8"/>
  <c r="Z219" i="8"/>
  <c r="I219" i="8"/>
  <c r="BJ218" i="8"/>
  <c r="BF218" i="8"/>
  <c r="BD218" i="8"/>
  <c r="AX218" i="8"/>
  <c r="AW218" i="8"/>
  <c r="BC218" i="8" s="1"/>
  <c r="AV218" i="8"/>
  <c r="AP218" i="8"/>
  <c r="BI218" i="8" s="1"/>
  <c r="AE218" i="8" s="1"/>
  <c r="AO218" i="8"/>
  <c r="BH218" i="8" s="1"/>
  <c r="AD218" i="8" s="1"/>
  <c r="AL218" i="8"/>
  <c r="AK218" i="8"/>
  <c r="AG218" i="8"/>
  <c r="AF218" i="8"/>
  <c r="AB218" i="8"/>
  <c r="I218" i="8"/>
  <c r="AJ218" i="8" s="1"/>
  <c r="BJ217" i="8"/>
  <c r="AH217" i="8" s="1"/>
  <c r="BF217" i="8"/>
  <c r="BD217" i="8"/>
  <c r="AW217" i="8"/>
  <c r="AP217" i="8"/>
  <c r="AX217" i="8" s="1"/>
  <c r="BC217" i="8" s="1"/>
  <c r="AO217" i="8"/>
  <c r="BH217" i="8" s="1"/>
  <c r="AD217" i="8" s="1"/>
  <c r="AL217" i="8"/>
  <c r="AK217" i="8"/>
  <c r="AJ217" i="8"/>
  <c r="AF217" i="8"/>
  <c r="AB217" i="8"/>
  <c r="Z217" i="8"/>
  <c r="I217" i="8"/>
  <c r="BJ216" i="8"/>
  <c r="BI216" i="8"/>
  <c r="BH216" i="8"/>
  <c r="AD216" i="8" s="1"/>
  <c r="BF216" i="8"/>
  <c r="BD216" i="8"/>
  <c r="AX216" i="8"/>
  <c r="BC216" i="8" s="1"/>
  <c r="AP216" i="8"/>
  <c r="AO216" i="8"/>
  <c r="AW216" i="8" s="1"/>
  <c r="AH216" i="8"/>
  <c r="Z216" i="8"/>
  <c r="I216" i="8"/>
  <c r="AJ216" i="8" s="1"/>
  <c r="BJ215" i="8"/>
  <c r="BF215" i="8"/>
  <c r="BD215" i="8"/>
  <c r="AX215" i="8"/>
  <c r="AP215" i="8"/>
  <c r="BI215" i="8" s="1"/>
  <c r="AE215" i="8" s="1"/>
  <c r="AO215" i="8"/>
  <c r="BH215" i="8" s="1"/>
  <c r="AH215" i="8"/>
  <c r="AG215" i="8"/>
  <c r="Z215" i="8"/>
  <c r="I215" i="8"/>
  <c r="BJ214" i="8"/>
  <c r="BF214" i="8"/>
  <c r="BD214" i="8"/>
  <c r="AX214" i="8"/>
  <c r="AW214" i="8"/>
  <c r="BC214" i="8" s="1"/>
  <c r="AP214" i="8"/>
  <c r="BI214" i="8" s="1"/>
  <c r="AE214" i="8" s="1"/>
  <c r="AO214" i="8"/>
  <c r="BH214" i="8" s="1"/>
  <c r="AD214" i="8" s="1"/>
  <c r="AL214" i="8"/>
  <c r="AK214" i="8"/>
  <c r="AG214" i="8"/>
  <c r="AF214" i="8"/>
  <c r="AC214" i="8"/>
  <c r="I214" i="8"/>
  <c r="AJ214" i="8" s="1"/>
  <c r="BJ213" i="8"/>
  <c r="AH213" i="8" s="1"/>
  <c r="BI213" i="8"/>
  <c r="BF213" i="8"/>
  <c r="BD213" i="8"/>
  <c r="BC213" i="8"/>
  <c r="AW213" i="8"/>
  <c r="AP213" i="8"/>
  <c r="AX213" i="8" s="1"/>
  <c r="AV213" i="8" s="1"/>
  <c r="AO213" i="8"/>
  <c r="BH213" i="8" s="1"/>
  <c r="AD213" i="8" s="1"/>
  <c r="AL213" i="8"/>
  <c r="AK213" i="8"/>
  <c r="AJ213" i="8"/>
  <c r="AF213" i="8"/>
  <c r="AE213" i="8"/>
  <c r="I213" i="8"/>
  <c r="BJ212" i="8"/>
  <c r="BF212" i="8"/>
  <c r="BD212" i="8"/>
  <c r="AP212" i="8"/>
  <c r="BI212" i="8" s="1"/>
  <c r="AO212" i="8"/>
  <c r="AW212" i="8" s="1"/>
  <c r="AH212" i="8"/>
  <c r="Z212" i="8"/>
  <c r="I212" i="8"/>
  <c r="BJ211" i="8"/>
  <c r="BH211" i="8"/>
  <c r="BF211" i="8"/>
  <c r="BD211" i="8"/>
  <c r="AX211" i="8"/>
  <c r="AW211" i="8"/>
  <c r="AP211" i="8"/>
  <c r="BI211" i="8" s="1"/>
  <c r="AE211" i="8" s="1"/>
  <c r="AO211" i="8"/>
  <c r="AL211" i="8"/>
  <c r="AH211" i="8"/>
  <c r="AG211" i="8"/>
  <c r="AC211" i="8"/>
  <c r="Z211" i="8"/>
  <c r="I211" i="8"/>
  <c r="BJ210" i="8"/>
  <c r="BF210" i="8"/>
  <c r="BD210" i="8"/>
  <c r="AX210" i="8"/>
  <c r="AW210" i="8"/>
  <c r="BC210" i="8" s="1"/>
  <c r="AV210" i="8"/>
  <c r="AP210" i="8"/>
  <c r="BI210" i="8" s="1"/>
  <c r="AE210" i="8" s="1"/>
  <c r="AO210" i="8"/>
  <c r="BH210" i="8" s="1"/>
  <c r="AD210" i="8" s="1"/>
  <c r="AL210" i="8"/>
  <c r="AK210" i="8"/>
  <c r="AG210" i="8"/>
  <c r="AF210" i="8"/>
  <c r="AB210" i="8"/>
  <c r="I210" i="8"/>
  <c r="AJ210" i="8" s="1"/>
  <c r="BJ209" i="8"/>
  <c r="AH209" i="8" s="1"/>
  <c r="BF209" i="8"/>
  <c r="BD209" i="8"/>
  <c r="AW209" i="8"/>
  <c r="AP209" i="8"/>
  <c r="AX209" i="8" s="1"/>
  <c r="BC209" i="8" s="1"/>
  <c r="AO209" i="8"/>
  <c r="BH209" i="8" s="1"/>
  <c r="AD209" i="8" s="1"/>
  <c r="AL209" i="8"/>
  <c r="AK209" i="8"/>
  <c r="AJ209" i="8"/>
  <c r="AF209" i="8"/>
  <c r="AB209" i="8"/>
  <c r="Z209" i="8"/>
  <c r="I209" i="8"/>
  <c r="BJ207" i="8"/>
  <c r="BF207" i="8"/>
  <c r="BD207" i="8"/>
  <c r="AP207" i="8"/>
  <c r="BI207" i="8" s="1"/>
  <c r="AO207" i="8"/>
  <c r="AW207" i="8" s="1"/>
  <c r="AH207" i="8"/>
  <c r="Z207" i="8"/>
  <c r="I207" i="8"/>
  <c r="BJ206" i="8"/>
  <c r="BH206" i="8"/>
  <c r="AD206" i="8" s="1"/>
  <c r="BF206" i="8"/>
  <c r="BD206" i="8"/>
  <c r="AX206" i="8"/>
  <c r="AW206" i="8"/>
  <c r="AP206" i="8"/>
  <c r="BI206" i="8" s="1"/>
  <c r="AE206" i="8" s="1"/>
  <c r="AO206" i="8"/>
  <c r="AL206" i="8"/>
  <c r="AH206" i="8"/>
  <c r="AG206" i="8"/>
  <c r="AC206" i="8"/>
  <c r="Z206" i="8"/>
  <c r="I206" i="8"/>
  <c r="BJ205" i="8"/>
  <c r="BF205" i="8"/>
  <c r="BD205" i="8"/>
  <c r="AX205" i="8"/>
  <c r="AW205" i="8"/>
  <c r="BC205" i="8" s="1"/>
  <c r="AV205" i="8"/>
  <c r="AP205" i="8"/>
  <c r="BI205" i="8" s="1"/>
  <c r="AE205" i="8" s="1"/>
  <c r="AO205" i="8"/>
  <c r="BH205" i="8" s="1"/>
  <c r="AD205" i="8" s="1"/>
  <c r="AL205" i="8"/>
  <c r="AK205" i="8"/>
  <c r="AG205" i="8"/>
  <c r="AF205" i="8"/>
  <c r="AB205" i="8"/>
  <c r="I205" i="8"/>
  <c r="AJ205" i="8" s="1"/>
  <c r="BJ204" i="8"/>
  <c r="AH204" i="8" s="1"/>
  <c r="BF204" i="8"/>
  <c r="BD204" i="8"/>
  <c r="AW204" i="8"/>
  <c r="AP204" i="8"/>
  <c r="AX204" i="8" s="1"/>
  <c r="BC204" i="8" s="1"/>
  <c r="AO204" i="8"/>
  <c r="BH204" i="8" s="1"/>
  <c r="AD204" i="8" s="1"/>
  <c r="AL204" i="8"/>
  <c r="AK204" i="8"/>
  <c r="AJ204" i="8"/>
  <c r="AF204" i="8"/>
  <c r="AB204" i="8"/>
  <c r="Z204" i="8"/>
  <c r="I204" i="8"/>
  <c r="BJ203" i="8"/>
  <c r="BI203" i="8"/>
  <c r="BH203" i="8"/>
  <c r="BF203" i="8"/>
  <c r="BD203" i="8"/>
  <c r="AX203" i="8"/>
  <c r="BC203" i="8" s="1"/>
  <c r="AP203" i="8"/>
  <c r="AO203" i="8"/>
  <c r="AW203" i="8" s="1"/>
  <c r="AH203" i="8"/>
  <c r="Z203" i="8"/>
  <c r="I203" i="8"/>
  <c r="BJ202" i="8"/>
  <c r="BF202" i="8"/>
  <c r="BD202" i="8"/>
  <c r="AX202" i="8"/>
  <c r="AP202" i="8"/>
  <c r="BI202" i="8" s="1"/>
  <c r="AE202" i="8" s="1"/>
  <c r="AO202" i="8"/>
  <c r="BH202" i="8" s="1"/>
  <c r="AH202" i="8"/>
  <c r="AG202" i="8"/>
  <c r="Z202" i="8"/>
  <c r="I202" i="8"/>
  <c r="BJ201" i="8"/>
  <c r="BF201" i="8"/>
  <c r="BD201" i="8"/>
  <c r="AX201" i="8"/>
  <c r="AW201" i="8"/>
  <c r="BC201" i="8" s="1"/>
  <c r="AP201" i="8"/>
  <c r="BI201" i="8" s="1"/>
  <c r="AE201" i="8" s="1"/>
  <c r="AO201" i="8"/>
  <c r="BH201" i="8" s="1"/>
  <c r="AD201" i="8" s="1"/>
  <c r="AL201" i="8"/>
  <c r="AK201" i="8"/>
  <c r="AG201" i="8"/>
  <c r="AC201" i="8"/>
  <c r="I201" i="8"/>
  <c r="AJ201" i="8" s="1"/>
  <c r="BJ199" i="8"/>
  <c r="AH199" i="8" s="1"/>
  <c r="BF199" i="8"/>
  <c r="BD199" i="8"/>
  <c r="AW199" i="8"/>
  <c r="AP199" i="8"/>
  <c r="AX199" i="8" s="1"/>
  <c r="BC199" i="8" s="1"/>
  <c r="AO199" i="8"/>
  <c r="BH199" i="8" s="1"/>
  <c r="AD199" i="8" s="1"/>
  <c r="AL199" i="8"/>
  <c r="AK199" i="8"/>
  <c r="AJ199" i="8"/>
  <c r="AF199" i="8"/>
  <c r="AB199" i="8"/>
  <c r="Z199" i="8"/>
  <c r="I199" i="8"/>
  <c r="AU198" i="8"/>
  <c r="AT198" i="8"/>
  <c r="AS198" i="8"/>
  <c r="I198" i="8"/>
  <c r="BJ197" i="8"/>
  <c r="BI197" i="8"/>
  <c r="BH197" i="8"/>
  <c r="AD197" i="8" s="1"/>
  <c r="BF197" i="8"/>
  <c r="BD197" i="8"/>
  <c r="AX197" i="8"/>
  <c r="BC197" i="8" s="1"/>
  <c r="AP197" i="8"/>
  <c r="AO197" i="8"/>
  <c r="AW197" i="8" s="1"/>
  <c r="AH197" i="8"/>
  <c r="Z197" i="8"/>
  <c r="I197" i="8"/>
  <c r="BJ196" i="8"/>
  <c r="BF196" i="8"/>
  <c r="BD196" i="8"/>
  <c r="AX196" i="8"/>
  <c r="AP196" i="8"/>
  <c r="BI196" i="8" s="1"/>
  <c r="AE196" i="8" s="1"/>
  <c r="AO196" i="8"/>
  <c r="BH196" i="8" s="1"/>
  <c r="AH196" i="8"/>
  <c r="AG196" i="8"/>
  <c r="Z196" i="8"/>
  <c r="I196" i="8"/>
  <c r="BJ195" i="8"/>
  <c r="BF195" i="8"/>
  <c r="BD195" i="8"/>
  <c r="AX195" i="8"/>
  <c r="AW195" i="8"/>
  <c r="BC195" i="8" s="1"/>
  <c r="AP195" i="8"/>
  <c r="BI195" i="8" s="1"/>
  <c r="AE195" i="8" s="1"/>
  <c r="AO195" i="8"/>
  <c r="BH195" i="8" s="1"/>
  <c r="AD195" i="8" s="1"/>
  <c r="AL195" i="8"/>
  <c r="AK195" i="8"/>
  <c r="AG195" i="8"/>
  <c r="AC195" i="8"/>
  <c r="I195" i="8"/>
  <c r="AJ195" i="8" s="1"/>
  <c r="BJ194" i="8"/>
  <c r="AH194" i="8" s="1"/>
  <c r="BI194" i="8"/>
  <c r="BF194" i="8"/>
  <c r="BD194" i="8"/>
  <c r="BC194" i="8"/>
  <c r="AW194" i="8"/>
  <c r="AV194" i="8"/>
  <c r="AP194" i="8"/>
  <c r="AX194" i="8" s="1"/>
  <c r="AO194" i="8"/>
  <c r="BH194" i="8" s="1"/>
  <c r="AD194" i="8" s="1"/>
  <c r="AL194" i="8"/>
  <c r="AK194" i="8"/>
  <c r="AJ194" i="8"/>
  <c r="AE194" i="8"/>
  <c r="I194" i="8"/>
  <c r="BJ193" i="8"/>
  <c r="BF193" i="8"/>
  <c r="BD193" i="8"/>
  <c r="AP193" i="8"/>
  <c r="BI193" i="8" s="1"/>
  <c r="AO193" i="8"/>
  <c r="AW193" i="8" s="1"/>
  <c r="AJ193" i="8"/>
  <c r="AH193" i="8"/>
  <c r="Z193" i="8"/>
  <c r="I193" i="8"/>
  <c r="BJ192" i="8"/>
  <c r="BH192" i="8"/>
  <c r="AD192" i="8" s="1"/>
  <c r="BF192" i="8"/>
  <c r="BD192" i="8"/>
  <c r="AX192" i="8"/>
  <c r="AW192" i="8"/>
  <c r="AP192" i="8"/>
  <c r="BI192" i="8" s="1"/>
  <c r="AE192" i="8" s="1"/>
  <c r="AO192" i="8"/>
  <c r="AL192" i="8"/>
  <c r="AH192" i="8"/>
  <c r="AG192" i="8"/>
  <c r="AC192" i="8"/>
  <c r="Z192" i="8"/>
  <c r="I192" i="8"/>
  <c r="BJ191" i="8"/>
  <c r="BF191" i="8"/>
  <c r="BD191" i="8"/>
  <c r="AX191" i="8"/>
  <c r="AW191" i="8"/>
  <c r="BC191" i="8" s="1"/>
  <c r="AV191" i="8"/>
  <c r="AP191" i="8"/>
  <c r="BI191" i="8" s="1"/>
  <c r="AE191" i="8" s="1"/>
  <c r="AO191" i="8"/>
  <c r="BH191" i="8" s="1"/>
  <c r="AD191" i="8" s="1"/>
  <c r="AL191" i="8"/>
  <c r="AK191" i="8"/>
  <c r="AG191" i="8"/>
  <c r="AF191" i="8"/>
  <c r="AB191" i="8"/>
  <c r="I191" i="8"/>
  <c r="AJ191" i="8" s="1"/>
  <c r="BJ190" i="8"/>
  <c r="AH190" i="8" s="1"/>
  <c r="BF190" i="8"/>
  <c r="BD190" i="8"/>
  <c r="AW190" i="8"/>
  <c r="AP190" i="8"/>
  <c r="AX190" i="8" s="1"/>
  <c r="BC190" i="8" s="1"/>
  <c r="AO190" i="8"/>
  <c r="BH190" i="8" s="1"/>
  <c r="AD190" i="8" s="1"/>
  <c r="AL190" i="8"/>
  <c r="AK190" i="8"/>
  <c r="AJ190" i="8"/>
  <c r="AF190" i="8"/>
  <c r="AB190" i="8"/>
  <c r="Z190" i="8"/>
  <c r="I190" i="8"/>
  <c r="BJ189" i="8"/>
  <c r="BI189" i="8"/>
  <c r="BH189" i="8"/>
  <c r="AD189" i="8" s="1"/>
  <c r="BF189" i="8"/>
  <c r="BD189" i="8"/>
  <c r="AX189" i="8"/>
  <c r="BC189" i="8" s="1"/>
  <c r="AP189" i="8"/>
  <c r="AO189" i="8"/>
  <c r="AW189" i="8" s="1"/>
  <c r="AH189" i="8"/>
  <c r="Z189" i="8"/>
  <c r="I189" i="8"/>
  <c r="BJ188" i="8"/>
  <c r="BF188" i="8"/>
  <c r="BD188" i="8"/>
  <c r="AX188" i="8"/>
  <c r="AP188" i="8"/>
  <c r="BI188" i="8" s="1"/>
  <c r="AE188" i="8" s="1"/>
  <c r="AO188" i="8"/>
  <c r="BH188" i="8" s="1"/>
  <c r="AH188" i="8"/>
  <c r="AG188" i="8"/>
  <c r="Z188" i="8"/>
  <c r="I188" i="8"/>
  <c r="BJ187" i="8"/>
  <c r="BF187" i="8"/>
  <c r="BD187" i="8"/>
  <c r="AX187" i="8"/>
  <c r="AW187" i="8"/>
  <c r="BC187" i="8" s="1"/>
  <c r="AP187" i="8"/>
  <c r="BI187" i="8" s="1"/>
  <c r="AE187" i="8" s="1"/>
  <c r="AO187" i="8"/>
  <c r="BH187" i="8" s="1"/>
  <c r="AD187" i="8" s="1"/>
  <c r="AL187" i="8"/>
  <c r="AK187" i="8"/>
  <c r="AG187" i="8"/>
  <c r="AF187" i="8"/>
  <c r="AC187" i="8"/>
  <c r="I187" i="8"/>
  <c r="AJ187" i="8" s="1"/>
  <c r="BJ186" i="8"/>
  <c r="AH186" i="8" s="1"/>
  <c r="BI186" i="8"/>
  <c r="BF186" i="8"/>
  <c r="BD186" i="8"/>
  <c r="BC186" i="8"/>
  <c r="AW186" i="8"/>
  <c r="AV186" i="8"/>
  <c r="AP186" i="8"/>
  <c r="AX186" i="8" s="1"/>
  <c r="AO186" i="8"/>
  <c r="BH186" i="8" s="1"/>
  <c r="AD186" i="8" s="1"/>
  <c r="AL186" i="8"/>
  <c r="AK186" i="8"/>
  <c r="AJ186" i="8"/>
  <c r="AF186" i="8"/>
  <c r="AE186" i="8"/>
  <c r="I186" i="8"/>
  <c r="BJ185" i="8"/>
  <c r="BF185" i="8"/>
  <c r="BD185" i="8"/>
  <c r="AP185" i="8"/>
  <c r="BI185" i="8" s="1"/>
  <c r="AO185" i="8"/>
  <c r="AW185" i="8" s="1"/>
  <c r="AJ185" i="8"/>
  <c r="AH185" i="8"/>
  <c r="Z185" i="8"/>
  <c r="I185" i="8"/>
  <c r="BJ184" i="8"/>
  <c r="BH184" i="8"/>
  <c r="AD184" i="8" s="1"/>
  <c r="BF184" i="8"/>
  <c r="BD184" i="8"/>
  <c r="AX184" i="8"/>
  <c r="AW184" i="8"/>
  <c r="AP184" i="8"/>
  <c r="BI184" i="8" s="1"/>
  <c r="AE184" i="8" s="1"/>
  <c r="AO184" i="8"/>
  <c r="AL184" i="8"/>
  <c r="AH184" i="8"/>
  <c r="AG184" i="8"/>
  <c r="AC184" i="8"/>
  <c r="Z184" i="8"/>
  <c r="I184" i="8"/>
  <c r="BJ183" i="8"/>
  <c r="BF183" i="8"/>
  <c r="BD183" i="8"/>
  <c r="AX183" i="8"/>
  <c r="AW183" i="8"/>
  <c r="BC183" i="8" s="1"/>
  <c r="AV183" i="8"/>
  <c r="AP183" i="8"/>
  <c r="BI183" i="8" s="1"/>
  <c r="AE183" i="8" s="1"/>
  <c r="AO183" i="8"/>
  <c r="BH183" i="8" s="1"/>
  <c r="AD183" i="8" s="1"/>
  <c r="AL183" i="8"/>
  <c r="AK183" i="8"/>
  <c r="AF183" i="8"/>
  <c r="AB183" i="8"/>
  <c r="I183" i="8"/>
  <c r="AJ183" i="8" s="1"/>
  <c r="BJ181" i="8"/>
  <c r="AH181" i="8" s="1"/>
  <c r="BI181" i="8"/>
  <c r="BF181" i="8"/>
  <c r="BD181" i="8"/>
  <c r="BC181" i="8"/>
  <c r="AW181" i="8"/>
  <c r="AV181" i="8"/>
  <c r="AP181" i="8"/>
  <c r="AX181" i="8" s="1"/>
  <c r="AO181" i="8"/>
  <c r="BH181" i="8" s="1"/>
  <c r="AD181" i="8" s="1"/>
  <c r="AL181" i="8"/>
  <c r="AK181" i="8"/>
  <c r="AJ181" i="8"/>
  <c r="AF181" i="8"/>
  <c r="AE181" i="8"/>
  <c r="I181" i="8"/>
  <c r="AU180" i="8"/>
  <c r="AT180" i="8"/>
  <c r="AS180" i="8"/>
  <c r="I180" i="8"/>
  <c r="BJ179" i="8"/>
  <c r="BF179" i="8"/>
  <c r="BD179" i="8"/>
  <c r="AP179" i="8"/>
  <c r="BI179" i="8" s="1"/>
  <c r="AO179" i="8"/>
  <c r="AW179" i="8" s="1"/>
  <c r="AJ179" i="8"/>
  <c r="AH179" i="8"/>
  <c r="Z179" i="8"/>
  <c r="I179" i="8"/>
  <c r="BJ178" i="8"/>
  <c r="BH178" i="8"/>
  <c r="AD178" i="8" s="1"/>
  <c r="BF178" i="8"/>
  <c r="BD178" i="8"/>
  <c r="AX178" i="8"/>
  <c r="AW178" i="8"/>
  <c r="AP178" i="8"/>
  <c r="BI178" i="8" s="1"/>
  <c r="AE178" i="8" s="1"/>
  <c r="AO178" i="8"/>
  <c r="AL178" i="8"/>
  <c r="AH178" i="8"/>
  <c r="AG178" i="8"/>
  <c r="AC178" i="8"/>
  <c r="Z178" i="8"/>
  <c r="I178" i="8"/>
  <c r="BJ177" i="8"/>
  <c r="BF177" i="8"/>
  <c r="BD177" i="8"/>
  <c r="AX177" i="8"/>
  <c r="AW177" i="8"/>
  <c r="BC177" i="8" s="1"/>
  <c r="AV177" i="8"/>
  <c r="AP177" i="8"/>
  <c r="BI177" i="8" s="1"/>
  <c r="AE177" i="8" s="1"/>
  <c r="AO177" i="8"/>
  <c r="BH177" i="8" s="1"/>
  <c r="AD177" i="8" s="1"/>
  <c r="AL177" i="8"/>
  <c r="AK177" i="8"/>
  <c r="AG177" i="8"/>
  <c r="AF177" i="8"/>
  <c r="AB177" i="8"/>
  <c r="I177" i="8"/>
  <c r="AJ177" i="8" s="1"/>
  <c r="BJ176" i="8"/>
  <c r="AH176" i="8" s="1"/>
  <c r="BF176" i="8"/>
  <c r="BD176" i="8"/>
  <c r="AW176" i="8"/>
  <c r="AP176" i="8"/>
  <c r="AX176" i="8" s="1"/>
  <c r="BC176" i="8" s="1"/>
  <c r="AO176" i="8"/>
  <c r="BH176" i="8" s="1"/>
  <c r="AD176" i="8" s="1"/>
  <c r="AL176" i="8"/>
  <c r="AK176" i="8"/>
  <c r="AJ176" i="8"/>
  <c r="AF176" i="8"/>
  <c r="AB176" i="8"/>
  <c r="Z176" i="8"/>
  <c r="I176" i="8"/>
  <c r="BJ175" i="8"/>
  <c r="BI175" i="8"/>
  <c r="BH175" i="8"/>
  <c r="AD175" i="8" s="1"/>
  <c r="BF175" i="8"/>
  <c r="BD175" i="8"/>
  <c r="AX175" i="8"/>
  <c r="BC175" i="8" s="1"/>
  <c r="AP175" i="8"/>
  <c r="AO175" i="8"/>
  <c r="AW175" i="8" s="1"/>
  <c r="AH175" i="8"/>
  <c r="Z175" i="8"/>
  <c r="I175" i="8"/>
  <c r="BJ174" i="8"/>
  <c r="BF174" i="8"/>
  <c r="BD174" i="8"/>
  <c r="AX174" i="8"/>
  <c r="AP174" i="8"/>
  <c r="BI174" i="8" s="1"/>
  <c r="AE174" i="8" s="1"/>
  <c r="AO174" i="8"/>
  <c r="BH174" i="8" s="1"/>
  <c r="AH174" i="8"/>
  <c r="AG174" i="8"/>
  <c r="Z174" i="8"/>
  <c r="I174" i="8"/>
  <c r="BJ173" i="8"/>
  <c r="BF173" i="8"/>
  <c r="BD173" i="8"/>
  <c r="AX173" i="8"/>
  <c r="AW173" i="8"/>
  <c r="BC173" i="8" s="1"/>
  <c r="AP173" i="8"/>
  <c r="BI173" i="8" s="1"/>
  <c r="AE173" i="8" s="1"/>
  <c r="AO173" i="8"/>
  <c r="BH173" i="8" s="1"/>
  <c r="AD173" i="8" s="1"/>
  <c r="AL173" i="8"/>
  <c r="AK173" i="8"/>
  <c r="AG173" i="8"/>
  <c r="AF173" i="8"/>
  <c r="AC173" i="8"/>
  <c r="I173" i="8"/>
  <c r="AJ173" i="8" s="1"/>
  <c r="BJ172" i="8"/>
  <c r="AH172" i="8" s="1"/>
  <c r="BI172" i="8"/>
  <c r="BF172" i="8"/>
  <c r="BD172" i="8"/>
  <c r="BC172" i="8"/>
  <c r="AW172" i="8"/>
  <c r="AV172" i="8"/>
  <c r="AP172" i="8"/>
  <c r="AX172" i="8" s="1"/>
  <c r="AO172" i="8"/>
  <c r="BH172" i="8" s="1"/>
  <c r="AD172" i="8" s="1"/>
  <c r="AL172" i="8"/>
  <c r="AK172" i="8"/>
  <c r="AJ172" i="8"/>
  <c r="AF172" i="8"/>
  <c r="AE172" i="8"/>
  <c r="I172" i="8"/>
  <c r="BJ171" i="8"/>
  <c r="BF171" i="8"/>
  <c r="BD171" i="8"/>
  <c r="AP171" i="8"/>
  <c r="BI171" i="8" s="1"/>
  <c r="AO171" i="8"/>
  <c r="AW171" i="8" s="1"/>
  <c r="AJ171" i="8"/>
  <c r="AH171" i="8"/>
  <c r="Z171" i="8"/>
  <c r="I171" i="8"/>
  <c r="I170" i="8"/>
  <c r="BR168" i="8"/>
  <c r="BJ168" i="8"/>
  <c r="AH168" i="8" s="1"/>
  <c r="BI168" i="8"/>
  <c r="BF168" i="8"/>
  <c r="BD168" i="8"/>
  <c r="AW168" i="8"/>
  <c r="AV168" i="8"/>
  <c r="AP168" i="8"/>
  <c r="AX168" i="8" s="1"/>
  <c r="BC168" i="8" s="1"/>
  <c r="AO168" i="8"/>
  <c r="BH168" i="8" s="1"/>
  <c r="AD168" i="8" s="1"/>
  <c r="AL168" i="8"/>
  <c r="AK168" i="8"/>
  <c r="AT166" i="8" s="1"/>
  <c r="AJ168" i="8"/>
  <c r="AF168" i="8"/>
  <c r="AE168" i="8"/>
  <c r="AB168" i="8"/>
  <c r="Z168" i="8"/>
  <c r="I168" i="8"/>
  <c r="BR167" i="8"/>
  <c r="BJ167" i="8"/>
  <c r="AH167" i="8" s="1"/>
  <c r="BF167" i="8"/>
  <c r="BD167" i="8"/>
  <c r="BC167" i="8"/>
  <c r="AW167" i="8"/>
  <c r="AP167" i="8"/>
  <c r="AX167" i="8" s="1"/>
  <c r="AV167" i="8" s="1"/>
  <c r="AO167" i="8"/>
  <c r="BH167" i="8" s="1"/>
  <c r="AD167" i="8" s="1"/>
  <c r="AL167" i="8"/>
  <c r="AK167" i="8"/>
  <c r="AJ167" i="8"/>
  <c r="AF167" i="8"/>
  <c r="I167" i="8"/>
  <c r="AU166" i="8"/>
  <c r="AS166" i="8"/>
  <c r="I166" i="8"/>
  <c r="I165" i="8"/>
  <c r="BJ164" i="8"/>
  <c r="AH164" i="8" s="1"/>
  <c r="BI164" i="8"/>
  <c r="BF164" i="8"/>
  <c r="BD164" i="8"/>
  <c r="AW164" i="8"/>
  <c r="AV164" i="8"/>
  <c r="AP164" i="8"/>
  <c r="AX164" i="8" s="1"/>
  <c r="BC164" i="8" s="1"/>
  <c r="AO164" i="8"/>
  <c r="BH164" i="8" s="1"/>
  <c r="AD164" i="8" s="1"/>
  <c r="AL164" i="8"/>
  <c r="AK164" i="8"/>
  <c r="AJ164" i="8"/>
  <c r="AF164" i="8"/>
  <c r="AE164" i="8"/>
  <c r="AB164" i="8"/>
  <c r="Z164" i="8"/>
  <c r="I164" i="8"/>
  <c r="BJ163" i="8"/>
  <c r="BI163" i="8"/>
  <c r="BF163" i="8"/>
  <c r="BD163" i="8"/>
  <c r="BC163" i="8"/>
  <c r="AX163" i="8"/>
  <c r="AP163" i="8"/>
  <c r="AO163" i="8"/>
  <c r="AW163" i="8" s="1"/>
  <c r="AV163" i="8" s="1"/>
  <c r="AJ163" i="8"/>
  <c r="AH163" i="8"/>
  <c r="Z163" i="8"/>
  <c r="I163" i="8"/>
  <c r="BJ162" i="8"/>
  <c r="BH162" i="8"/>
  <c r="BF162" i="8"/>
  <c r="BD162" i="8"/>
  <c r="AX162" i="8"/>
  <c r="AW162" i="8"/>
  <c r="AP162" i="8"/>
  <c r="BI162" i="8" s="1"/>
  <c r="AE162" i="8" s="1"/>
  <c r="AO162" i="8"/>
  <c r="AH162" i="8"/>
  <c r="Z162" i="8"/>
  <c r="I162" i="8"/>
  <c r="AL162" i="8" s="1"/>
  <c r="BJ161" i="8"/>
  <c r="BF161" i="8"/>
  <c r="BD161" i="8"/>
  <c r="AX161" i="8"/>
  <c r="AW161" i="8"/>
  <c r="BC161" i="8" s="1"/>
  <c r="AP161" i="8"/>
  <c r="BI161" i="8" s="1"/>
  <c r="AE161" i="8" s="1"/>
  <c r="AO161" i="8"/>
  <c r="BH161" i="8" s="1"/>
  <c r="AD161" i="8" s="1"/>
  <c r="AL161" i="8"/>
  <c r="AK161" i="8"/>
  <c r="AF161" i="8"/>
  <c r="I161" i="8"/>
  <c r="AJ161" i="8" s="1"/>
  <c r="BJ159" i="8"/>
  <c r="AH159" i="8" s="1"/>
  <c r="BI159" i="8"/>
  <c r="BF159" i="8"/>
  <c r="BD159" i="8"/>
  <c r="AW159" i="8"/>
  <c r="AV159" i="8"/>
  <c r="AP159" i="8"/>
  <c r="AX159" i="8" s="1"/>
  <c r="BC159" i="8" s="1"/>
  <c r="AO159" i="8"/>
  <c r="BH159" i="8" s="1"/>
  <c r="AD159" i="8" s="1"/>
  <c r="AL159" i="8"/>
  <c r="AK159" i="8"/>
  <c r="AJ159" i="8"/>
  <c r="AF159" i="8"/>
  <c r="AE159" i="8"/>
  <c r="AB159" i="8"/>
  <c r="Z159" i="8"/>
  <c r="I159" i="8"/>
  <c r="BJ158" i="8"/>
  <c r="BI158" i="8"/>
  <c r="AE158" i="8" s="1"/>
  <c r="BF158" i="8"/>
  <c r="BD158" i="8"/>
  <c r="BC158" i="8"/>
  <c r="AX158" i="8"/>
  <c r="AP158" i="8"/>
  <c r="AO158" i="8"/>
  <c r="AW158" i="8" s="1"/>
  <c r="AV158" i="8" s="1"/>
  <c r="AJ158" i="8"/>
  <c r="AH158" i="8"/>
  <c r="Z158" i="8"/>
  <c r="I158" i="8"/>
  <c r="BJ157" i="8"/>
  <c r="BH157" i="8"/>
  <c r="BF157" i="8"/>
  <c r="BD157" i="8"/>
  <c r="AX157" i="8"/>
  <c r="AW157" i="8"/>
  <c r="AP157" i="8"/>
  <c r="BI157" i="8" s="1"/>
  <c r="AE157" i="8" s="1"/>
  <c r="AO157" i="8"/>
  <c r="AH157" i="8"/>
  <c r="AG157" i="8"/>
  <c r="Z157" i="8"/>
  <c r="I157" i="8"/>
  <c r="AL157" i="8" s="1"/>
  <c r="BJ155" i="8"/>
  <c r="BF155" i="8"/>
  <c r="BD155" i="8"/>
  <c r="AX155" i="8"/>
  <c r="AW155" i="8"/>
  <c r="BC155" i="8" s="1"/>
  <c r="AV155" i="8"/>
  <c r="AP155" i="8"/>
  <c r="BI155" i="8" s="1"/>
  <c r="AE155" i="8" s="1"/>
  <c r="AO155" i="8"/>
  <c r="BH155" i="8" s="1"/>
  <c r="AD155" i="8" s="1"/>
  <c r="AL155" i="8"/>
  <c r="AK155" i="8"/>
  <c r="AG155" i="8"/>
  <c r="AF155" i="8"/>
  <c r="AC155" i="8"/>
  <c r="AB155" i="8"/>
  <c r="I155" i="8"/>
  <c r="AJ155" i="8" s="1"/>
  <c r="BJ154" i="8"/>
  <c r="AH154" i="8" s="1"/>
  <c r="BI154" i="8"/>
  <c r="BF154" i="8"/>
  <c r="BD154" i="8"/>
  <c r="AW154" i="8"/>
  <c r="AV154" i="8"/>
  <c r="AP154" i="8"/>
  <c r="AX154" i="8" s="1"/>
  <c r="BC154" i="8" s="1"/>
  <c r="AO154" i="8"/>
  <c r="BH154" i="8" s="1"/>
  <c r="AD154" i="8" s="1"/>
  <c r="AL154" i="8"/>
  <c r="AK154" i="8"/>
  <c r="AJ154" i="8"/>
  <c r="AF154" i="8"/>
  <c r="AE154" i="8"/>
  <c r="AB154" i="8"/>
  <c r="Z154" i="8"/>
  <c r="I154" i="8"/>
  <c r="BJ153" i="8"/>
  <c r="BI153" i="8"/>
  <c r="AE153" i="8" s="1"/>
  <c r="BF153" i="8"/>
  <c r="BD153" i="8"/>
  <c r="BC153" i="8"/>
  <c r="AX153" i="8"/>
  <c r="AP153" i="8"/>
  <c r="AO153" i="8"/>
  <c r="AW153" i="8" s="1"/>
  <c r="AV153" i="8" s="1"/>
  <c r="AJ153" i="8"/>
  <c r="AH153" i="8"/>
  <c r="Z153" i="8"/>
  <c r="I153" i="8"/>
  <c r="BJ152" i="8"/>
  <c r="BH152" i="8"/>
  <c r="BF152" i="8"/>
  <c r="BD152" i="8"/>
  <c r="AX152" i="8"/>
  <c r="AW152" i="8"/>
  <c r="AP152" i="8"/>
  <c r="BI152" i="8" s="1"/>
  <c r="AE152" i="8" s="1"/>
  <c r="AO152" i="8"/>
  <c r="AH152" i="8"/>
  <c r="Z152" i="8"/>
  <c r="I152" i="8"/>
  <c r="AL152" i="8" s="1"/>
  <c r="BJ151" i="8"/>
  <c r="BF151" i="8"/>
  <c r="BD151" i="8"/>
  <c r="AX151" i="8"/>
  <c r="AW151" i="8"/>
  <c r="BC151" i="8" s="1"/>
  <c r="AP151" i="8"/>
  <c r="BI151" i="8" s="1"/>
  <c r="AE151" i="8" s="1"/>
  <c r="AO151" i="8"/>
  <c r="BH151" i="8" s="1"/>
  <c r="AD151" i="8" s="1"/>
  <c r="AL151" i="8"/>
  <c r="AK151" i="8"/>
  <c r="AF151" i="8"/>
  <c r="I151" i="8"/>
  <c r="AJ151" i="8" s="1"/>
  <c r="BJ150" i="8"/>
  <c r="AH150" i="8" s="1"/>
  <c r="BF150" i="8"/>
  <c r="BD150" i="8"/>
  <c r="BC150" i="8"/>
  <c r="AW150" i="8"/>
  <c r="AP150" i="8"/>
  <c r="AX150" i="8" s="1"/>
  <c r="AV150" i="8" s="1"/>
  <c r="AO150" i="8"/>
  <c r="BH150" i="8" s="1"/>
  <c r="AD150" i="8" s="1"/>
  <c r="AL150" i="8"/>
  <c r="AK150" i="8"/>
  <c r="AJ150" i="8"/>
  <c r="AF150" i="8"/>
  <c r="I150" i="8"/>
  <c r="BJ149" i="8"/>
  <c r="BH149" i="8"/>
  <c r="BF149" i="8"/>
  <c r="BD149" i="8"/>
  <c r="AP149" i="8"/>
  <c r="AX149" i="8" s="1"/>
  <c r="AO149" i="8"/>
  <c r="AW149" i="8" s="1"/>
  <c r="BC149" i="8" s="1"/>
  <c r="AH149" i="8"/>
  <c r="Z149" i="8"/>
  <c r="I149" i="8"/>
  <c r="AJ149" i="8" s="1"/>
  <c r="BJ148" i="8"/>
  <c r="BF148" i="8"/>
  <c r="BD148" i="8"/>
  <c r="AX148" i="8"/>
  <c r="AP148" i="8"/>
  <c r="BI148" i="8" s="1"/>
  <c r="AE148" i="8" s="1"/>
  <c r="AO148" i="8"/>
  <c r="BH148" i="8" s="1"/>
  <c r="AL148" i="8"/>
  <c r="AH148" i="8"/>
  <c r="AG148" i="8"/>
  <c r="AC148" i="8"/>
  <c r="Z148" i="8"/>
  <c r="I148" i="8"/>
  <c r="BJ147" i="8"/>
  <c r="BF147" i="8"/>
  <c r="BD147" i="8"/>
  <c r="AX147" i="8"/>
  <c r="AW147" i="8"/>
  <c r="BC147" i="8" s="1"/>
  <c r="AV147" i="8"/>
  <c r="AP147" i="8"/>
  <c r="BI147" i="8" s="1"/>
  <c r="AE147" i="8" s="1"/>
  <c r="AO147" i="8"/>
  <c r="BH147" i="8" s="1"/>
  <c r="AD147" i="8" s="1"/>
  <c r="AL147" i="8"/>
  <c r="AK147" i="8"/>
  <c r="AG147" i="8"/>
  <c r="AF147" i="8"/>
  <c r="AC147" i="8"/>
  <c r="AB147" i="8"/>
  <c r="I147" i="8"/>
  <c r="AJ147" i="8" s="1"/>
  <c r="BJ146" i="8"/>
  <c r="AH146" i="8" s="1"/>
  <c r="BI146" i="8"/>
  <c r="BF146" i="8"/>
  <c r="BD146" i="8"/>
  <c r="AW146" i="8"/>
  <c r="AV146" i="8"/>
  <c r="AP146" i="8"/>
  <c r="AX146" i="8" s="1"/>
  <c r="BC146" i="8" s="1"/>
  <c r="AO146" i="8"/>
  <c r="BH146" i="8" s="1"/>
  <c r="AD146" i="8" s="1"/>
  <c r="AL146" i="8"/>
  <c r="AK146" i="8"/>
  <c r="AJ146" i="8"/>
  <c r="AF146" i="8"/>
  <c r="AE146" i="8"/>
  <c r="AB146" i="8"/>
  <c r="Z146" i="8"/>
  <c r="I146" i="8"/>
  <c r="BJ145" i="8"/>
  <c r="BI145" i="8"/>
  <c r="AE145" i="8" s="1"/>
  <c r="BF145" i="8"/>
  <c r="BD145" i="8"/>
  <c r="BC145" i="8"/>
  <c r="AX145" i="8"/>
  <c r="AP145" i="8"/>
  <c r="AO145" i="8"/>
  <c r="AW145" i="8" s="1"/>
  <c r="AV145" i="8" s="1"/>
  <c r="AJ145" i="8"/>
  <c r="AH145" i="8"/>
  <c r="Z145" i="8"/>
  <c r="I145" i="8"/>
  <c r="BJ144" i="8"/>
  <c r="BH144" i="8"/>
  <c r="BF144" i="8"/>
  <c r="BD144" i="8"/>
  <c r="AX144" i="8"/>
  <c r="AW144" i="8"/>
  <c r="AP144" i="8"/>
  <c r="BI144" i="8" s="1"/>
  <c r="AE144" i="8" s="1"/>
  <c r="AO144" i="8"/>
  <c r="AH144" i="8"/>
  <c r="Z144" i="8"/>
  <c r="I144" i="8"/>
  <c r="AL144" i="8" s="1"/>
  <c r="BJ143" i="8"/>
  <c r="BF143" i="8"/>
  <c r="BD143" i="8"/>
  <c r="AX143" i="8"/>
  <c r="AW143" i="8"/>
  <c r="BC143" i="8" s="1"/>
  <c r="AP143" i="8"/>
  <c r="BI143" i="8" s="1"/>
  <c r="AE143" i="8" s="1"/>
  <c r="AO143" i="8"/>
  <c r="BH143" i="8" s="1"/>
  <c r="AD143" i="8" s="1"/>
  <c r="AL143" i="8"/>
  <c r="AK143" i="8"/>
  <c r="AF143" i="8"/>
  <c r="I143" i="8"/>
  <c r="AJ143" i="8" s="1"/>
  <c r="BJ142" i="8"/>
  <c r="AH142" i="8" s="1"/>
  <c r="BF142" i="8"/>
  <c r="BD142" i="8"/>
  <c r="BC142" i="8"/>
  <c r="AW142" i="8"/>
  <c r="AP142" i="8"/>
  <c r="AX142" i="8" s="1"/>
  <c r="AV142" i="8" s="1"/>
  <c r="AO142" i="8"/>
  <c r="BH142" i="8" s="1"/>
  <c r="AD142" i="8" s="1"/>
  <c r="AL142" i="8"/>
  <c r="AK142" i="8"/>
  <c r="AJ142" i="8"/>
  <c r="AF142" i="8"/>
  <c r="I142" i="8"/>
  <c r="BJ141" i="8"/>
  <c r="BH141" i="8"/>
  <c r="BF141" i="8"/>
  <c r="BD141" i="8"/>
  <c r="AP141" i="8"/>
  <c r="AX141" i="8" s="1"/>
  <c r="AO141" i="8"/>
  <c r="AW141" i="8" s="1"/>
  <c r="AH141" i="8"/>
  <c r="Z141" i="8"/>
  <c r="I141" i="8"/>
  <c r="BJ139" i="8"/>
  <c r="BH139" i="8"/>
  <c r="BF139" i="8"/>
  <c r="BD139" i="8"/>
  <c r="AX139" i="8"/>
  <c r="AW139" i="8"/>
  <c r="AP139" i="8"/>
  <c r="BI139" i="8" s="1"/>
  <c r="AE139" i="8" s="1"/>
  <c r="AO139" i="8"/>
  <c r="AH139" i="8"/>
  <c r="AG139" i="8"/>
  <c r="Z139" i="8"/>
  <c r="I139" i="8"/>
  <c r="AL139" i="8" s="1"/>
  <c r="AU138" i="8" s="1"/>
  <c r="BJ137" i="8"/>
  <c r="BF137" i="8"/>
  <c r="BD137" i="8"/>
  <c r="AX137" i="8"/>
  <c r="AW137" i="8"/>
  <c r="BC137" i="8" s="1"/>
  <c r="AV137" i="8"/>
  <c r="AP137" i="8"/>
  <c r="BI137" i="8" s="1"/>
  <c r="AE137" i="8" s="1"/>
  <c r="AO137" i="8"/>
  <c r="BH137" i="8" s="1"/>
  <c r="AD137" i="8" s="1"/>
  <c r="AL137" i="8"/>
  <c r="AU136" i="8" s="1"/>
  <c r="AK137" i="8"/>
  <c r="AT136" i="8" s="1"/>
  <c r="AG137" i="8"/>
  <c r="AF137" i="8"/>
  <c r="AC137" i="8"/>
  <c r="AB137" i="8"/>
  <c r="I137" i="8"/>
  <c r="AJ137" i="8" s="1"/>
  <c r="AS136" i="8" s="1"/>
  <c r="I136" i="8"/>
  <c r="BJ135" i="8"/>
  <c r="AH135" i="8" s="1"/>
  <c r="BF135" i="8"/>
  <c r="BD135" i="8"/>
  <c r="AW135" i="8"/>
  <c r="AP135" i="8"/>
  <c r="AX135" i="8" s="1"/>
  <c r="BC135" i="8" s="1"/>
  <c r="AO135" i="8"/>
  <c r="BH135" i="8" s="1"/>
  <c r="AD135" i="8" s="1"/>
  <c r="AL135" i="8"/>
  <c r="AK135" i="8"/>
  <c r="AJ135" i="8"/>
  <c r="AF135" i="8"/>
  <c r="AB135" i="8"/>
  <c r="Z135" i="8"/>
  <c r="I135" i="8"/>
  <c r="AU134" i="8"/>
  <c r="AT134" i="8"/>
  <c r="AS134" i="8"/>
  <c r="I134" i="8"/>
  <c r="BJ133" i="8"/>
  <c r="BI133" i="8"/>
  <c r="BH133" i="8"/>
  <c r="BF133" i="8"/>
  <c r="BD133" i="8"/>
  <c r="AX133" i="8"/>
  <c r="BC133" i="8" s="1"/>
  <c r="AP133" i="8"/>
  <c r="AO133" i="8"/>
  <c r="AW133" i="8" s="1"/>
  <c r="AH133" i="8"/>
  <c r="Z133" i="8"/>
  <c r="I133" i="8"/>
  <c r="AJ133" i="8" s="1"/>
  <c r="BJ132" i="8"/>
  <c r="BF132" i="8"/>
  <c r="BD132" i="8"/>
  <c r="AX132" i="8"/>
  <c r="AP132" i="8"/>
  <c r="BI132" i="8" s="1"/>
  <c r="AE132" i="8" s="1"/>
  <c r="AO132" i="8"/>
  <c r="BH132" i="8" s="1"/>
  <c r="AH132" i="8"/>
  <c r="AG132" i="8"/>
  <c r="Z132" i="8"/>
  <c r="I132" i="8"/>
  <c r="BJ131" i="8"/>
  <c r="BF131" i="8"/>
  <c r="BD131" i="8"/>
  <c r="AX131" i="8"/>
  <c r="AW131" i="8"/>
  <c r="BC131" i="8" s="1"/>
  <c r="AP131" i="8"/>
  <c r="BI131" i="8" s="1"/>
  <c r="AE131" i="8" s="1"/>
  <c r="AO131" i="8"/>
  <c r="BH131" i="8" s="1"/>
  <c r="AD131" i="8" s="1"/>
  <c r="AL131" i="8"/>
  <c r="AK131" i="8"/>
  <c r="AG131" i="8"/>
  <c r="AF131" i="8"/>
  <c r="AC131" i="8"/>
  <c r="I131" i="8"/>
  <c r="AJ131" i="8" s="1"/>
  <c r="BJ129" i="8"/>
  <c r="AH129" i="8" s="1"/>
  <c r="BF129" i="8"/>
  <c r="BD129" i="8"/>
  <c r="AW129" i="8"/>
  <c r="AP129" i="8"/>
  <c r="AX129" i="8" s="1"/>
  <c r="BC129" i="8" s="1"/>
  <c r="AO129" i="8"/>
  <c r="BH129" i="8" s="1"/>
  <c r="AD129" i="8" s="1"/>
  <c r="AL129" i="8"/>
  <c r="AK129" i="8"/>
  <c r="AJ129" i="8"/>
  <c r="AF129" i="8"/>
  <c r="AB129" i="8"/>
  <c r="Z129" i="8"/>
  <c r="I129" i="8"/>
  <c r="BJ128" i="8"/>
  <c r="BI128" i="8"/>
  <c r="BH128" i="8"/>
  <c r="AD128" i="8" s="1"/>
  <c r="BF128" i="8"/>
  <c r="BD128" i="8"/>
  <c r="AX128" i="8"/>
  <c r="BC128" i="8" s="1"/>
  <c r="AP128" i="8"/>
  <c r="AO128" i="8"/>
  <c r="AW128" i="8" s="1"/>
  <c r="AH128" i="8"/>
  <c r="Z128" i="8"/>
  <c r="I128" i="8"/>
  <c r="I127" i="8" s="1"/>
  <c r="BJ126" i="8"/>
  <c r="BH126" i="8"/>
  <c r="AD126" i="8" s="1"/>
  <c r="BF126" i="8"/>
  <c r="BD126" i="8"/>
  <c r="AX126" i="8"/>
  <c r="AW126" i="8"/>
  <c r="AP126" i="8"/>
  <c r="BI126" i="8" s="1"/>
  <c r="AE126" i="8" s="1"/>
  <c r="AO126" i="8"/>
  <c r="AL126" i="8"/>
  <c r="AH126" i="8"/>
  <c r="AG126" i="8"/>
  <c r="AC126" i="8"/>
  <c r="Z126" i="8"/>
  <c r="I126" i="8"/>
  <c r="BJ125" i="8"/>
  <c r="BF125" i="8"/>
  <c r="BD125" i="8"/>
  <c r="AX125" i="8"/>
  <c r="AW125" i="8"/>
  <c r="BC125" i="8" s="1"/>
  <c r="AV125" i="8"/>
  <c r="AP125" i="8"/>
  <c r="BI125" i="8" s="1"/>
  <c r="AE125" i="8" s="1"/>
  <c r="AO125" i="8"/>
  <c r="BH125" i="8" s="1"/>
  <c r="AD125" i="8" s="1"/>
  <c r="AL125" i="8"/>
  <c r="AK125" i="8"/>
  <c r="AG125" i="8"/>
  <c r="AF125" i="8"/>
  <c r="AB125" i="8"/>
  <c r="I125" i="8"/>
  <c r="AJ125" i="8" s="1"/>
  <c r="BJ124" i="8"/>
  <c r="AH124" i="8" s="1"/>
  <c r="BF124" i="8"/>
  <c r="BD124" i="8"/>
  <c r="AW124" i="8"/>
  <c r="AP124" i="8"/>
  <c r="AX124" i="8" s="1"/>
  <c r="BC124" i="8" s="1"/>
  <c r="AO124" i="8"/>
  <c r="BH124" i="8" s="1"/>
  <c r="AD124" i="8" s="1"/>
  <c r="AL124" i="8"/>
  <c r="AK124" i="8"/>
  <c r="AJ124" i="8"/>
  <c r="AF124" i="8"/>
  <c r="AB124" i="8"/>
  <c r="Z124" i="8"/>
  <c r="I124" i="8"/>
  <c r="BJ123" i="8"/>
  <c r="BI123" i="8"/>
  <c r="BH123" i="8"/>
  <c r="BF123" i="8"/>
  <c r="BD123" i="8"/>
  <c r="AX123" i="8"/>
  <c r="BC123" i="8" s="1"/>
  <c r="AP123" i="8"/>
  <c r="AO123" i="8"/>
  <c r="AW123" i="8" s="1"/>
  <c r="AH123" i="8"/>
  <c r="Z123" i="8"/>
  <c r="I123" i="8"/>
  <c r="BJ122" i="8"/>
  <c r="BF122" i="8"/>
  <c r="BD122" i="8"/>
  <c r="AX122" i="8"/>
  <c r="AP122" i="8"/>
  <c r="BI122" i="8" s="1"/>
  <c r="AE122" i="8" s="1"/>
  <c r="AO122" i="8"/>
  <c r="BH122" i="8" s="1"/>
  <c r="AH122" i="8"/>
  <c r="AG122" i="8"/>
  <c r="Z122" i="8"/>
  <c r="I122" i="8"/>
  <c r="BJ119" i="8"/>
  <c r="BH119" i="8"/>
  <c r="AD119" i="8" s="1"/>
  <c r="BF119" i="8"/>
  <c r="BD119" i="8"/>
  <c r="AX119" i="8"/>
  <c r="AW119" i="8"/>
  <c r="AP119" i="8"/>
  <c r="BI119" i="8" s="1"/>
  <c r="AE119" i="8" s="1"/>
  <c r="AO119" i="8"/>
  <c r="AL119" i="8"/>
  <c r="AU118" i="8" s="1"/>
  <c r="AH119" i="8"/>
  <c r="AG119" i="8"/>
  <c r="AC119" i="8"/>
  <c r="Z119" i="8"/>
  <c r="I119" i="8"/>
  <c r="I118" i="8"/>
  <c r="BJ117" i="8"/>
  <c r="BF117" i="8"/>
  <c r="BD117" i="8"/>
  <c r="AX117" i="8"/>
  <c r="AW117" i="8"/>
  <c r="BC117" i="8" s="1"/>
  <c r="AP117" i="8"/>
  <c r="BI117" i="8" s="1"/>
  <c r="AE117" i="8" s="1"/>
  <c r="AO117" i="8"/>
  <c r="BH117" i="8" s="1"/>
  <c r="AD117" i="8" s="1"/>
  <c r="AL117" i="8"/>
  <c r="AK117" i="8"/>
  <c r="AG117" i="8"/>
  <c r="AC117" i="8"/>
  <c r="I117" i="8"/>
  <c r="AJ117" i="8" s="1"/>
  <c r="BJ116" i="8"/>
  <c r="AH116" i="8" s="1"/>
  <c r="BI116" i="8"/>
  <c r="BF116" i="8"/>
  <c r="BD116" i="8"/>
  <c r="BC116" i="8"/>
  <c r="AW116" i="8"/>
  <c r="AV116" i="8"/>
  <c r="AP116" i="8"/>
  <c r="AX116" i="8" s="1"/>
  <c r="AO116" i="8"/>
  <c r="BH116" i="8" s="1"/>
  <c r="AD116" i="8" s="1"/>
  <c r="AL116" i="8"/>
  <c r="AK116" i="8"/>
  <c r="AJ116" i="8"/>
  <c r="AE116" i="8"/>
  <c r="I116" i="8"/>
  <c r="BJ115" i="8"/>
  <c r="BF115" i="8"/>
  <c r="BD115" i="8"/>
  <c r="AP115" i="8"/>
  <c r="BI115" i="8" s="1"/>
  <c r="AO115" i="8"/>
  <c r="AW115" i="8" s="1"/>
  <c r="AJ115" i="8"/>
  <c r="AH115" i="8"/>
  <c r="Z115" i="8"/>
  <c r="I115" i="8"/>
  <c r="BJ114" i="8"/>
  <c r="BH114" i="8"/>
  <c r="AD114" i="8" s="1"/>
  <c r="BF114" i="8"/>
  <c r="BD114" i="8"/>
  <c r="AX114" i="8"/>
  <c r="AW114" i="8"/>
  <c r="AP114" i="8"/>
  <c r="BI114" i="8" s="1"/>
  <c r="AE114" i="8" s="1"/>
  <c r="AO114" i="8"/>
  <c r="AL114" i="8"/>
  <c r="AH114" i="8"/>
  <c r="AG114" i="8"/>
  <c r="AC114" i="8"/>
  <c r="Z114" i="8"/>
  <c r="I114" i="8"/>
  <c r="BJ113" i="8"/>
  <c r="BF113" i="8"/>
  <c r="BD113" i="8"/>
  <c r="AX113" i="8"/>
  <c r="AW113" i="8"/>
  <c r="BC113" i="8" s="1"/>
  <c r="AV113" i="8"/>
  <c r="AP113" i="8"/>
  <c r="BI113" i="8" s="1"/>
  <c r="AE113" i="8" s="1"/>
  <c r="AO113" i="8"/>
  <c r="BH113" i="8" s="1"/>
  <c r="AD113" i="8" s="1"/>
  <c r="AL113" i="8"/>
  <c r="AK113" i="8"/>
  <c r="AG113" i="8"/>
  <c r="AF113" i="8"/>
  <c r="AB113" i="8"/>
  <c r="I113" i="8"/>
  <c r="AJ113" i="8" s="1"/>
  <c r="BJ112" i="8"/>
  <c r="AH112" i="8" s="1"/>
  <c r="BF112" i="8"/>
  <c r="BD112" i="8"/>
  <c r="AW112" i="8"/>
  <c r="AP112" i="8"/>
  <c r="AX112" i="8" s="1"/>
  <c r="BC112" i="8" s="1"/>
  <c r="AO112" i="8"/>
  <c r="BH112" i="8" s="1"/>
  <c r="AD112" i="8" s="1"/>
  <c r="AL112" i="8"/>
  <c r="AK112" i="8"/>
  <c r="AJ112" i="8"/>
  <c r="AF112" i="8"/>
  <c r="AB112" i="8"/>
  <c r="Z112" i="8"/>
  <c r="I112" i="8"/>
  <c r="BJ111" i="8"/>
  <c r="BI111" i="8"/>
  <c r="BH111" i="8"/>
  <c r="BF111" i="8"/>
  <c r="BD111" i="8"/>
  <c r="AX111" i="8"/>
  <c r="BC111" i="8" s="1"/>
  <c r="AP111" i="8"/>
  <c r="AO111" i="8"/>
  <c r="AW111" i="8" s="1"/>
  <c r="AH111" i="8"/>
  <c r="Z111" i="8"/>
  <c r="I111" i="8"/>
  <c r="BJ110" i="8"/>
  <c r="BF110" i="8"/>
  <c r="BD110" i="8"/>
  <c r="AX110" i="8"/>
  <c r="AP110" i="8"/>
  <c r="BI110" i="8" s="1"/>
  <c r="AE110" i="8" s="1"/>
  <c r="AO110" i="8"/>
  <c r="BH110" i="8" s="1"/>
  <c r="AH110" i="8"/>
  <c r="AG110" i="8"/>
  <c r="Z110" i="8"/>
  <c r="I110" i="8"/>
  <c r="BJ109" i="8"/>
  <c r="BF109" i="8"/>
  <c r="BD109" i="8"/>
  <c r="AX109" i="8"/>
  <c r="AW109" i="8"/>
  <c r="BC109" i="8" s="1"/>
  <c r="AP109" i="8"/>
  <c r="BI109" i="8" s="1"/>
  <c r="AE109" i="8" s="1"/>
  <c r="AO109" i="8"/>
  <c r="BH109" i="8" s="1"/>
  <c r="AD109" i="8" s="1"/>
  <c r="AL109" i="8"/>
  <c r="AK109" i="8"/>
  <c r="AG109" i="8"/>
  <c r="AF109" i="8"/>
  <c r="AC109" i="8"/>
  <c r="I109" i="8"/>
  <c r="AJ109" i="8" s="1"/>
  <c r="BJ108" i="8"/>
  <c r="AH108" i="8" s="1"/>
  <c r="BI108" i="8"/>
  <c r="BF108" i="8"/>
  <c r="BD108" i="8"/>
  <c r="BC108" i="8"/>
  <c r="AW108" i="8"/>
  <c r="AV108" i="8"/>
  <c r="AP108" i="8"/>
  <c r="AX108" i="8" s="1"/>
  <c r="AO108" i="8"/>
  <c r="BH108" i="8" s="1"/>
  <c r="AD108" i="8" s="1"/>
  <c r="AL108" i="8"/>
  <c r="AK108" i="8"/>
  <c r="AJ108" i="8"/>
  <c r="AF108" i="8"/>
  <c r="AE108" i="8"/>
  <c r="I108" i="8"/>
  <c r="BJ107" i="8"/>
  <c r="BF107" i="8"/>
  <c r="BD107" i="8"/>
  <c r="AP107" i="8"/>
  <c r="BI107" i="8" s="1"/>
  <c r="AO107" i="8"/>
  <c r="AW107" i="8" s="1"/>
  <c r="AJ107" i="8"/>
  <c r="AH107" i="8"/>
  <c r="Z107" i="8"/>
  <c r="I107" i="8"/>
  <c r="BJ106" i="8"/>
  <c r="BH106" i="8"/>
  <c r="BF106" i="8"/>
  <c r="BD106" i="8"/>
  <c r="AX106" i="8"/>
  <c r="AW106" i="8"/>
  <c r="AP106" i="8"/>
  <c r="BI106" i="8" s="1"/>
  <c r="AE106" i="8" s="1"/>
  <c r="AO106" i="8"/>
  <c r="AL106" i="8"/>
  <c r="AH106" i="8"/>
  <c r="AG106" i="8"/>
  <c r="AC106" i="8"/>
  <c r="Z106" i="8"/>
  <c r="I106" i="8"/>
  <c r="BJ105" i="8"/>
  <c r="BF105" i="8"/>
  <c r="BD105" i="8"/>
  <c r="AX105" i="8"/>
  <c r="AW105" i="8"/>
  <c r="BC105" i="8" s="1"/>
  <c r="AV105" i="8"/>
  <c r="AP105" i="8"/>
  <c r="BI105" i="8" s="1"/>
  <c r="AE105" i="8" s="1"/>
  <c r="AO105" i="8"/>
  <c r="BH105" i="8" s="1"/>
  <c r="AD105" i="8" s="1"/>
  <c r="AL105" i="8"/>
  <c r="AK105" i="8"/>
  <c r="AF105" i="8"/>
  <c r="AB105" i="8"/>
  <c r="I105" i="8"/>
  <c r="AJ105" i="8" s="1"/>
  <c r="BJ104" i="8"/>
  <c r="AH104" i="8" s="1"/>
  <c r="BF104" i="8"/>
  <c r="BD104" i="8"/>
  <c r="AW104" i="8"/>
  <c r="AP104" i="8"/>
  <c r="AX104" i="8" s="1"/>
  <c r="BC104" i="8" s="1"/>
  <c r="AO104" i="8"/>
  <c r="BH104" i="8" s="1"/>
  <c r="AD104" i="8" s="1"/>
  <c r="AL104" i="8"/>
  <c r="AK104" i="8"/>
  <c r="AJ104" i="8"/>
  <c r="AF104" i="8"/>
  <c r="AB104" i="8"/>
  <c r="Z104" i="8"/>
  <c r="I104" i="8"/>
  <c r="BJ103" i="8"/>
  <c r="BI103" i="8"/>
  <c r="BH103" i="8"/>
  <c r="AD103" i="8" s="1"/>
  <c r="BF103" i="8"/>
  <c r="BD103" i="8"/>
  <c r="AX103" i="8"/>
  <c r="BC103" i="8" s="1"/>
  <c r="AP103" i="8"/>
  <c r="AO103" i="8"/>
  <c r="AW103" i="8" s="1"/>
  <c r="AH103" i="8"/>
  <c r="Z103" i="8"/>
  <c r="I103" i="8"/>
  <c r="BJ102" i="8"/>
  <c r="BF102" i="8"/>
  <c r="BD102" i="8"/>
  <c r="AX102" i="8"/>
  <c r="AP102" i="8"/>
  <c r="BI102" i="8" s="1"/>
  <c r="AE102" i="8" s="1"/>
  <c r="AO102" i="8"/>
  <c r="BH102" i="8" s="1"/>
  <c r="AH102" i="8"/>
  <c r="AG102" i="8"/>
  <c r="Z102" i="8"/>
  <c r="I102" i="8"/>
  <c r="BJ101" i="8"/>
  <c r="BF101" i="8"/>
  <c r="BD101" i="8"/>
  <c r="AX101" i="8"/>
  <c r="AW101" i="8"/>
  <c r="BC101" i="8" s="1"/>
  <c r="AP101" i="8"/>
  <c r="BI101" i="8" s="1"/>
  <c r="AE101" i="8" s="1"/>
  <c r="AO101" i="8"/>
  <c r="BH101" i="8" s="1"/>
  <c r="AD101" i="8" s="1"/>
  <c r="AL101" i="8"/>
  <c r="AK101" i="8"/>
  <c r="AG101" i="8"/>
  <c r="AC101" i="8"/>
  <c r="I101" i="8"/>
  <c r="AJ101" i="8" s="1"/>
  <c r="BJ100" i="8"/>
  <c r="AH100" i="8" s="1"/>
  <c r="BI100" i="8"/>
  <c r="BF100" i="8"/>
  <c r="BD100" i="8"/>
  <c r="BC100" i="8"/>
  <c r="AW100" i="8"/>
  <c r="AV100" i="8"/>
  <c r="AP100" i="8"/>
  <c r="AX100" i="8" s="1"/>
  <c r="AO100" i="8"/>
  <c r="BH100" i="8" s="1"/>
  <c r="AD100" i="8" s="1"/>
  <c r="AL100" i="8"/>
  <c r="AK100" i="8"/>
  <c r="AJ100" i="8"/>
  <c r="AE100" i="8"/>
  <c r="I100" i="8"/>
  <c r="BJ99" i="8"/>
  <c r="BF99" i="8"/>
  <c r="BD99" i="8"/>
  <c r="AP99" i="8"/>
  <c r="BI99" i="8" s="1"/>
  <c r="AO99" i="8"/>
  <c r="AW99" i="8" s="1"/>
  <c r="AJ99" i="8"/>
  <c r="AH99" i="8"/>
  <c r="Z99" i="8"/>
  <c r="I99" i="8"/>
  <c r="BJ98" i="8"/>
  <c r="BH98" i="8"/>
  <c r="AD98" i="8" s="1"/>
  <c r="BF98" i="8"/>
  <c r="BD98" i="8"/>
  <c r="AX98" i="8"/>
  <c r="AW98" i="8"/>
  <c r="AP98" i="8"/>
  <c r="BI98" i="8" s="1"/>
  <c r="AE98" i="8" s="1"/>
  <c r="AO98" i="8"/>
  <c r="AL98" i="8"/>
  <c r="AH98" i="8"/>
  <c r="AG98" i="8"/>
  <c r="AC98" i="8"/>
  <c r="Z98" i="8"/>
  <c r="I98" i="8"/>
  <c r="BJ96" i="8"/>
  <c r="BF96" i="8"/>
  <c r="BD96" i="8"/>
  <c r="AX96" i="8"/>
  <c r="AW96" i="8"/>
  <c r="BC96" i="8" s="1"/>
  <c r="AP96" i="8"/>
  <c r="BI96" i="8" s="1"/>
  <c r="AE96" i="8" s="1"/>
  <c r="AO96" i="8"/>
  <c r="BH96" i="8" s="1"/>
  <c r="AD96" i="8" s="1"/>
  <c r="AL96" i="8"/>
  <c r="AK96" i="8"/>
  <c r="AG96" i="8"/>
  <c r="AF96" i="8"/>
  <c r="AC96" i="8"/>
  <c r="I96" i="8"/>
  <c r="AJ96" i="8" s="1"/>
  <c r="BJ95" i="8"/>
  <c r="AH95" i="8" s="1"/>
  <c r="BI95" i="8"/>
  <c r="BF95" i="8"/>
  <c r="BD95" i="8"/>
  <c r="BC95" i="8"/>
  <c r="AW95" i="8"/>
  <c r="AV95" i="8"/>
  <c r="AP95" i="8"/>
  <c r="AX95" i="8" s="1"/>
  <c r="AO95" i="8"/>
  <c r="BH95" i="8" s="1"/>
  <c r="AD95" i="8" s="1"/>
  <c r="AL95" i="8"/>
  <c r="AK95" i="8"/>
  <c r="AJ95" i="8"/>
  <c r="AF95" i="8"/>
  <c r="AE95" i="8"/>
  <c r="I95" i="8"/>
  <c r="BJ94" i="8"/>
  <c r="BF94" i="8"/>
  <c r="BD94" i="8"/>
  <c r="AP94" i="8"/>
  <c r="BI94" i="8" s="1"/>
  <c r="AO94" i="8"/>
  <c r="AW94" i="8" s="1"/>
  <c r="AJ94" i="8"/>
  <c r="AH94" i="8"/>
  <c r="Z94" i="8"/>
  <c r="I94" i="8"/>
  <c r="BJ93" i="8"/>
  <c r="BH93" i="8"/>
  <c r="BF93" i="8"/>
  <c r="BD93" i="8"/>
  <c r="AX93" i="8"/>
  <c r="AW93" i="8"/>
  <c r="AP93" i="8"/>
  <c r="BI93" i="8" s="1"/>
  <c r="AE93" i="8" s="1"/>
  <c r="AO93" i="8"/>
  <c r="AL93" i="8"/>
  <c r="AH93" i="8"/>
  <c r="AG93" i="8"/>
  <c r="AC93" i="8"/>
  <c r="Z93" i="8"/>
  <c r="I93" i="8"/>
  <c r="BJ92" i="8"/>
  <c r="BF92" i="8"/>
  <c r="BD92" i="8"/>
  <c r="AX92" i="8"/>
  <c r="AW92" i="8"/>
  <c r="BC92" i="8" s="1"/>
  <c r="AV92" i="8"/>
  <c r="AP92" i="8"/>
  <c r="BI92" i="8" s="1"/>
  <c r="AE92" i="8" s="1"/>
  <c r="AO92" i="8"/>
  <c r="BH92" i="8" s="1"/>
  <c r="AD92" i="8" s="1"/>
  <c r="AL92" i="8"/>
  <c r="AK92" i="8"/>
  <c r="AG92" i="8"/>
  <c r="AF92" i="8"/>
  <c r="AB92" i="8"/>
  <c r="I92" i="8"/>
  <c r="AJ92" i="8" s="1"/>
  <c r="BJ91" i="8"/>
  <c r="AH91" i="8" s="1"/>
  <c r="BF91" i="8"/>
  <c r="BD91" i="8"/>
  <c r="AW91" i="8"/>
  <c r="AP91" i="8"/>
  <c r="AX91" i="8" s="1"/>
  <c r="BC91" i="8" s="1"/>
  <c r="AO91" i="8"/>
  <c r="BH91" i="8" s="1"/>
  <c r="AD91" i="8" s="1"/>
  <c r="AL91" i="8"/>
  <c r="AK91" i="8"/>
  <c r="AJ91" i="8"/>
  <c r="AF91" i="8"/>
  <c r="AB91" i="8"/>
  <c r="Z91" i="8"/>
  <c r="I91" i="8"/>
  <c r="BJ89" i="8"/>
  <c r="BF89" i="8"/>
  <c r="BD89" i="8"/>
  <c r="AP89" i="8"/>
  <c r="BI89" i="8" s="1"/>
  <c r="AO89" i="8"/>
  <c r="AW89" i="8" s="1"/>
  <c r="AJ89" i="8"/>
  <c r="AH89" i="8"/>
  <c r="Z89" i="8"/>
  <c r="I89" i="8"/>
  <c r="BJ88" i="8"/>
  <c r="BI88" i="8"/>
  <c r="AE88" i="8" s="1"/>
  <c r="BF88" i="8"/>
  <c r="BD88" i="8"/>
  <c r="AP88" i="8"/>
  <c r="AX88" i="8" s="1"/>
  <c r="AO88" i="8"/>
  <c r="BH88" i="8" s="1"/>
  <c r="AH88" i="8"/>
  <c r="AG88" i="8"/>
  <c r="Z88" i="8"/>
  <c r="I88" i="8"/>
  <c r="AK88" i="8" s="1"/>
  <c r="I87" i="8"/>
  <c r="BJ86" i="8"/>
  <c r="Z86" i="8" s="1"/>
  <c r="BF86" i="8"/>
  <c r="BD86" i="8"/>
  <c r="AX86" i="8"/>
  <c r="AP86" i="8"/>
  <c r="BI86" i="8" s="1"/>
  <c r="AE86" i="8" s="1"/>
  <c r="AO86" i="8"/>
  <c r="BH86" i="8" s="1"/>
  <c r="AK86" i="8"/>
  <c r="AH86" i="8"/>
  <c r="AC86" i="8"/>
  <c r="I86" i="8"/>
  <c r="AJ86" i="8" s="1"/>
  <c r="AS85" i="8" s="1"/>
  <c r="AT85" i="8"/>
  <c r="I85" i="8"/>
  <c r="BJ84" i="8"/>
  <c r="AH84" i="8" s="1"/>
  <c r="BI84" i="8"/>
  <c r="AC84" i="8" s="1"/>
  <c r="BF84" i="8"/>
  <c r="BD84" i="8"/>
  <c r="AW84" i="8"/>
  <c r="BC84" i="8" s="1"/>
  <c r="AV84" i="8"/>
  <c r="AP84" i="8"/>
  <c r="AX84" i="8" s="1"/>
  <c r="AO84" i="8"/>
  <c r="BH84" i="8" s="1"/>
  <c r="AD84" i="8" s="1"/>
  <c r="AL84" i="8"/>
  <c r="AK84" i="8"/>
  <c r="AJ84" i="8"/>
  <c r="AF84" i="8"/>
  <c r="AE84" i="8"/>
  <c r="AB84" i="8"/>
  <c r="Z84" i="8"/>
  <c r="I84" i="8"/>
  <c r="BJ83" i="8"/>
  <c r="Z83" i="8" s="1"/>
  <c r="BH83" i="8"/>
  <c r="AB83" i="8" s="1"/>
  <c r="BF83" i="8"/>
  <c r="BD83" i="8"/>
  <c r="AX83" i="8"/>
  <c r="AV83" i="8"/>
  <c r="AP83" i="8"/>
  <c r="BI83" i="8" s="1"/>
  <c r="AO83" i="8"/>
  <c r="AW83" i="8" s="1"/>
  <c r="BC83" i="8" s="1"/>
  <c r="AJ83" i="8"/>
  <c r="AH83" i="8"/>
  <c r="AD83" i="8"/>
  <c r="I83" i="8"/>
  <c r="AL83" i="8" s="1"/>
  <c r="BJ82" i="8"/>
  <c r="BF82" i="8"/>
  <c r="BD82" i="8"/>
  <c r="AW82" i="8"/>
  <c r="AP82" i="8"/>
  <c r="BI82" i="8" s="1"/>
  <c r="AO82" i="8"/>
  <c r="BH82" i="8" s="1"/>
  <c r="AJ82" i="8"/>
  <c r="AH82" i="8"/>
  <c r="Z82" i="8"/>
  <c r="I82" i="8"/>
  <c r="AK82" i="8" s="1"/>
  <c r="BJ81" i="8"/>
  <c r="Z81" i="8" s="1"/>
  <c r="BH81" i="8"/>
  <c r="AD81" i="8" s="1"/>
  <c r="BF81" i="8"/>
  <c r="BD81" i="8"/>
  <c r="AX81" i="8"/>
  <c r="AW81" i="8"/>
  <c r="BC81" i="8" s="1"/>
  <c r="AP81" i="8"/>
  <c r="BI81" i="8" s="1"/>
  <c r="AE81" i="8" s="1"/>
  <c r="AO81" i="8"/>
  <c r="AG81" i="8"/>
  <c r="AF81" i="8"/>
  <c r="AC81" i="8"/>
  <c r="I81" i="8"/>
  <c r="AJ81" i="8" s="1"/>
  <c r="BJ80" i="8"/>
  <c r="AH80" i="8" s="1"/>
  <c r="BF80" i="8"/>
  <c r="BD80" i="8"/>
  <c r="AW80" i="8"/>
  <c r="AP80" i="8"/>
  <c r="AX80" i="8" s="1"/>
  <c r="BC80" i="8" s="1"/>
  <c r="AO80" i="8"/>
  <c r="BH80" i="8" s="1"/>
  <c r="AD80" i="8" s="1"/>
  <c r="AL80" i="8"/>
  <c r="AK80" i="8"/>
  <c r="AJ80" i="8"/>
  <c r="AB80" i="8"/>
  <c r="I80" i="8"/>
  <c r="BJ79" i="8"/>
  <c r="Z79" i="8" s="1"/>
  <c r="BF79" i="8"/>
  <c r="BD79" i="8"/>
  <c r="AP79" i="8"/>
  <c r="BI79" i="8" s="1"/>
  <c r="AO79" i="8"/>
  <c r="AW79" i="8" s="1"/>
  <c r="AJ79" i="8"/>
  <c r="AH79" i="8"/>
  <c r="I79" i="8"/>
  <c r="AL79" i="8" s="1"/>
  <c r="BJ78" i="8"/>
  <c r="BI78" i="8"/>
  <c r="AE78" i="8" s="1"/>
  <c r="BF78" i="8"/>
  <c r="BD78" i="8"/>
  <c r="AP78" i="8"/>
  <c r="AX78" i="8" s="1"/>
  <c r="AO78" i="8"/>
  <c r="BH78" i="8" s="1"/>
  <c r="AH78" i="8"/>
  <c r="AG78" i="8"/>
  <c r="Z78" i="8"/>
  <c r="I78" i="8"/>
  <c r="AK78" i="8" s="1"/>
  <c r="BJ77" i="8"/>
  <c r="Z77" i="8" s="1"/>
  <c r="BH77" i="8"/>
  <c r="AB77" i="8" s="1"/>
  <c r="BF77" i="8"/>
  <c r="BD77" i="8"/>
  <c r="AX77" i="8"/>
  <c r="AW77" i="8"/>
  <c r="BC77" i="8" s="1"/>
  <c r="AV77" i="8"/>
  <c r="AP77" i="8"/>
  <c r="BI77" i="8" s="1"/>
  <c r="AE77" i="8" s="1"/>
  <c r="AO77" i="8"/>
  <c r="AK77" i="8"/>
  <c r="AH77" i="8"/>
  <c r="AF77" i="8"/>
  <c r="AD77" i="8"/>
  <c r="AC77" i="8"/>
  <c r="I77" i="8"/>
  <c r="AJ77" i="8" s="1"/>
  <c r="BJ76" i="8"/>
  <c r="AH76" i="8" s="1"/>
  <c r="BF76" i="8"/>
  <c r="BD76" i="8"/>
  <c r="BC76" i="8"/>
  <c r="AW76" i="8"/>
  <c r="AV76" i="8" s="1"/>
  <c r="AP76" i="8"/>
  <c r="AX76" i="8" s="1"/>
  <c r="AO76" i="8"/>
  <c r="BH76" i="8" s="1"/>
  <c r="AD76" i="8" s="1"/>
  <c r="AL76" i="8"/>
  <c r="AK76" i="8"/>
  <c r="AJ76" i="8"/>
  <c r="AB76" i="8"/>
  <c r="I76" i="8"/>
  <c r="BJ75" i="8"/>
  <c r="BI75" i="8"/>
  <c r="BF75" i="8"/>
  <c r="BD75" i="8"/>
  <c r="AP75" i="8"/>
  <c r="AX75" i="8" s="1"/>
  <c r="AO75" i="8"/>
  <c r="AW75" i="8" s="1"/>
  <c r="AH75" i="8"/>
  <c r="Z75" i="8"/>
  <c r="I75" i="8"/>
  <c r="AL75" i="8" s="1"/>
  <c r="BJ74" i="8"/>
  <c r="BI74" i="8"/>
  <c r="AC74" i="8" s="1"/>
  <c r="BH74" i="8"/>
  <c r="BF74" i="8"/>
  <c r="BD74" i="8"/>
  <c r="AX74" i="8"/>
  <c r="AP74" i="8"/>
  <c r="AO74" i="8"/>
  <c r="AW74" i="8" s="1"/>
  <c r="AH74" i="8"/>
  <c r="AG74" i="8"/>
  <c r="AE74" i="8"/>
  <c r="Z74" i="8"/>
  <c r="I74" i="8"/>
  <c r="AK74" i="8" s="1"/>
  <c r="BJ73" i="8"/>
  <c r="Z73" i="8" s="1"/>
  <c r="BF73" i="8"/>
  <c r="BD73" i="8"/>
  <c r="AX73" i="8"/>
  <c r="AP73" i="8"/>
  <c r="BI73" i="8" s="1"/>
  <c r="AE73" i="8" s="1"/>
  <c r="AO73" i="8"/>
  <c r="BH73" i="8" s="1"/>
  <c r="AK73" i="8"/>
  <c r="AH73" i="8"/>
  <c r="AC73" i="8"/>
  <c r="I73" i="8"/>
  <c r="AJ73" i="8" s="1"/>
  <c r="BJ72" i="8"/>
  <c r="AH72" i="8" s="1"/>
  <c r="BI72" i="8"/>
  <c r="AE72" i="8" s="1"/>
  <c r="BF72" i="8"/>
  <c r="BD72" i="8"/>
  <c r="AW72" i="8"/>
  <c r="AV72" i="8" s="1"/>
  <c r="AP72" i="8"/>
  <c r="AX72" i="8" s="1"/>
  <c r="AO72" i="8"/>
  <c r="BH72" i="8" s="1"/>
  <c r="AD72" i="8" s="1"/>
  <c r="AL72" i="8"/>
  <c r="AK72" i="8"/>
  <c r="AJ72" i="8"/>
  <c r="AF72" i="8"/>
  <c r="AB72" i="8"/>
  <c r="Z72" i="8"/>
  <c r="I72" i="8"/>
  <c r="BJ71" i="8"/>
  <c r="BI71" i="8"/>
  <c r="BH71" i="8"/>
  <c r="AD71" i="8" s="1"/>
  <c r="BF71" i="8"/>
  <c r="BD71" i="8"/>
  <c r="AX71" i="8"/>
  <c r="AP71" i="8"/>
  <c r="AO71" i="8"/>
  <c r="AW71" i="8" s="1"/>
  <c r="AV71" i="8" s="1"/>
  <c r="AH71" i="8"/>
  <c r="AE71" i="8"/>
  <c r="Z71" i="8"/>
  <c r="I71" i="8"/>
  <c r="AL71" i="8" s="1"/>
  <c r="BJ70" i="8"/>
  <c r="BH70" i="8"/>
  <c r="BF70" i="8"/>
  <c r="BD70" i="8"/>
  <c r="AX70" i="8"/>
  <c r="AW70" i="8"/>
  <c r="AV70" i="8" s="1"/>
  <c r="AP70" i="8"/>
  <c r="BI70" i="8" s="1"/>
  <c r="AO70" i="8"/>
  <c r="AJ70" i="8"/>
  <c r="AH70" i="8"/>
  <c r="AD70" i="8"/>
  <c r="Z70" i="8"/>
  <c r="I70" i="8"/>
  <c r="AK70" i="8" s="1"/>
  <c r="BJ69" i="8"/>
  <c r="Z69" i="8" s="1"/>
  <c r="BF69" i="8"/>
  <c r="BD69" i="8"/>
  <c r="AX69" i="8"/>
  <c r="AP69" i="8"/>
  <c r="BI69" i="8" s="1"/>
  <c r="AE69" i="8" s="1"/>
  <c r="AO69" i="8"/>
  <c r="BH69" i="8" s="1"/>
  <c r="AG69" i="8"/>
  <c r="AC69" i="8"/>
  <c r="I69" i="8"/>
  <c r="AJ69" i="8" s="1"/>
  <c r="BJ68" i="8"/>
  <c r="AH68" i="8" s="1"/>
  <c r="BI68" i="8"/>
  <c r="AC68" i="8" s="1"/>
  <c r="BF68" i="8"/>
  <c r="BD68" i="8"/>
  <c r="AW68" i="8"/>
  <c r="BC68" i="8" s="1"/>
  <c r="AV68" i="8"/>
  <c r="AP68" i="8"/>
  <c r="AX68" i="8" s="1"/>
  <c r="AO68" i="8"/>
  <c r="BH68" i="8" s="1"/>
  <c r="AD68" i="8" s="1"/>
  <c r="AL68" i="8"/>
  <c r="AK68" i="8"/>
  <c r="AJ68" i="8"/>
  <c r="AF68" i="8"/>
  <c r="AE68" i="8"/>
  <c r="AB68" i="8"/>
  <c r="Z68" i="8"/>
  <c r="I68" i="8"/>
  <c r="BJ67" i="8"/>
  <c r="Z67" i="8" s="1"/>
  <c r="BH67" i="8"/>
  <c r="AB67" i="8" s="1"/>
  <c r="BF67" i="8"/>
  <c r="BD67" i="8"/>
  <c r="AX67" i="8"/>
  <c r="AV67" i="8"/>
  <c r="AP67" i="8"/>
  <c r="BI67" i="8" s="1"/>
  <c r="AO67" i="8"/>
  <c r="AW67" i="8" s="1"/>
  <c r="BC67" i="8" s="1"/>
  <c r="AJ67" i="8"/>
  <c r="AH67" i="8"/>
  <c r="AD67" i="8"/>
  <c r="I67" i="8"/>
  <c r="AL67" i="8" s="1"/>
  <c r="BJ66" i="8"/>
  <c r="BF66" i="8"/>
  <c r="BD66" i="8"/>
  <c r="AW66" i="8"/>
  <c r="AP66" i="8"/>
  <c r="BI66" i="8" s="1"/>
  <c r="AO66" i="8"/>
  <c r="BH66" i="8" s="1"/>
  <c r="AJ66" i="8"/>
  <c r="AH66" i="8"/>
  <c r="Z66" i="8"/>
  <c r="I66" i="8"/>
  <c r="AK66" i="8" s="1"/>
  <c r="BJ65" i="8"/>
  <c r="Z65" i="8" s="1"/>
  <c r="BH65" i="8"/>
  <c r="AD65" i="8" s="1"/>
  <c r="BF65" i="8"/>
  <c r="BD65" i="8"/>
  <c r="AX65" i="8"/>
  <c r="AW65" i="8"/>
  <c r="BC65" i="8" s="1"/>
  <c r="AP65" i="8"/>
  <c r="BI65" i="8" s="1"/>
  <c r="AE65" i="8" s="1"/>
  <c r="AO65" i="8"/>
  <c r="AG65" i="8"/>
  <c r="AF65" i="8"/>
  <c r="AC65" i="8"/>
  <c r="I65" i="8"/>
  <c r="AJ65" i="8" s="1"/>
  <c r="BJ64" i="8"/>
  <c r="AH64" i="8" s="1"/>
  <c r="BF64" i="8"/>
  <c r="BD64" i="8"/>
  <c r="AW64" i="8"/>
  <c r="AP64" i="8"/>
  <c r="AX64" i="8" s="1"/>
  <c r="BC64" i="8" s="1"/>
  <c r="AO64" i="8"/>
  <c r="BH64" i="8" s="1"/>
  <c r="AD64" i="8" s="1"/>
  <c r="AL64" i="8"/>
  <c r="AK64" i="8"/>
  <c r="AJ64" i="8"/>
  <c r="AB64" i="8"/>
  <c r="I64" i="8"/>
  <c r="BJ63" i="8"/>
  <c r="Z63" i="8" s="1"/>
  <c r="BF63" i="8"/>
  <c r="BD63" i="8"/>
  <c r="AP63" i="8"/>
  <c r="BI63" i="8" s="1"/>
  <c r="AO63" i="8"/>
  <c r="AW63" i="8" s="1"/>
  <c r="AJ63" i="8"/>
  <c r="AH63" i="8"/>
  <c r="I63" i="8"/>
  <c r="AL63" i="8" s="1"/>
  <c r="BJ61" i="8"/>
  <c r="BI61" i="8"/>
  <c r="AC61" i="8" s="1"/>
  <c r="BH61" i="8"/>
  <c r="BF61" i="8"/>
  <c r="BD61" i="8"/>
  <c r="AX61" i="8"/>
  <c r="AP61" i="8"/>
  <c r="AO61" i="8"/>
  <c r="AW61" i="8" s="1"/>
  <c r="AH61" i="8"/>
  <c r="AG61" i="8"/>
  <c r="AE61" i="8"/>
  <c r="Z61" i="8"/>
  <c r="I61" i="8"/>
  <c r="AK61" i="8" s="1"/>
  <c r="BJ60" i="8"/>
  <c r="Z60" i="8" s="1"/>
  <c r="BF60" i="8"/>
  <c r="BD60" i="8"/>
  <c r="AX60" i="8"/>
  <c r="AP60" i="8"/>
  <c r="BI60" i="8" s="1"/>
  <c r="AE60" i="8" s="1"/>
  <c r="AO60" i="8"/>
  <c r="BH60" i="8" s="1"/>
  <c r="AK60" i="8"/>
  <c r="AH60" i="8"/>
  <c r="AC60" i="8"/>
  <c r="I60" i="8"/>
  <c r="AJ60" i="8" s="1"/>
  <c r="BJ59" i="8"/>
  <c r="AH59" i="8" s="1"/>
  <c r="BI59" i="8"/>
  <c r="AE59" i="8" s="1"/>
  <c r="BF59" i="8"/>
  <c r="BD59" i="8"/>
  <c r="AW59" i="8"/>
  <c r="AV59" i="8" s="1"/>
  <c r="AP59" i="8"/>
  <c r="AX59" i="8" s="1"/>
  <c r="AO59" i="8"/>
  <c r="BH59" i="8" s="1"/>
  <c r="AD59" i="8" s="1"/>
  <c r="AL59" i="8"/>
  <c r="AK59" i="8"/>
  <c r="AJ59" i="8"/>
  <c r="AF59" i="8"/>
  <c r="AB59" i="8"/>
  <c r="Z59" i="8"/>
  <c r="I59" i="8"/>
  <c r="BJ58" i="8"/>
  <c r="BI58" i="8"/>
  <c r="BH58" i="8"/>
  <c r="AD58" i="8" s="1"/>
  <c r="BF58" i="8"/>
  <c r="BD58" i="8"/>
  <c r="AX58" i="8"/>
  <c r="AP58" i="8"/>
  <c r="AO58" i="8"/>
  <c r="AW58" i="8" s="1"/>
  <c r="AV58" i="8" s="1"/>
  <c r="AH58" i="8"/>
  <c r="AE58" i="8"/>
  <c r="Z58" i="8"/>
  <c r="I58" i="8"/>
  <c r="AL58" i="8" s="1"/>
  <c r="BJ57" i="8"/>
  <c r="BH57" i="8"/>
  <c r="BF57" i="8"/>
  <c r="BD57" i="8"/>
  <c r="AX57" i="8"/>
  <c r="AW57" i="8"/>
  <c r="AV57" i="8" s="1"/>
  <c r="AP57" i="8"/>
  <c r="BI57" i="8" s="1"/>
  <c r="AO57" i="8"/>
  <c r="AJ57" i="8"/>
  <c r="AH57" i="8"/>
  <c r="AD57" i="8"/>
  <c r="Z57" i="8"/>
  <c r="I57" i="8"/>
  <c r="AK57" i="8" s="1"/>
  <c r="BJ56" i="8"/>
  <c r="Z56" i="8" s="1"/>
  <c r="BF56" i="8"/>
  <c r="BD56" i="8"/>
  <c r="AX56" i="8"/>
  <c r="AP56" i="8"/>
  <c r="BI56" i="8" s="1"/>
  <c r="AE56" i="8" s="1"/>
  <c r="AO56" i="8"/>
  <c r="BH56" i="8" s="1"/>
  <c r="AG56" i="8"/>
  <c r="AC56" i="8"/>
  <c r="I56" i="8"/>
  <c r="AK56" i="8" s="1"/>
  <c r="BJ55" i="8"/>
  <c r="AH55" i="8" s="1"/>
  <c r="BI55" i="8"/>
  <c r="AC55" i="8" s="1"/>
  <c r="BF55" i="8"/>
  <c r="BD55" i="8"/>
  <c r="AW55" i="8"/>
  <c r="BC55" i="8" s="1"/>
  <c r="AV55" i="8"/>
  <c r="AP55" i="8"/>
  <c r="AX55" i="8" s="1"/>
  <c r="AO55" i="8"/>
  <c r="BH55" i="8" s="1"/>
  <c r="AD55" i="8" s="1"/>
  <c r="AL55" i="8"/>
  <c r="AK55" i="8"/>
  <c r="AJ55" i="8"/>
  <c r="AF55" i="8"/>
  <c r="AE55" i="8"/>
  <c r="AB55" i="8"/>
  <c r="Z55" i="8"/>
  <c r="I55" i="8"/>
  <c r="BJ52" i="8"/>
  <c r="AH52" i="8" s="1"/>
  <c r="BF52" i="8"/>
  <c r="BD52" i="8"/>
  <c r="AW52" i="8"/>
  <c r="AP52" i="8"/>
  <c r="AX52" i="8" s="1"/>
  <c r="BC52" i="8" s="1"/>
  <c r="AO52" i="8"/>
  <c r="BH52" i="8" s="1"/>
  <c r="AD52" i="8" s="1"/>
  <c r="AL52" i="8"/>
  <c r="AK52" i="8"/>
  <c r="AT51" i="8" s="1"/>
  <c r="AJ52" i="8"/>
  <c r="AS51" i="8" s="1"/>
  <c r="AB52" i="8"/>
  <c r="I52" i="8"/>
  <c r="AU51" i="8"/>
  <c r="I51" i="8"/>
  <c r="BJ50" i="8"/>
  <c r="Z50" i="8" s="1"/>
  <c r="BF50" i="8"/>
  <c r="BD50" i="8"/>
  <c r="AP50" i="8"/>
  <c r="BI50" i="8" s="1"/>
  <c r="AO50" i="8"/>
  <c r="AW50" i="8" s="1"/>
  <c r="AJ50" i="8"/>
  <c r="AH50" i="8"/>
  <c r="I50" i="8"/>
  <c r="AL50" i="8" s="1"/>
  <c r="BJ49" i="8"/>
  <c r="BI49" i="8"/>
  <c r="AE49" i="8" s="1"/>
  <c r="BF49" i="8"/>
  <c r="BD49" i="8"/>
  <c r="AP49" i="8"/>
  <c r="AX49" i="8" s="1"/>
  <c r="AO49" i="8"/>
  <c r="BH49" i="8" s="1"/>
  <c r="AH49" i="8"/>
  <c r="AG49" i="8"/>
  <c r="Z49" i="8"/>
  <c r="I49" i="8"/>
  <c r="AK49" i="8" s="1"/>
  <c r="I48" i="8"/>
  <c r="BJ47" i="8"/>
  <c r="Z47" i="8" s="1"/>
  <c r="BF47" i="8"/>
  <c r="BD47" i="8"/>
  <c r="AX47" i="8"/>
  <c r="AP47" i="8"/>
  <c r="BI47" i="8" s="1"/>
  <c r="AE47" i="8" s="1"/>
  <c r="AO47" i="8"/>
  <c r="BH47" i="8" s="1"/>
  <c r="AK47" i="8"/>
  <c r="AH47" i="8"/>
  <c r="AC47" i="8"/>
  <c r="I47" i="8"/>
  <c r="AJ47" i="8" s="1"/>
  <c r="BJ46" i="8"/>
  <c r="AH46" i="8" s="1"/>
  <c r="BI46" i="8"/>
  <c r="AE46" i="8" s="1"/>
  <c r="BF46" i="8"/>
  <c r="BD46" i="8"/>
  <c r="AW46" i="8"/>
  <c r="AV46" i="8" s="1"/>
  <c r="AP46" i="8"/>
  <c r="AX46" i="8" s="1"/>
  <c r="AO46" i="8"/>
  <c r="BH46" i="8" s="1"/>
  <c r="AD46" i="8" s="1"/>
  <c r="AL46" i="8"/>
  <c r="AK46" i="8"/>
  <c r="AJ46" i="8"/>
  <c r="AF46" i="8"/>
  <c r="AB46" i="8"/>
  <c r="Z46" i="8"/>
  <c r="I46" i="8"/>
  <c r="BJ45" i="8"/>
  <c r="BI45" i="8"/>
  <c r="BH45" i="8"/>
  <c r="AD45" i="8" s="1"/>
  <c r="BF45" i="8"/>
  <c r="BD45" i="8"/>
  <c r="AX45" i="8"/>
  <c r="AP45" i="8"/>
  <c r="AO45" i="8"/>
  <c r="AW45" i="8" s="1"/>
  <c r="AV45" i="8" s="1"/>
  <c r="AH45" i="8"/>
  <c r="AE45" i="8"/>
  <c r="Z45" i="8"/>
  <c r="I45" i="8"/>
  <c r="AL45" i="8" s="1"/>
  <c r="BJ44" i="8"/>
  <c r="BH44" i="8"/>
  <c r="BF44" i="8"/>
  <c r="BD44" i="8"/>
  <c r="AX44" i="8"/>
  <c r="AW44" i="8"/>
  <c r="AV44" i="8" s="1"/>
  <c r="AP44" i="8"/>
  <c r="BI44" i="8" s="1"/>
  <c r="AO44" i="8"/>
  <c r="AJ44" i="8"/>
  <c r="AH44" i="8"/>
  <c r="AD44" i="8"/>
  <c r="Z44" i="8"/>
  <c r="I44" i="8"/>
  <c r="AK44" i="8" s="1"/>
  <c r="BJ42" i="8"/>
  <c r="Z42" i="8" s="1"/>
  <c r="BH42" i="8"/>
  <c r="AD42" i="8" s="1"/>
  <c r="BF42" i="8"/>
  <c r="BD42" i="8"/>
  <c r="AX42" i="8"/>
  <c r="AW42" i="8"/>
  <c r="BC42" i="8" s="1"/>
  <c r="AP42" i="8"/>
  <c r="BI42" i="8" s="1"/>
  <c r="AE42" i="8" s="1"/>
  <c r="AO42" i="8"/>
  <c r="AG42" i="8"/>
  <c r="AF42" i="8"/>
  <c r="AC42" i="8"/>
  <c r="I42" i="8"/>
  <c r="AJ42" i="8" s="1"/>
  <c r="BJ41" i="8"/>
  <c r="AH41" i="8" s="1"/>
  <c r="BF41" i="8"/>
  <c r="BD41" i="8"/>
  <c r="AW41" i="8"/>
  <c r="AP41" i="8"/>
  <c r="AX41" i="8" s="1"/>
  <c r="BC41" i="8" s="1"/>
  <c r="AO41" i="8"/>
  <c r="BH41" i="8" s="1"/>
  <c r="AD41" i="8" s="1"/>
  <c r="AL41" i="8"/>
  <c r="AK41" i="8"/>
  <c r="AJ41" i="8"/>
  <c r="AB41" i="8"/>
  <c r="I41" i="8"/>
  <c r="BJ40" i="8"/>
  <c r="Z40" i="8" s="1"/>
  <c r="BF40" i="8"/>
  <c r="BD40" i="8"/>
  <c r="AP40" i="8"/>
  <c r="BI40" i="8" s="1"/>
  <c r="AO40" i="8"/>
  <c r="AW40" i="8" s="1"/>
  <c r="AJ40" i="8"/>
  <c r="AH40" i="8"/>
  <c r="I40" i="8"/>
  <c r="AL40" i="8" s="1"/>
  <c r="BJ39" i="8"/>
  <c r="BI39" i="8"/>
  <c r="AE39" i="8" s="1"/>
  <c r="BF39" i="8"/>
  <c r="BD39" i="8"/>
  <c r="AP39" i="8"/>
  <c r="AX39" i="8" s="1"/>
  <c r="AO39" i="8"/>
  <c r="BH39" i="8" s="1"/>
  <c r="AH39" i="8"/>
  <c r="AG39" i="8"/>
  <c r="Z39" i="8"/>
  <c r="I39" i="8"/>
  <c r="AK39" i="8" s="1"/>
  <c r="BJ38" i="8"/>
  <c r="Z38" i="8" s="1"/>
  <c r="BH38" i="8"/>
  <c r="AB38" i="8" s="1"/>
  <c r="BF38" i="8"/>
  <c r="BD38" i="8"/>
  <c r="AX38" i="8"/>
  <c r="AW38" i="8"/>
  <c r="BC38" i="8" s="1"/>
  <c r="AV38" i="8"/>
  <c r="AP38" i="8"/>
  <c r="BI38" i="8" s="1"/>
  <c r="AE38" i="8" s="1"/>
  <c r="AO38" i="8"/>
  <c r="AK38" i="8"/>
  <c r="AH38" i="8"/>
  <c r="AF38" i="8"/>
  <c r="AD38" i="8"/>
  <c r="AC38" i="8"/>
  <c r="I38" i="8"/>
  <c r="AJ38" i="8" s="1"/>
  <c r="BJ37" i="8"/>
  <c r="AH37" i="8" s="1"/>
  <c r="BF37" i="8"/>
  <c r="BD37" i="8"/>
  <c r="BC37" i="8"/>
  <c r="AW37" i="8"/>
  <c r="AV37" i="8" s="1"/>
  <c r="AP37" i="8"/>
  <c r="AX37" i="8" s="1"/>
  <c r="AO37" i="8"/>
  <c r="BH37" i="8" s="1"/>
  <c r="AD37" i="8" s="1"/>
  <c r="AL37" i="8"/>
  <c r="AK37" i="8"/>
  <c r="AJ37" i="8"/>
  <c r="AB37" i="8"/>
  <c r="I37" i="8"/>
  <c r="BJ36" i="8"/>
  <c r="BI36" i="8"/>
  <c r="BF36" i="8"/>
  <c r="BD36" i="8"/>
  <c r="AP36" i="8"/>
  <c r="AX36" i="8" s="1"/>
  <c r="AO36" i="8"/>
  <c r="AW36" i="8" s="1"/>
  <c r="AV36" i="8" s="1"/>
  <c r="AH36" i="8"/>
  <c r="Z36" i="8"/>
  <c r="I36" i="8"/>
  <c r="AL36" i="8" s="1"/>
  <c r="BJ35" i="8"/>
  <c r="BI35" i="8"/>
  <c r="AC35" i="8" s="1"/>
  <c r="BH35" i="8"/>
  <c r="BF35" i="8"/>
  <c r="BD35" i="8"/>
  <c r="AX35" i="8"/>
  <c r="AP35" i="8"/>
  <c r="AO35" i="8"/>
  <c r="AW35" i="8" s="1"/>
  <c r="AH35" i="8"/>
  <c r="AG35" i="8"/>
  <c r="AE35" i="8"/>
  <c r="Z35" i="8"/>
  <c r="I35" i="8"/>
  <c r="AK35" i="8" s="1"/>
  <c r="BJ34" i="8"/>
  <c r="Z34" i="8" s="1"/>
  <c r="BF34" i="8"/>
  <c r="BD34" i="8"/>
  <c r="AX34" i="8"/>
  <c r="AP34" i="8"/>
  <c r="BI34" i="8" s="1"/>
  <c r="AE34" i="8" s="1"/>
  <c r="AO34" i="8"/>
  <c r="BH34" i="8" s="1"/>
  <c r="AK34" i="8"/>
  <c r="AH34" i="8"/>
  <c r="AC34" i="8"/>
  <c r="I34" i="8"/>
  <c r="AJ34" i="8" s="1"/>
  <c r="BJ32" i="8"/>
  <c r="AH32" i="8" s="1"/>
  <c r="BI32" i="8"/>
  <c r="AC32" i="8" s="1"/>
  <c r="BF32" i="8"/>
  <c r="BD32" i="8"/>
  <c r="AW32" i="8"/>
  <c r="BC32" i="8" s="1"/>
  <c r="AV32" i="8"/>
  <c r="AP32" i="8"/>
  <c r="AX32" i="8" s="1"/>
  <c r="AO32" i="8"/>
  <c r="BH32" i="8" s="1"/>
  <c r="AD32" i="8" s="1"/>
  <c r="AL32" i="8"/>
  <c r="AU31" i="8" s="1"/>
  <c r="AK32" i="8"/>
  <c r="AT31" i="8" s="1"/>
  <c r="AJ32" i="8"/>
  <c r="AF32" i="8"/>
  <c r="AE32" i="8"/>
  <c r="AB32" i="8"/>
  <c r="Z32" i="8"/>
  <c r="I32" i="8"/>
  <c r="AS31" i="8"/>
  <c r="I31" i="8"/>
  <c r="BJ30" i="8"/>
  <c r="Z30" i="8" s="1"/>
  <c r="BH30" i="8"/>
  <c r="AB30" i="8" s="1"/>
  <c r="BF30" i="8"/>
  <c r="BD30" i="8"/>
  <c r="AX30" i="8"/>
  <c r="AV30" i="8"/>
  <c r="AP30" i="8"/>
  <c r="BI30" i="8" s="1"/>
  <c r="AO30" i="8"/>
  <c r="AW30" i="8" s="1"/>
  <c r="BC30" i="8" s="1"/>
  <c r="AJ30" i="8"/>
  <c r="AS29" i="8" s="1"/>
  <c r="AH30" i="8"/>
  <c r="AD30" i="8"/>
  <c r="I30" i="8"/>
  <c r="AL30" i="8" s="1"/>
  <c r="AU29" i="8" s="1"/>
  <c r="BU27" i="8"/>
  <c r="BJ27" i="8"/>
  <c r="AH27" i="8" s="1"/>
  <c r="BF27" i="8"/>
  <c r="BD27" i="8"/>
  <c r="BC27" i="8"/>
  <c r="AW27" i="8"/>
  <c r="AV27" i="8" s="1"/>
  <c r="AP27" i="8"/>
  <c r="AX27" i="8" s="1"/>
  <c r="AO27" i="8"/>
  <c r="BH27" i="8" s="1"/>
  <c r="AD27" i="8" s="1"/>
  <c r="AL27" i="8"/>
  <c r="AK27" i="8"/>
  <c r="AJ27" i="8"/>
  <c r="AS26" i="8" s="1"/>
  <c r="AB27" i="8"/>
  <c r="I27" i="8"/>
  <c r="AU26" i="8"/>
  <c r="AT26" i="8"/>
  <c r="I26" i="8"/>
  <c r="BP25" i="8"/>
  <c r="BJ25" i="8"/>
  <c r="AH25" i="8" s="1"/>
  <c r="BF25" i="8"/>
  <c r="BD25" i="8"/>
  <c r="BC25" i="8"/>
  <c r="AW25" i="8"/>
  <c r="AV25" i="8" s="1"/>
  <c r="AP25" i="8"/>
  <c r="AX25" i="8" s="1"/>
  <c r="AO25" i="8"/>
  <c r="BH25" i="8" s="1"/>
  <c r="AD25" i="8" s="1"/>
  <c r="AL25" i="8"/>
  <c r="AK25" i="8"/>
  <c r="AJ25" i="8"/>
  <c r="AB25" i="8"/>
  <c r="I25" i="8"/>
  <c r="BP24" i="8"/>
  <c r="BJ24" i="8"/>
  <c r="AH24" i="8" s="1"/>
  <c r="BF24" i="8"/>
  <c r="BD24" i="8"/>
  <c r="BC24" i="8"/>
  <c r="AW24" i="8"/>
  <c r="AV24" i="8" s="1"/>
  <c r="AP24" i="8"/>
  <c r="AX24" i="8" s="1"/>
  <c r="AO24" i="8"/>
  <c r="BH24" i="8" s="1"/>
  <c r="AD24" i="8" s="1"/>
  <c r="AL24" i="8"/>
  <c r="AK24" i="8"/>
  <c r="AJ24" i="8"/>
  <c r="AS23" i="8" s="1"/>
  <c r="AB24" i="8"/>
  <c r="I24" i="8"/>
  <c r="AU23" i="8"/>
  <c r="AT23" i="8"/>
  <c r="I23" i="8"/>
  <c r="BO22" i="8"/>
  <c r="BJ22" i="8"/>
  <c r="AH22" i="8" s="1"/>
  <c r="BF22" i="8"/>
  <c r="BD22" i="8"/>
  <c r="BC22" i="8"/>
  <c r="AW22" i="8"/>
  <c r="AV22" i="8" s="1"/>
  <c r="AP22" i="8"/>
  <c r="AX22" i="8" s="1"/>
  <c r="AO22" i="8"/>
  <c r="BH22" i="8" s="1"/>
  <c r="AD22" i="8" s="1"/>
  <c r="AL22" i="8"/>
  <c r="AK22" i="8"/>
  <c r="AJ22" i="8"/>
  <c r="AS21" i="8" s="1"/>
  <c r="AB22" i="8"/>
  <c r="I22" i="8"/>
  <c r="AU21" i="8"/>
  <c r="AT21" i="8"/>
  <c r="I21" i="8"/>
  <c r="BN20" i="8"/>
  <c r="BJ20" i="8"/>
  <c r="AH20" i="8" s="1"/>
  <c r="BF20" i="8"/>
  <c r="BD20" i="8"/>
  <c r="BC20" i="8"/>
  <c r="AW20" i="8"/>
  <c r="AV20" i="8" s="1"/>
  <c r="AP20" i="8"/>
  <c r="AX20" i="8" s="1"/>
  <c r="AO20" i="8"/>
  <c r="BH20" i="8" s="1"/>
  <c r="AD20" i="8" s="1"/>
  <c r="AL20" i="8"/>
  <c r="AK20" i="8"/>
  <c r="AJ20" i="8"/>
  <c r="AB20" i="8"/>
  <c r="I20" i="8"/>
  <c r="BN19" i="8"/>
  <c r="BJ19" i="8"/>
  <c r="AH19" i="8" s="1"/>
  <c r="BF19" i="8"/>
  <c r="BD19" i="8"/>
  <c r="BC19" i="8"/>
  <c r="AW19" i="8"/>
  <c r="AV19" i="8" s="1"/>
  <c r="AP19" i="8"/>
  <c r="AX19" i="8" s="1"/>
  <c r="AO19" i="8"/>
  <c r="BH19" i="8" s="1"/>
  <c r="AD19" i="8" s="1"/>
  <c r="AL19" i="8"/>
  <c r="AK19" i="8"/>
  <c r="AJ19" i="8"/>
  <c r="AB19" i="8"/>
  <c r="I19" i="8"/>
  <c r="BN18" i="8"/>
  <c r="BJ18" i="8"/>
  <c r="AH18" i="8" s="1"/>
  <c r="BF18" i="8"/>
  <c r="BD18" i="8"/>
  <c r="BC18" i="8"/>
  <c r="AW18" i="8"/>
  <c r="AV18" i="8" s="1"/>
  <c r="AP18" i="8"/>
  <c r="AX18" i="8" s="1"/>
  <c r="AO18" i="8"/>
  <c r="BH18" i="8" s="1"/>
  <c r="AD18" i="8" s="1"/>
  <c r="AL18" i="8"/>
  <c r="AK18" i="8"/>
  <c r="AJ18" i="8"/>
  <c r="AS17" i="8" s="1"/>
  <c r="AB18" i="8"/>
  <c r="I18" i="8"/>
  <c r="AU17" i="8"/>
  <c r="AT17" i="8"/>
  <c r="I17" i="8"/>
  <c r="BM16" i="8"/>
  <c r="BJ16" i="8"/>
  <c r="AH16" i="8" s="1"/>
  <c r="BF16" i="8"/>
  <c r="BD16" i="8"/>
  <c r="BC16" i="8"/>
  <c r="AW16" i="8"/>
  <c r="AV16" i="8" s="1"/>
  <c r="AP16" i="8"/>
  <c r="AX16" i="8" s="1"/>
  <c r="AO16" i="8"/>
  <c r="BH16" i="8" s="1"/>
  <c r="AD16" i="8" s="1"/>
  <c r="AL16" i="8"/>
  <c r="AK16" i="8"/>
  <c r="AJ16" i="8"/>
  <c r="AB16" i="8"/>
  <c r="I16" i="8"/>
  <c r="BM15" i="8"/>
  <c r="BJ15" i="8"/>
  <c r="AH15" i="8" s="1"/>
  <c r="BF15" i="8"/>
  <c r="BD15" i="8"/>
  <c r="BC15" i="8"/>
  <c r="AW15" i="8"/>
  <c r="AV15" i="8" s="1"/>
  <c r="AP15" i="8"/>
  <c r="AX15" i="8" s="1"/>
  <c r="AO15" i="8"/>
  <c r="BH15" i="8" s="1"/>
  <c r="AD15" i="8" s="1"/>
  <c r="AL15" i="8"/>
  <c r="AK15" i="8"/>
  <c r="AJ15" i="8"/>
  <c r="AS14" i="8" s="1"/>
  <c r="AB15" i="8"/>
  <c r="I15" i="8"/>
  <c r="AU14" i="8"/>
  <c r="AT14" i="8"/>
  <c r="I14" i="8"/>
  <c r="I13" i="8"/>
  <c r="I12" i="8"/>
  <c r="AU1" i="8"/>
  <c r="AT1" i="8"/>
  <c r="AS1" i="8"/>
  <c r="F29" i="7"/>
  <c r="I28" i="7"/>
  <c r="B14" i="5" s="1"/>
  <c r="F28" i="7"/>
  <c r="I24" i="7"/>
  <c r="C22" i="7"/>
  <c r="I10" i="7"/>
  <c r="F10" i="7"/>
  <c r="C10" i="7"/>
  <c r="F8" i="7"/>
  <c r="C8" i="7"/>
  <c r="F6" i="7"/>
  <c r="C6" i="7"/>
  <c r="F4" i="7"/>
  <c r="C4" i="7"/>
  <c r="F2" i="7"/>
  <c r="C2" i="7"/>
  <c r="J207" i="6"/>
  <c r="J206" i="6"/>
  <c r="J205" i="6"/>
  <c r="J204" i="6"/>
  <c r="J203" i="6"/>
  <c r="J202" i="6"/>
  <c r="F201" i="6"/>
  <c r="J201" i="6" s="1"/>
  <c r="J200" i="6"/>
  <c r="J199" i="6"/>
  <c r="J198" i="6"/>
  <c r="H194" i="6"/>
  <c r="J194" i="6" s="1"/>
  <c r="H193" i="6"/>
  <c r="J193" i="6" s="1"/>
  <c r="H192" i="6"/>
  <c r="J192" i="6" s="1"/>
  <c r="H191" i="6"/>
  <c r="J191" i="6" s="1"/>
  <c r="H190" i="6"/>
  <c r="J190" i="6" s="1"/>
  <c r="H189" i="6"/>
  <c r="J189" i="6" s="1"/>
  <c r="J188" i="6"/>
  <c r="H188" i="6"/>
  <c r="J185" i="6"/>
  <c r="J184" i="6"/>
  <c r="J183" i="6"/>
  <c r="J182" i="6"/>
  <c r="J181" i="6"/>
  <c r="H181" i="6"/>
  <c r="J180" i="6"/>
  <c r="H180" i="6"/>
  <c r="J179" i="6"/>
  <c r="H179" i="6"/>
  <c r="J178" i="6"/>
  <c r="H178" i="6"/>
  <c r="J174" i="6"/>
  <c r="J173" i="6"/>
  <c r="H173" i="6"/>
  <c r="J172" i="6"/>
  <c r="H172" i="6"/>
  <c r="J171" i="6"/>
  <c r="H171" i="6"/>
  <c r="J170" i="6"/>
  <c r="H170" i="6"/>
  <c r="J169" i="6"/>
  <c r="J168" i="6"/>
  <c r="J163" i="6"/>
  <c r="J162" i="6"/>
  <c r="J161" i="6"/>
  <c r="J160" i="6"/>
  <c r="H160" i="6"/>
  <c r="J159" i="6"/>
  <c r="H159" i="6"/>
  <c r="J158" i="6"/>
  <c r="H158" i="6"/>
  <c r="J157" i="6"/>
  <c r="H157" i="6"/>
  <c r="J153" i="6"/>
  <c r="J152" i="6"/>
  <c r="H152" i="6"/>
  <c r="J151" i="6"/>
  <c r="H151" i="6"/>
  <c r="J150" i="6"/>
  <c r="H150" i="6"/>
  <c r="J149" i="6"/>
  <c r="H149" i="6"/>
  <c r="J148" i="6"/>
  <c r="J147" i="6"/>
  <c r="J146" i="6"/>
  <c r="J145" i="6"/>
  <c r="J140" i="6"/>
  <c r="J139" i="6"/>
  <c r="J138" i="6"/>
  <c r="J137" i="6"/>
  <c r="H137" i="6"/>
  <c r="J136" i="6"/>
  <c r="H136" i="6"/>
  <c r="J135" i="6"/>
  <c r="H135" i="6"/>
  <c r="J134" i="6"/>
  <c r="H134" i="6"/>
  <c r="J130" i="6"/>
  <c r="J129" i="6"/>
  <c r="H129" i="6"/>
  <c r="J128" i="6"/>
  <c r="H128" i="6"/>
  <c r="J127" i="6"/>
  <c r="H127" i="6"/>
  <c r="J126" i="6"/>
  <c r="H126" i="6"/>
  <c r="J125" i="6"/>
  <c r="J124" i="6"/>
  <c r="J123" i="6"/>
  <c r="J122" i="6"/>
  <c r="J117" i="6"/>
  <c r="J116" i="6"/>
  <c r="J115" i="6"/>
  <c r="J114" i="6"/>
  <c r="H114" i="6"/>
  <c r="J113" i="6"/>
  <c r="H113" i="6"/>
  <c r="J112" i="6"/>
  <c r="H112" i="6"/>
  <c r="J111" i="6"/>
  <c r="H111" i="6"/>
  <c r="J107" i="6"/>
  <c r="J106" i="6"/>
  <c r="H106" i="6"/>
  <c r="J105" i="6"/>
  <c r="H105" i="6"/>
  <c r="J104" i="6"/>
  <c r="H104" i="6"/>
  <c r="J103" i="6"/>
  <c r="H103" i="6"/>
  <c r="J102" i="6"/>
  <c r="J101" i="6"/>
  <c r="J100" i="6"/>
  <c r="J99" i="6"/>
  <c r="J94" i="6"/>
  <c r="J93" i="6"/>
  <c r="J92" i="6"/>
  <c r="J91" i="6"/>
  <c r="H91" i="6"/>
  <c r="J90" i="6"/>
  <c r="H90" i="6"/>
  <c r="J89" i="6"/>
  <c r="H89" i="6"/>
  <c r="J88" i="6"/>
  <c r="H88" i="6"/>
  <c r="J84" i="6"/>
  <c r="J83" i="6"/>
  <c r="H83" i="6"/>
  <c r="J82" i="6"/>
  <c r="H82" i="6"/>
  <c r="J81" i="6"/>
  <c r="H81" i="6"/>
  <c r="J80" i="6"/>
  <c r="H80" i="6"/>
  <c r="J79" i="6"/>
  <c r="J78" i="6"/>
  <c r="J77" i="6"/>
  <c r="J76" i="6"/>
  <c r="J73" i="6"/>
  <c r="J72" i="6"/>
  <c r="J71" i="6"/>
  <c r="J70" i="6"/>
  <c r="J61" i="6"/>
  <c r="J60" i="6"/>
  <c r="H60" i="6"/>
  <c r="J59" i="6"/>
  <c r="H59" i="6"/>
  <c r="J58" i="6"/>
  <c r="H58" i="6"/>
  <c r="J57" i="6"/>
  <c r="H57" i="6"/>
  <c r="J56" i="6"/>
  <c r="J55" i="6"/>
  <c r="J54" i="6"/>
  <c r="J51" i="6"/>
  <c r="J50" i="6"/>
  <c r="J27" i="6"/>
  <c r="J26" i="6"/>
  <c r="J24" i="6"/>
  <c r="J23" i="6"/>
  <c r="J22" i="6"/>
  <c r="J21" i="6"/>
  <c r="J19" i="6"/>
  <c r="J18" i="6"/>
  <c r="J17" i="6"/>
  <c r="J16" i="6"/>
  <c r="J15" i="6"/>
  <c r="J14" i="6"/>
  <c r="J13" i="6"/>
  <c r="J12" i="6"/>
  <c r="J11" i="6"/>
  <c r="J10" i="6"/>
  <c r="H10" i="6"/>
  <c r="J9" i="6"/>
  <c r="F22" i="7" l="1"/>
  <c r="I22" i="7"/>
  <c r="AG40" i="8"/>
  <c r="AC40" i="8"/>
  <c r="AE40" i="8"/>
  <c r="AB60" i="8"/>
  <c r="AD60" i="8"/>
  <c r="AF60" i="8"/>
  <c r="BC79" i="8"/>
  <c r="AB86" i="8"/>
  <c r="AD86" i="8"/>
  <c r="AF86" i="8"/>
  <c r="AG94" i="8"/>
  <c r="AC94" i="8"/>
  <c r="AE94" i="8"/>
  <c r="AF148" i="8"/>
  <c r="AB148" i="8"/>
  <c r="AD148" i="8"/>
  <c r="AG67" i="8"/>
  <c r="AC67" i="8"/>
  <c r="AE67" i="8"/>
  <c r="AG79" i="8"/>
  <c r="AC79" i="8"/>
  <c r="AE79" i="8"/>
  <c r="AG82" i="8"/>
  <c r="AC82" i="8"/>
  <c r="AE82" i="8"/>
  <c r="AU97" i="8"/>
  <c r="AF102" i="8"/>
  <c r="AB102" i="8"/>
  <c r="AD102" i="8"/>
  <c r="AG179" i="8"/>
  <c r="AC179" i="8"/>
  <c r="AE179" i="8"/>
  <c r="AF196" i="8"/>
  <c r="AB196" i="8"/>
  <c r="AD196" i="8"/>
  <c r="AG207" i="8"/>
  <c r="AC207" i="8"/>
  <c r="AE207" i="8"/>
  <c r="AF215" i="8"/>
  <c r="AB215" i="8"/>
  <c r="AD215" i="8"/>
  <c r="AG233" i="8"/>
  <c r="AC233" i="8"/>
  <c r="AE233" i="8"/>
  <c r="AF258" i="8"/>
  <c r="AB258" i="8"/>
  <c r="AD258" i="8"/>
  <c r="AB331" i="8"/>
  <c r="AF331" i="8"/>
  <c r="AD331" i="8"/>
  <c r="AG30" i="8"/>
  <c r="AC30" i="8"/>
  <c r="AE30" i="8"/>
  <c r="AV35" i="8"/>
  <c r="BC35" i="8"/>
  <c r="AF39" i="8"/>
  <c r="AB39" i="8"/>
  <c r="AD39" i="8"/>
  <c r="AB47" i="8"/>
  <c r="AD47" i="8"/>
  <c r="AF47" i="8"/>
  <c r="BC63" i="8"/>
  <c r="AF66" i="8"/>
  <c r="AB66" i="8"/>
  <c r="AD66" i="8"/>
  <c r="AV75" i="8"/>
  <c r="AG89" i="8"/>
  <c r="AC89" i="8"/>
  <c r="AE89" i="8"/>
  <c r="AG115" i="8"/>
  <c r="AC115" i="8"/>
  <c r="AE115" i="8"/>
  <c r="AF132" i="8"/>
  <c r="AB132" i="8"/>
  <c r="AD132" i="8"/>
  <c r="AG171" i="8"/>
  <c r="AC171" i="8"/>
  <c r="AE171" i="8"/>
  <c r="AF174" i="8"/>
  <c r="AB174" i="8"/>
  <c r="AD174" i="8"/>
  <c r="AG212" i="8"/>
  <c r="AC212" i="8"/>
  <c r="AE212" i="8"/>
  <c r="AF244" i="8"/>
  <c r="AB244" i="8"/>
  <c r="AD244" i="8"/>
  <c r="AB367" i="8"/>
  <c r="AF367" i="8"/>
  <c r="AD367" i="8"/>
  <c r="AB73" i="8"/>
  <c r="AD73" i="8"/>
  <c r="AF73" i="8"/>
  <c r="AF82" i="8"/>
  <c r="AB82" i="8"/>
  <c r="AD82" i="8"/>
  <c r="AG185" i="8"/>
  <c r="AC185" i="8"/>
  <c r="AE185" i="8"/>
  <c r="AF188" i="8"/>
  <c r="AB188" i="8"/>
  <c r="AD188" i="8"/>
  <c r="AF228" i="8"/>
  <c r="AB228" i="8"/>
  <c r="AD228" i="8"/>
  <c r="AC44" i="8"/>
  <c r="AE44" i="8"/>
  <c r="AG44" i="8"/>
  <c r="AF49" i="8"/>
  <c r="AB49" i="8"/>
  <c r="AD49" i="8"/>
  <c r="AB34" i="8"/>
  <c r="AF34" i="8"/>
  <c r="AD34" i="8"/>
  <c r="AG50" i="8"/>
  <c r="AC50" i="8"/>
  <c r="AE50" i="8"/>
  <c r="AF56" i="8"/>
  <c r="AD56" i="8"/>
  <c r="AB56" i="8"/>
  <c r="AC57" i="8"/>
  <c r="AE57" i="8"/>
  <c r="AG57" i="8"/>
  <c r="AV61" i="8"/>
  <c r="BC61" i="8"/>
  <c r="AG63" i="8"/>
  <c r="AC63" i="8"/>
  <c r="AE63" i="8"/>
  <c r="AG66" i="8"/>
  <c r="AC66" i="8"/>
  <c r="AE66" i="8"/>
  <c r="AF69" i="8"/>
  <c r="AD69" i="8"/>
  <c r="AB69" i="8"/>
  <c r="AC70" i="8"/>
  <c r="AE70" i="8"/>
  <c r="AG70" i="8"/>
  <c r="AV74" i="8"/>
  <c r="BC74" i="8"/>
  <c r="AF78" i="8"/>
  <c r="AB78" i="8"/>
  <c r="AD78" i="8"/>
  <c r="AG83" i="8"/>
  <c r="AC83" i="8"/>
  <c r="AE83" i="8"/>
  <c r="AF88" i="8"/>
  <c r="AB88" i="8"/>
  <c r="AD88" i="8"/>
  <c r="AG99" i="8"/>
  <c r="AC99" i="8"/>
  <c r="AE99" i="8"/>
  <c r="AG107" i="8"/>
  <c r="AC107" i="8"/>
  <c r="AE107" i="8"/>
  <c r="AF110" i="8"/>
  <c r="AB110" i="8"/>
  <c r="AD110" i="8"/>
  <c r="AF122" i="8"/>
  <c r="AB122" i="8"/>
  <c r="AD122" i="8"/>
  <c r="BC141" i="8"/>
  <c r="AG193" i="8"/>
  <c r="AC193" i="8"/>
  <c r="AE193" i="8"/>
  <c r="AF202" i="8"/>
  <c r="AB202" i="8"/>
  <c r="AD202" i="8"/>
  <c r="AG225" i="8"/>
  <c r="AC225" i="8"/>
  <c r="AE225" i="8"/>
  <c r="AG238" i="8"/>
  <c r="AC238" i="8"/>
  <c r="AE238" i="8"/>
  <c r="AG259" i="8"/>
  <c r="AC259" i="8"/>
  <c r="AE259" i="8"/>
  <c r="AL35" i="8"/>
  <c r="AF35" i="8"/>
  <c r="AB35" i="8"/>
  <c r="BC36" i="8"/>
  <c r="AG36" i="8"/>
  <c r="AC36" i="8"/>
  <c r="AL42" i="8"/>
  <c r="AK45" i="8"/>
  <c r="AK58" i="8"/>
  <c r="AT54" i="8" s="1"/>
  <c r="AL61" i="8"/>
  <c r="AL65" i="8"/>
  <c r="AK71" i="8"/>
  <c r="BC75" i="8"/>
  <c r="AG75" i="8"/>
  <c r="AC75" i="8"/>
  <c r="AL81" i="8"/>
  <c r="AF93" i="8"/>
  <c r="AB93" i="8"/>
  <c r="Z96" i="8"/>
  <c r="AH96" i="8"/>
  <c r="AV98" i="8"/>
  <c r="BC98" i="8"/>
  <c r="Z101" i="8"/>
  <c r="AH101" i="8"/>
  <c r="AG105" i="8"/>
  <c r="AF106" i="8"/>
  <c r="AB106" i="8"/>
  <c r="AG108" i="8"/>
  <c r="AC108" i="8"/>
  <c r="AF111" i="8"/>
  <c r="AB111" i="8"/>
  <c r="Z117" i="8"/>
  <c r="AH117" i="8"/>
  <c r="AV119" i="8"/>
  <c r="BC119" i="8"/>
  <c r="AL123" i="8"/>
  <c r="AK123" i="8"/>
  <c r="AF123" i="8"/>
  <c r="AB123" i="8"/>
  <c r="AV126" i="8"/>
  <c r="BC126" i="8"/>
  <c r="Z131" i="8"/>
  <c r="AH131" i="8"/>
  <c r="AF133" i="8"/>
  <c r="AB133" i="8"/>
  <c r="AG163" i="8"/>
  <c r="AC163" i="8"/>
  <c r="AV171" i="8"/>
  <c r="AV178" i="8"/>
  <c r="BC178" i="8"/>
  <c r="AG181" i="8"/>
  <c r="AC181" i="8"/>
  <c r="AV184" i="8"/>
  <c r="BC184" i="8"/>
  <c r="AV185" i="8"/>
  <c r="Z187" i="8"/>
  <c r="AH187" i="8"/>
  <c r="AL189" i="8"/>
  <c r="AK189" i="8"/>
  <c r="AV192" i="8"/>
  <c r="BC192" i="8"/>
  <c r="Z195" i="8"/>
  <c r="AH195" i="8"/>
  <c r="Z201" i="8"/>
  <c r="AH201" i="8"/>
  <c r="AL203" i="8"/>
  <c r="AK203" i="8"/>
  <c r="AF203" i="8"/>
  <c r="AB203" i="8"/>
  <c r="AV206" i="8"/>
  <c r="BC206" i="8"/>
  <c r="AF211" i="8"/>
  <c r="AB211" i="8"/>
  <c r="AV212" i="8"/>
  <c r="AF219" i="8"/>
  <c r="AB219" i="8"/>
  <c r="AL221" i="8"/>
  <c r="AK221" i="8"/>
  <c r="AF221" i="8"/>
  <c r="AB221" i="8"/>
  <c r="AF224" i="8"/>
  <c r="AB224" i="8"/>
  <c r="AV225" i="8"/>
  <c r="AF232" i="8"/>
  <c r="AB232" i="8"/>
  <c r="AG234" i="8"/>
  <c r="AC234" i="8"/>
  <c r="AF237" i="8"/>
  <c r="AB237" i="8"/>
  <c r="AF247" i="8"/>
  <c r="AK248" i="8"/>
  <c r="AJ248" i="8"/>
  <c r="AG255" i="8"/>
  <c r="AC255" i="8"/>
  <c r="AK262" i="8"/>
  <c r="AL262" i="8"/>
  <c r="AH273" i="8"/>
  <c r="Z273" i="8"/>
  <c r="BH276" i="8"/>
  <c r="AW276" i="8"/>
  <c r="BH277" i="8"/>
  <c r="AW277" i="8"/>
  <c r="BI281" i="8"/>
  <c r="AX281" i="8"/>
  <c r="AV281" i="8" s="1"/>
  <c r="AF281" i="8"/>
  <c r="AB281" i="8"/>
  <c r="AD281" i="8"/>
  <c r="AD286" i="8"/>
  <c r="AF286" i="8"/>
  <c r="BI291" i="8"/>
  <c r="AX291" i="8"/>
  <c r="AV291" i="8" s="1"/>
  <c r="AE293" i="8"/>
  <c r="AC293" i="8"/>
  <c r="AL295" i="8"/>
  <c r="AK295" i="8"/>
  <c r="AJ295" i="8"/>
  <c r="AX308" i="8"/>
  <c r="AV308" i="8" s="1"/>
  <c r="BI308" i="8"/>
  <c r="AV318" i="8"/>
  <c r="BC318" i="8"/>
  <c r="Z331" i="8"/>
  <c r="AH331" i="8"/>
  <c r="AE338" i="8"/>
  <c r="AC338" i="8"/>
  <c r="AG344" i="8"/>
  <c r="AE344" i="8"/>
  <c r="AK347" i="8"/>
  <c r="AT345" i="8" s="1"/>
  <c r="AL347" i="8"/>
  <c r="I345" i="8"/>
  <c r="I309" i="8" s="1"/>
  <c r="AJ347" i="8"/>
  <c r="AV349" i="8"/>
  <c r="BC349" i="8"/>
  <c r="Z356" i="8"/>
  <c r="AH356" i="8"/>
  <c r="AV360" i="8"/>
  <c r="BC360" i="8"/>
  <c r="AW364" i="8"/>
  <c r="BH364" i="8"/>
  <c r="AX378" i="8"/>
  <c r="BI378" i="8"/>
  <c r="AF403" i="8"/>
  <c r="AB403" i="8"/>
  <c r="AD403" i="8"/>
  <c r="AX404" i="8"/>
  <c r="BI404" i="8"/>
  <c r="AF409" i="8"/>
  <c r="AB409" i="8"/>
  <c r="AD409" i="8"/>
  <c r="Z505" i="8"/>
  <c r="AH505" i="8"/>
  <c r="BH506" i="8"/>
  <c r="AW506" i="8"/>
  <c r="AW511" i="8"/>
  <c r="BH511" i="8"/>
  <c r="AE536" i="8"/>
  <c r="AC536" i="8"/>
  <c r="AG536" i="8"/>
  <c r="AD542" i="8"/>
  <c r="AB542" i="8"/>
  <c r="AD563" i="8"/>
  <c r="AB563" i="8"/>
  <c r="BC564" i="8"/>
  <c r="AV564" i="8"/>
  <c r="Z564" i="8"/>
  <c r="AH564" i="8"/>
  <c r="AK30" i="8"/>
  <c r="AT29" i="8" s="1"/>
  <c r="AL38" i="8"/>
  <c r="AC39" i="8"/>
  <c r="AT43" i="8"/>
  <c r="AL44" i="8"/>
  <c r="AF44" i="8"/>
  <c r="AB44" i="8"/>
  <c r="BC46" i="8"/>
  <c r="AV52" i="8"/>
  <c r="AH56" i="8"/>
  <c r="AL57" i="8"/>
  <c r="AF57" i="8"/>
  <c r="AB57" i="8"/>
  <c r="AG59" i="8"/>
  <c r="AV64" i="8"/>
  <c r="AB65" i="8"/>
  <c r="AH69" i="8"/>
  <c r="AL70" i="8"/>
  <c r="AF71" i="8"/>
  <c r="BC71" i="8"/>
  <c r="AG71" i="8"/>
  <c r="AC71" i="8"/>
  <c r="BC72" i="8"/>
  <c r="AL77" i="8"/>
  <c r="AV80" i="8"/>
  <c r="AC88" i="8"/>
  <c r="AF100" i="8"/>
  <c r="AF101" i="8"/>
  <c r="AV104" i="8"/>
  <c r="AV112" i="8"/>
  <c r="AF117" i="8"/>
  <c r="AK122" i="8"/>
  <c r="AJ122" i="8"/>
  <c r="AJ123" i="8"/>
  <c r="AG123" i="8"/>
  <c r="AC123" i="8"/>
  <c r="AV124" i="8"/>
  <c r="AV129" i="8"/>
  <c r="AG133" i="8"/>
  <c r="AC133" i="8"/>
  <c r="Z137" i="8"/>
  <c r="AH137" i="8"/>
  <c r="AV139" i="8"/>
  <c r="BC139" i="8"/>
  <c r="AF139" i="8"/>
  <c r="AB139" i="8"/>
  <c r="AL141" i="8"/>
  <c r="AK141" i="8"/>
  <c r="AF141" i="8"/>
  <c r="AB141" i="8"/>
  <c r="AF144" i="8"/>
  <c r="AB144" i="8"/>
  <c r="AG146" i="8"/>
  <c r="AC146" i="8"/>
  <c r="Z147" i="8"/>
  <c r="AH147" i="8"/>
  <c r="AF149" i="8"/>
  <c r="AB149" i="8"/>
  <c r="AV152" i="8"/>
  <c r="BC152" i="8"/>
  <c r="Z155" i="8"/>
  <c r="AH155" i="8"/>
  <c r="AF157" i="8"/>
  <c r="AB157" i="8"/>
  <c r="AS160" i="8"/>
  <c r="AG161" i="8"/>
  <c r="AV162" i="8"/>
  <c r="BC162" i="8"/>
  <c r="AF162" i="8"/>
  <c r="AB162" i="8"/>
  <c r="AG164" i="8"/>
  <c r="AC164" i="8"/>
  <c r="Z167" i="8"/>
  <c r="AG168" i="8"/>
  <c r="AC168" i="8"/>
  <c r="AV176" i="8"/>
  <c r="AK188" i="8"/>
  <c r="AJ188" i="8"/>
  <c r="AG189" i="8"/>
  <c r="AC189" i="8"/>
  <c r="AV190" i="8"/>
  <c r="AF195" i="8"/>
  <c r="AK196" i="8"/>
  <c r="AJ196" i="8"/>
  <c r="AV199" i="8"/>
  <c r="AF201" i="8"/>
  <c r="AK202" i="8"/>
  <c r="AJ202" i="8"/>
  <c r="I200" i="8"/>
  <c r="AV204" i="8"/>
  <c r="AV209" i="8"/>
  <c r="AG216" i="8"/>
  <c r="AC216" i="8"/>
  <c r="AJ221" i="8"/>
  <c r="AV222" i="8"/>
  <c r="AF227" i="8"/>
  <c r="AK228" i="8"/>
  <c r="AJ228" i="8"/>
  <c r="AG229" i="8"/>
  <c r="AC229" i="8"/>
  <c r="AV241" i="8"/>
  <c r="AF245" i="8"/>
  <c r="AB245" i="8"/>
  <c r="AG247" i="8"/>
  <c r="AV248" i="8"/>
  <c r="BC248" i="8"/>
  <c r="AV249" i="8"/>
  <c r="AG253" i="8"/>
  <c r="AV254" i="8"/>
  <c r="BC254" i="8"/>
  <c r="AV255" i="8"/>
  <c r="Z257" i="8"/>
  <c r="AH257" i="8"/>
  <c r="AL259" i="8"/>
  <c r="AK259" i="8"/>
  <c r="AX259" i="8"/>
  <c r="BC259" i="8" s="1"/>
  <c r="Z260" i="8"/>
  <c r="AJ262" i="8"/>
  <c r="BI273" i="8"/>
  <c r="AX273" i="8"/>
  <c r="AE274" i="8"/>
  <c r="AG274" i="8"/>
  <c r="AJ280" i="8"/>
  <c r="AK280" i="8"/>
  <c r="AL280" i="8"/>
  <c r="BC281" i="8"/>
  <c r="AJ289" i="8"/>
  <c r="I287" i="8"/>
  <c r="AK289" i="8"/>
  <c r="BC289" i="8"/>
  <c r="AV289" i="8"/>
  <c r="AK294" i="8"/>
  <c r="AL294" i="8"/>
  <c r="AJ294" i="8"/>
  <c r="AL299" i="8"/>
  <c r="AJ299" i="8"/>
  <c r="AK299" i="8"/>
  <c r="BI302" i="8"/>
  <c r="AX302" i="8"/>
  <c r="AE314" i="8"/>
  <c r="AC314" i="8"/>
  <c r="AV324" i="8"/>
  <c r="BC324" i="8"/>
  <c r="AH326" i="8"/>
  <c r="Z326" i="8"/>
  <c r="BC327" i="8"/>
  <c r="AV327" i="8"/>
  <c r="AL333" i="8"/>
  <c r="AK333" i="8"/>
  <c r="AJ333" i="8"/>
  <c r="BC334" i="8"/>
  <c r="AV334" i="8"/>
  <c r="AX338" i="8"/>
  <c r="BC338" i="8" s="1"/>
  <c r="AB343" i="8"/>
  <c r="AC344" i="8"/>
  <c r="AG352" i="8"/>
  <c r="AC352" i="8"/>
  <c r="AE352" i="8"/>
  <c r="AH366" i="8"/>
  <c r="Z366" i="8"/>
  <c r="AV372" i="8"/>
  <c r="BC372" i="8"/>
  <c r="AF372" i="8"/>
  <c r="AB372" i="8"/>
  <c r="AH375" i="8"/>
  <c r="Z375" i="8"/>
  <c r="AE387" i="8"/>
  <c r="AG387" i="8"/>
  <c r="AC387" i="8"/>
  <c r="AK388" i="8"/>
  <c r="AJ388" i="8"/>
  <c r="AE397" i="8"/>
  <c r="AC397" i="8"/>
  <c r="AG399" i="8"/>
  <c r="AC399" i="8"/>
  <c r="AE399" i="8"/>
  <c r="I29" i="8"/>
  <c r="AF30" i="8"/>
  <c r="AG32" i="8"/>
  <c r="AL34" i="8"/>
  <c r="AW34" i="8"/>
  <c r="AJ36" i="8"/>
  <c r="AG38" i="8"/>
  <c r="AJ39" i="8"/>
  <c r="AW39" i="8"/>
  <c r="AK40" i="8"/>
  <c r="AX40" i="8"/>
  <c r="AV40" i="8" s="1"/>
  <c r="BH40" i="8"/>
  <c r="Z41" i="8"/>
  <c r="AF41" i="8"/>
  <c r="BI41" i="8"/>
  <c r="AH42" i="8"/>
  <c r="I43" i="8"/>
  <c r="BC44" i="8"/>
  <c r="AB45" i="8"/>
  <c r="AC46" i="8"/>
  <c r="AL47" i="8"/>
  <c r="AW47" i="8"/>
  <c r="AJ49" i="8"/>
  <c r="AS48" i="8" s="1"/>
  <c r="AW49" i="8"/>
  <c r="AK50" i="8"/>
  <c r="AT48" i="8" s="1"/>
  <c r="AX50" i="8"/>
  <c r="AV50" i="8" s="1"/>
  <c r="BH50" i="8"/>
  <c r="Z52" i="8"/>
  <c r="AF52" i="8"/>
  <c r="BI52" i="8"/>
  <c r="AG55" i="8"/>
  <c r="BC57" i="8"/>
  <c r="AB58" i="8"/>
  <c r="AC59" i="8"/>
  <c r="AL60" i="8"/>
  <c r="AW60" i="8"/>
  <c r="AK63" i="8"/>
  <c r="AT62" i="8" s="1"/>
  <c r="AX63" i="8"/>
  <c r="AV63" i="8" s="1"/>
  <c r="BH63" i="8"/>
  <c r="Z64" i="8"/>
  <c r="AF64" i="8"/>
  <c r="BI64" i="8"/>
  <c r="AH65" i="8"/>
  <c r="AL66" i="8"/>
  <c r="AU62" i="8" s="1"/>
  <c r="AX66" i="8"/>
  <c r="AV66" i="8" s="1"/>
  <c r="AF67" i="8"/>
  <c r="AG68" i="8"/>
  <c r="AK69" i="8"/>
  <c r="BC70" i="8"/>
  <c r="AB71" i="8"/>
  <c r="AC72" i="8"/>
  <c r="AL73" i="8"/>
  <c r="AW73" i="8"/>
  <c r="AJ75" i="8"/>
  <c r="AG77" i="8"/>
  <c r="AJ78" i="8"/>
  <c r="AW78" i="8"/>
  <c r="AK79" i="8"/>
  <c r="AX79" i="8"/>
  <c r="AV79" i="8" s="1"/>
  <c r="BH79" i="8"/>
  <c r="Z80" i="8"/>
  <c r="AF80" i="8"/>
  <c r="BI80" i="8"/>
  <c r="AH81" i="8"/>
  <c r="AL82" i="8"/>
  <c r="AX82" i="8"/>
  <c r="AF83" i="8"/>
  <c r="AG84" i="8"/>
  <c r="AL86" i="8"/>
  <c r="AU85" i="8" s="1"/>
  <c r="AW86" i="8"/>
  <c r="AJ88" i="8"/>
  <c r="AS87" i="8" s="1"/>
  <c r="AW88" i="8"/>
  <c r="AL89" i="8"/>
  <c r="AK89" i="8"/>
  <c r="AX89" i="8"/>
  <c r="BH89" i="8"/>
  <c r="BI91" i="8"/>
  <c r="AC92" i="8"/>
  <c r="Z92" i="8"/>
  <c r="AH92" i="8"/>
  <c r="AD93" i="8"/>
  <c r="AL94" i="8"/>
  <c r="AU90" i="8" s="1"/>
  <c r="AK94" i="8"/>
  <c r="AX94" i="8"/>
  <c r="AV94" i="8" s="1"/>
  <c r="BH94" i="8"/>
  <c r="Z95" i="8"/>
  <c r="AL99" i="8"/>
  <c r="AK99" i="8"/>
  <c r="AX99" i="8"/>
  <c r="AV99" i="8" s="1"/>
  <c r="BH99" i="8"/>
  <c r="Z100" i="8"/>
  <c r="AW102" i="8"/>
  <c r="AV103" i="8"/>
  <c r="BI104" i="8"/>
  <c r="AC105" i="8"/>
  <c r="Z105" i="8"/>
  <c r="AH105" i="8"/>
  <c r="AD106" i="8"/>
  <c r="AL107" i="8"/>
  <c r="AK107" i="8"/>
  <c r="AX107" i="8"/>
  <c r="BH107" i="8"/>
  <c r="Z108" i="8"/>
  <c r="AW110" i="8"/>
  <c r="AD111" i="8"/>
  <c r="AV111" i="8"/>
  <c r="BI112" i="8"/>
  <c r="AC113" i="8"/>
  <c r="Z113" i="8"/>
  <c r="AH113" i="8"/>
  <c r="AL115" i="8"/>
  <c r="AK115" i="8"/>
  <c r="AX115" i="8"/>
  <c r="BH115" i="8"/>
  <c r="Z116" i="8"/>
  <c r="AW122" i="8"/>
  <c r="AD123" i="8"/>
  <c r="AV123" i="8"/>
  <c r="BI124" i="8"/>
  <c r="AC125" i="8"/>
  <c r="Z125" i="8"/>
  <c r="AH125" i="8"/>
  <c r="AV128" i="8"/>
  <c r="BI129" i="8"/>
  <c r="AW132" i="8"/>
  <c r="AD133" i="8"/>
  <c r="AV133" i="8"/>
  <c r="BI135" i="8"/>
  <c r="I138" i="8"/>
  <c r="AC139" i="8"/>
  <c r="AJ141" i="8"/>
  <c r="BI141" i="8"/>
  <c r="AB142" i="8"/>
  <c r="AB143" i="8"/>
  <c r="AV143" i="8"/>
  <c r="AC144" i="8"/>
  <c r="AK148" i="8"/>
  <c r="AJ148" i="8"/>
  <c r="BI149" i="8"/>
  <c r="AB150" i="8"/>
  <c r="AB151" i="8"/>
  <c r="AV151" i="8"/>
  <c r="AC152" i="8"/>
  <c r="I156" i="8"/>
  <c r="AC157" i="8"/>
  <c r="AB161" i="8"/>
  <c r="AV161" i="8"/>
  <c r="AC162" i="8"/>
  <c r="AE163" i="8"/>
  <c r="AB167" i="8"/>
  <c r="AL171" i="8"/>
  <c r="AK171" i="8"/>
  <c r="AX171" i="8"/>
  <c r="BH171" i="8"/>
  <c r="Z172" i="8"/>
  <c r="AW174" i="8"/>
  <c r="AV175" i="8"/>
  <c r="BI176" i="8"/>
  <c r="AC177" i="8"/>
  <c r="Z177" i="8"/>
  <c r="AH177" i="8"/>
  <c r="AL179" i="8"/>
  <c r="AK179" i="8"/>
  <c r="AX179" i="8"/>
  <c r="BH179" i="8"/>
  <c r="Z181" i="8"/>
  <c r="AC183" i="8"/>
  <c r="Z183" i="8"/>
  <c r="AH183" i="8"/>
  <c r="AL185" i="8"/>
  <c r="AU182" i="8" s="1"/>
  <c r="AK185" i="8"/>
  <c r="AX185" i="8"/>
  <c r="BH185" i="8"/>
  <c r="Z186" i="8"/>
  <c r="AW188" i="8"/>
  <c r="AV189" i="8"/>
  <c r="BI190" i="8"/>
  <c r="AC191" i="8"/>
  <c r="Z191" i="8"/>
  <c r="AH191" i="8"/>
  <c r="AL193" i="8"/>
  <c r="AK193" i="8"/>
  <c r="AX193" i="8"/>
  <c r="AV193" i="8" s="1"/>
  <c r="BH193" i="8"/>
  <c r="Z194" i="8"/>
  <c r="AW196" i="8"/>
  <c r="AV197" i="8"/>
  <c r="BI199" i="8"/>
  <c r="AW202" i="8"/>
  <c r="AD203" i="8"/>
  <c r="AV203" i="8"/>
  <c r="BI204" i="8"/>
  <c r="AC205" i="8"/>
  <c r="Z205" i="8"/>
  <c r="AH205" i="8"/>
  <c r="AL207" i="8"/>
  <c r="AK207" i="8"/>
  <c r="AX207" i="8"/>
  <c r="BC207" i="8" s="1"/>
  <c r="BH207" i="8"/>
  <c r="BI209" i="8"/>
  <c r="AC210" i="8"/>
  <c r="Z210" i="8"/>
  <c r="AH210" i="8"/>
  <c r="AD211" i="8"/>
  <c r="AL212" i="8"/>
  <c r="AU208" i="8" s="1"/>
  <c r="AK212" i="8"/>
  <c r="AX212" i="8"/>
  <c r="BH212" i="8"/>
  <c r="Z213" i="8"/>
  <c r="AW215" i="8"/>
  <c r="AV216" i="8"/>
  <c r="BI217" i="8"/>
  <c r="AC218" i="8"/>
  <c r="Z218" i="8"/>
  <c r="AH218" i="8"/>
  <c r="AD219" i="8"/>
  <c r="I220" i="8"/>
  <c r="AD221" i="8"/>
  <c r="AV221" i="8"/>
  <c r="BI222" i="8"/>
  <c r="AC223" i="8"/>
  <c r="Z223" i="8"/>
  <c r="AH223" i="8"/>
  <c r="AD224" i="8"/>
  <c r="AL225" i="8"/>
  <c r="AK225" i="8"/>
  <c r="AX225" i="8"/>
  <c r="BH225" i="8"/>
  <c r="Z226" i="8"/>
  <c r="AW228" i="8"/>
  <c r="AV229" i="8"/>
  <c r="BI230" i="8"/>
  <c r="AC231" i="8"/>
  <c r="Z231" i="8"/>
  <c r="AH231" i="8"/>
  <c r="AD232" i="8"/>
  <c r="AL233" i="8"/>
  <c r="AK233" i="8"/>
  <c r="AX233" i="8"/>
  <c r="BH233" i="8"/>
  <c r="Z234" i="8"/>
  <c r="AD237" i="8"/>
  <c r="AL238" i="8"/>
  <c r="AU236" i="8" s="1"/>
  <c r="AK238" i="8"/>
  <c r="AX238" i="8"/>
  <c r="AV238" i="8" s="1"/>
  <c r="BH238" i="8"/>
  <c r="AK244" i="8"/>
  <c r="AJ244" i="8"/>
  <c r="AS240" i="8" s="1"/>
  <c r="BI245" i="8"/>
  <c r="AB246" i="8"/>
  <c r="AB247" i="8"/>
  <c r="AC248" i="8"/>
  <c r="AL248" i="8"/>
  <c r="AB253" i="8"/>
  <c r="AC254" i="8"/>
  <c r="AE255" i="8"/>
  <c r="AK258" i="8"/>
  <c r="AJ258" i="8"/>
  <c r="AJ259" i="8"/>
  <c r="AB260" i="8"/>
  <c r="AB261" i="8"/>
  <c r="AJ263" i="8"/>
  <c r="AB263" i="8"/>
  <c r="AF263" i="8"/>
  <c r="AE266" i="8"/>
  <c r="AG266" i="8"/>
  <c r="BH268" i="8"/>
  <c r="AW268" i="8"/>
  <c r="BH271" i="8"/>
  <c r="AW271" i="8"/>
  <c r="AV272" i="8"/>
  <c r="BC272" i="8"/>
  <c r="AC274" i="8"/>
  <c r="BC274" i="8"/>
  <c r="AH274" i="8"/>
  <c r="Z274" i="8"/>
  <c r="BI278" i="8"/>
  <c r="AX278" i="8"/>
  <c r="AV278" i="8" s="1"/>
  <c r="AF278" i="8"/>
  <c r="AD278" i="8"/>
  <c r="AE280" i="8"/>
  <c r="AC280" i="8"/>
  <c r="AK285" i="8"/>
  <c r="AJ285" i="8"/>
  <c r="BH285" i="8"/>
  <c r="AD288" i="8"/>
  <c r="AF288" i="8"/>
  <c r="AB288" i="8"/>
  <c r="AL289" i="8"/>
  <c r="Z289" i="8"/>
  <c r="AH289" i="8"/>
  <c r="BI294" i="8"/>
  <c r="AX294" i="8"/>
  <c r="AG295" i="8"/>
  <c r="AC295" i="8"/>
  <c r="AE295" i="8"/>
  <c r="AE297" i="8"/>
  <c r="AC297" i="8"/>
  <c r="AV298" i="8"/>
  <c r="BC298" i="8"/>
  <c r="AF298" i="8"/>
  <c r="AB298" i="8"/>
  <c r="AG299" i="8"/>
  <c r="AC299" i="8"/>
  <c r="AE299" i="8"/>
  <c r="AD299" i="8"/>
  <c r="AB299" i="8"/>
  <c r="AJ301" i="8"/>
  <c r="AL301" i="8"/>
  <c r="AK301" i="8"/>
  <c r="BI305" i="8"/>
  <c r="AD311" i="8"/>
  <c r="AF311" i="8"/>
  <c r="AJ313" i="8"/>
  <c r="AL313" i="8"/>
  <c r="AK313" i="8"/>
  <c r="AT310" i="8" s="1"/>
  <c r="AG314" i="8"/>
  <c r="AX314" i="8"/>
  <c r="BC314" i="8" s="1"/>
  <c r="AX316" i="8"/>
  <c r="BI316" i="8"/>
  <c r="AB319" i="8"/>
  <c r="Z319" i="8"/>
  <c r="AH319" i="8"/>
  <c r="AE321" i="8"/>
  <c r="AE323" i="8"/>
  <c r="AC323" i="8"/>
  <c r="AH330" i="8"/>
  <c r="Z330" i="8"/>
  <c r="BI333" i="8"/>
  <c r="AX333" i="8"/>
  <c r="AV333" i="8" s="1"/>
  <c r="BI342" i="8"/>
  <c r="AD343" i="8"/>
  <c r="BH346" i="8"/>
  <c r="AW346" i="8"/>
  <c r="AC347" i="8"/>
  <c r="AE347" i="8"/>
  <c r="AH348" i="8"/>
  <c r="Z348" i="8"/>
  <c r="AB350" i="8"/>
  <c r="AF350" i="8"/>
  <c r="BC356" i="8"/>
  <c r="AD358" i="8"/>
  <c r="AF358" i="8"/>
  <c r="AW361" i="8"/>
  <c r="BH361" i="8"/>
  <c r="AH361" i="8"/>
  <c r="Z361" i="8"/>
  <c r="AD363" i="8"/>
  <c r="AJ367" i="8"/>
  <c r="AK367" i="8"/>
  <c r="AW367" i="8"/>
  <c r="AB369" i="8"/>
  <c r="AF369" i="8"/>
  <c r="AC370" i="8"/>
  <c r="AG370" i="8"/>
  <c r="AE370" i="8"/>
  <c r="BC382" i="8"/>
  <c r="AV382" i="8"/>
  <c r="AW385" i="8"/>
  <c r="BH385" i="8"/>
  <c r="AH386" i="8"/>
  <c r="Z386" i="8"/>
  <c r="BC394" i="8"/>
  <c r="AX396" i="8"/>
  <c r="BI396" i="8"/>
  <c r="AH396" i="8"/>
  <c r="Z396" i="8"/>
  <c r="AV398" i="8"/>
  <c r="BC398" i="8"/>
  <c r="AF398" i="8"/>
  <c r="AB398" i="8"/>
  <c r="AD398" i="8"/>
  <c r="AX420" i="8"/>
  <c r="BI420" i="8"/>
  <c r="AW423" i="8"/>
  <c r="BH423" i="8"/>
  <c r="AG424" i="8"/>
  <c r="AC424" i="8"/>
  <c r="AE424" i="8"/>
  <c r="AD425" i="8"/>
  <c r="AB425" i="8"/>
  <c r="AD429" i="8"/>
  <c r="AB429" i="8"/>
  <c r="BC430" i="8"/>
  <c r="AV430" i="8"/>
  <c r="Z430" i="8"/>
  <c r="AH430" i="8"/>
  <c r="AL432" i="8"/>
  <c r="AK432" i="8"/>
  <c r="AK439" i="8"/>
  <c r="AJ439" i="8"/>
  <c r="AL439" i="8"/>
  <c r="AL445" i="8"/>
  <c r="AK445" i="8"/>
  <c r="AW452" i="8"/>
  <c r="BH452" i="8"/>
  <c r="AF456" i="8"/>
  <c r="AB456" i="8"/>
  <c r="AD456" i="8"/>
  <c r="AD457" i="8"/>
  <c r="AB457" i="8"/>
  <c r="AD458" i="8"/>
  <c r="AB458" i="8"/>
  <c r="AK459" i="8"/>
  <c r="AJ459" i="8"/>
  <c r="AL459" i="8"/>
  <c r="AD468" i="8"/>
  <c r="AB468" i="8"/>
  <c r="AK469" i="8"/>
  <c r="AJ469" i="8"/>
  <c r="AL469" i="8"/>
  <c r="AE469" i="8"/>
  <c r="AC469" i="8"/>
  <c r="AG469" i="8"/>
  <c r="AL474" i="8"/>
  <c r="AK474" i="8"/>
  <c r="AJ474" i="8"/>
  <c r="BI474" i="8"/>
  <c r="AX474" i="8"/>
  <c r="BC474" i="8" s="1"/>
  <c r="AL486" i="8"/>
  <c r="AK486" i="8"/>
  <c r="AJ486" i="8"/>
  <c r="I485" i="8"/>
  <c r="BC492" i="8"/>
  <c r="AV492" i="8"/>
  <c r="Z492" i="8"/>
  <c r="AH492" i="8"/>
  <c r="BH493" i="8"/>
  <c r="AW493" i="8"/>
  <c r="AE502" i="8"/>
  <c r="AC502" i="8"/>
  <c r="AG502" i="8"/>
  <c r="AF61" i="8"/>
  <c r="AB61" i="8"/>
  <c r="AL74" i="8"/>
  <c r="AF74" i="8"/>
  <c r="AB74" i="8"/>
  <c r="AV89" i="8"/>
  <c r="AV93" i="8"/>
  <c r="BC93" i="8"/>
  <c r="AG95" i="8"/>
  <c r="AC95" i="8"/>
  <c r="AF98" i="8"/>
  <c r="AB98" i="8"/>
  <c r="AG100" i="8"/>
  <c r="AC100" i="8"/>
  <c r="AL103" i="8"/>
  <c r="AK103" i="8"/>
  <c r="AF103" i="8"/>
  <c r="AB103" i="8"/>
  <c r="AV106" i="8"/>
  <c r="BC106" i="8"/>
  <c r="AV107" i="8"/>
  <c r="Z109" i="8"/>
  <c r="AH109" i="8"/>
  <c r="AL111" i="8"/>
  <c r="AK111" i="8"/>
  <c r="AV114" i="8"/>
  <c r="BC114" i="8"/>
  <c r="AF114" i="8"/>
  <c r="AB114" i="8"/>
  <c r="AV115" i="8"/>
  <c r="AG116" i="8"/>
  <c r="AC116" i="8"/>
  <c r="AF119" i="8"/>
  <c r="AB119" i="8"/>
  <c r="AF126" i="8"/>
  <c r="AB126" i="8"/>
  <c r="AL128" i="8"/>
  <c r="AU127" i="8" s="1"/>
  <c r="AK128" i="8"/>
  <c r="AT127" i="8" s="1"/>
  <c r="AF128" i="8"/>
  <c r="AB128" i="8"/>
  <c r="AL133" i="8"/>
  <c r="AK133" i="8"/>
  <c r="AK139" i="8"/>
  <c r="AT138" i="8" s="1"/>
  <c r="AJ139" i="8"/>
  <c r="AS138" i="8" s="1"/>
  <c r="AK144" i="8"/>
  <c r="AJ144" i="8"/>
  <c r="AG144" i="8"/>
  <c r="AG145" i="8"/>
  <c r="AC145" i="8"/>
  <c r="AK152" i="8"/>
  <c r="AJ152" i="8"/>
  <c r="AG152" i="8"/>
  <c r="AG153" i="8"/>
  <c r="AC153" i="8"/>
  <c r="AK157" i="8"/>
  <c r="AJ157" i="8"/>
  <c r="AS156" i="8" s="1"/>
  <c r="AG158" i="8"/>
  <c r="AC158" i="8"/>
  <c r="AK162" i="8"/>
  <c r="AJ162" i="8"/>
  <c r="I160" i="8"/>
  <c r="AG162" i="8"/>
  <c r="AG172" i="8"/>
  <c r="AC172" i="8"/>
  <c r="Z173" i="8"/>
  <c r="AH173" i="8"/>
  <c r="AL175" i="8"/>
  <c r="AK175" i="8"/>
  <c r="AF175" i="8"/>
  <c r="AB175" i="8"/>
  <c r="AF178" i="8"/>
  <c r="AB178" i="8"/>
  <c r="AV179" i="8"/>
  <c r="AG183" i="8"/>
  <c r="AF184" i="8"/>
  <c r="AB184" i="8"/>
  <c r="AG186" i="8"/>
  <c r="AC186" i="8"/>
  <c r="AF189" i="8"/>
  <c r="AB189" i="8"/>
  <c r="AF192" i="8"/>
  <c r="AB192" i="8"/>
  <c r="AG194" i="8"/>
  <c r="AC194" i="8"/>
  <c r="AL197" i="8"/>
  <c r="AK197" i="8"/>
  <c r="AF197" i="8"/>
  <c r="AB197" i="8"/>
  <c r="AF206" i="8"/>
  <c r="AB206" i="8"/>
  <c r="AV211" i="8"/>
  <c r="BC211" i="8"/>
  <c r="AG213" i="8"/>
  <c r="AC213" i="8"/>
  <c r="Z214" i="8"/>
  <c r="AH214" i="8"/>
  <c r="AL216" i="8"/>
  <c r="AK216" i="8"/>
  <c r="AF216" i="8"/>
  <c r="AB216" i="8"/>
  <c r="AV219" i="8"/>
  <c r="BC219" i="8"/>
  <c r="AV224" i="8"/>
  <c r="BC224" i="8"/>
  <c r="AG226" i="8"/>
  <c r="AC226" i="8"/>
  <c r="Z227" i="8"/>
  <c r="AH227" i="8"/>
  <c r="AL229" i="8"/>
  <c r="AK229" i="8"/>
  <c r="AF229" i="8"/>
  <c r="AB229" i="8"/>
  <c r="AG231" i="8"/>
  <c r="AV232" i="8"/>
  <c r="BC232" i="8"/>
  <c r="AV233" i="8"/>
  <c r="Z235" i="8"/>
  <c r="AH235" i="8"/>
  <c r="AV237" i="8"/>
  <c r="BC237" i="8"/>
  <c r="AG241" i="8"/>
  <c r="AC241" i="8"/>
  <c r="AG249" i="8"/>
  <c r="AC249" i="8"/>
  <c r="AK254" i="8"/>
  <c r="AT252" i="8" s="1"/>
  <c r="AJ254" i="8"/>
  <c r="AS252" i="8" s="1"/>
  <c r="I252" i="8"/>
  <c r="AW273" i="8"/>
  <c r="BH273" i="8"/>
  <c r="AX279" i="8"/>
  <c r="AV279" i="8" s="1"/>
  <c r="BI279" i="8"/>
  <c r="AH288" i="8"/>
  <c r="Z288" i="8"/>
  <c r="AW295" i="8"/>
  <c r="BH295" i="8"/>
  <c r="AW302" i="8"/>
  <c r="BH302" i="8"/>
  <c r="AD312" i="8"/>
  <c r="AF312" i="8"/>
  <c r="AE313" i="8"/>
  <c r="AG313" i="8"/>
  <c r="AK314" i="8"/>
  <c r="AJ314" i="8"/>
  <c r="AL314" i="8"/>
  <c r="AL325" i="8"/>
  <c r="AJ325" i="8"/>
  <c r="AK325" i="8"/>
  <c r="I322" i="8"/>
  <c r="BI325" i="8"/>
  <c r="AX325" i="8"/>
  <c r="AE326" i="8"/>
  <c r="AG326" i="8"/>
  <c r="AW329" i="8"/>
  <c r="BH329" i="8"/>
  <c r="AD330" i="8"/>
  <c r="AF330" i="8"/>
  <c r="AB330" i="8"/>
  <c r="AF338" i="8"/>
  <c r="AB338" i="8"/>
  <c r="AD338" i="8"/>
  <c r="BI339" i="8"/>
  <c r="BH347" i="8"/>
  <c r="AW347" i="8"/>
  <c r="AW348" i="8"/>
  <c r="BH348" i="8"/>
  <c r="AG351" i="8"/>
  <c r="AE351" i="8"/>
  <c r="BH359" i="8"/>
  <c r="AW359" i="8"/>
  <c r="AH362" i="8"/>
  <c r="Z362" i="8"/>
  <c r="BC363" i="8"/>
  <c r="AV363" i="8"/>
  <c r="AH365" i="8"/>
  <c r="Z365" i="8"/>
  <c r="AE383" i="8"/>
  <c r="AC383" i="8"/>
  <c r="AC388" i="8"/>
  <c r="AG388" i="8"/>
  <c r="AE388" i="8"/>
  <c r="AG403" i="8"/>
  <c r="AC403" i="8"/>
  <c r="BH408" i="8"/>
  <c r="AW408" i="8"/>
  <c r="AE411" i="8"/>
  <c r="AC411" i="8"/>
  <c r="BC505" i="8"/>
  <c r="AV505" i="8"/>
  <c r="AD524" i="8"/>
  <c r="AF524" i="8"/>
  <c r="AB524" i="8"/>
  <c r="AG537" i="8"/>
  <c r="AC537" i="8"/>
  <c r="AE537" i="8"/>
  <c r="BC543" i="8"/>
  <c r="AV543" i="8"/>
  <c r="Z543" i="8"/>
  <c r="AH543" i="8"/>
  <c r="BH580" i="8"/>
  <c r="AW580" i="8"/>
  <c r="AV41" i="8"/>
  <c r="AB42" i="8"/>
  <c r="AF45" i="8"/>
  <c r="BC45" i="8"/>
  <c r="AG45" i="8"/>
  <c r="AC45" i="8"/>
  <c r="AG46" i="8"/>
  <c r="AC49" i="8"/>
  <c r="AF58" i="8"/>
  <c r="BC58" i="8"/>
  <c r="AG58" i="8"/>
  <c r="AC58" i="8"/>
  <c r="BC59" i="8"/>
  <c r="AK67" i="8"/>
  <c r="AF70" i="8"/>
  <c r="AB70" i="8"/>
  <c r="AG72" i="8"/>
  <c r="AC78" i="8"/>
  <c r="AB81" i="8"/>
  <c r="AV82" i="8"/>
  <c r="AK83" i="8"/>
  <c r="AV91" i="8"/>
  <c r="I97" i="8"/>
  <c r="AK102" i="8"/>
  <c r="AJ102" i="8"/>
  <c r="AJ103" i="8"/>
  <c r="AG103" i="8"/>
  <c r="AC103" i="8"/>
  <c r="AK110" i="8"/>
  <c r="AJ110" i="8"/>
  <c r="AJ111" i="8"/>
  <c r="AG111" i="8"/>
  <c r="AC111" i="8"/>
  <c r="AF116" i="8"/>
  <c r="AJ128" i="8"/>
  <c r="AS127" i="8" s="1"/>
  <c r="AG128" i="8"/>
  <c r="AC128" i="8"/>
  <c r="AK132" i="8"/>
  <c r="AJ132" i="8"/>
  <c r="AS130" i="8" s="1"/>
  <c r="I130" i="8"/>
  <c r="AV135" i="8"/>
  <c r="Z142" i="8"/>
  <c r="AG143" i="8"/>
  <c r="AV144" i="8"/>
  <c r="BC144" i="8"/>
  <c r="AL149" i="8"/>
  <c r="AK149" i="8"/>
  <c r="Z150" i="8"/>
  <c r="AG151" i="8"/>
  <c r="AF152" i="8"/>
  <c r="AB152" i="8"/>
  <c r="AG154" i="8"/>
  <c r="AC154" i="8"/>
  <c r="AV157" i="8"/>
  <c r="BC157" i="8"/>
  <c r="AG159" i="8"/>
  <c r="AC159" i="8"/>
  <c r="AK174" i="8"/>
  <c r="AJ174" i="8"/>
  <c r="AS170" i="8" s="1"/>
  <c r="AJ175" i="8"/>
  <c r="AG175" i="8"/>
  <c r="AC175" i="8"/>
  <c r="AJ189" i="8"/>
  <c r="AS182" i="8" s="1"/>
  <c r="AF194" i="8"/>
  <c r="AJ197" i="8"/>
  <c r="AG197" i="8"/>
  <c r="AC197" i="8"/>
  <c r="AJ203" i="8"/>
  <c r="AS200" i="8" s="1"/>
  <c r="AG203" i="8"/>
  <c r="AC203" i="8"/>
  <c r="AK215" i="8"/>
  <c r="AJ215" i="8"/>
  <c r="AV217" i="8"/>
  <c r="AG221" i="8"/>
  <c r="AC221" i="8"/>
  <c r="AF226" i="8"/>
  <c r="AJ229" i="8"/>
  <c r="AV230" i="8"/>
  <c r="I240" i="8"/>
  <c r="AG242" i="8"/>
  <c r="AC242" i="8"/>
  <c r="Z243" i="8"/>
  <c r="AH243" i="8"/>
  <c r="AL245" i="8"/>
  <c r="AK245" i="8"/>
  <c r="Z246" i="8"/>
  <c r="AF248" i="8"/>
  <c r="AB248" i="8"/>
  <c r="AG251" i="8"/>
  <c r="AC251" i="8"/>
  <c r="AF254" i="8"/>
  <c r="AB254" i="8"/>
  <c r="AG256" i="8"/>
  <c r="AC256" i="8"/>
  <c r="AF259" i="8"/>
  <c r="AB259" i="8"/>
  <c r="AJ271" i="8"/>
  <c r="AS267" i="8" s="1"/>
  <c r="AL271" i="8"/>
  <c r="AK271" i="8"/>
  <c r="AL273" i="8"/>
  <c r="AJ273" i="8"/>
  <c r="AK273" i="8"/>
  <c r="Z276" i="8"/>
  <c r="AH276" i="8"/>
  <c r="AX277" i="8"/>
  <c r="BI277" i="8"/>
  <c r="AL278" i="8"/>
  <c r="AK278" i="8"/>
  <c r="AG286" i="8"/>
  <c r="AC286" i="8"/>
  <c r="AE286" i="8"/>
  <c r="BH290" i="8"/>
  <c r="AW290" i="8"/>
  <c r="AG293" i="8"/>
  <c r="AX312" i="8"/>
  <c r="AV312" i="8" s="1"/>
  <c r="BI312" i="8"/>
  <c r="AF314" i="8"/>
  <c r="AB314" i="8"/>
  <c r="AD314" i="8"/>
  <c r="BI315" i="8"/>
  <c r="BH323" i="8"/>
  <c r="AW323" i="8"/>
  <c r="AC326" i="8"/>
  <c r="BC326" i="8"/>
  <c r="AW328" i="8"/>
  <c r="BH328" i="8"/>
  <c r="AH329" i="8"/>
  <c r="Z329" i="8"/>
  <c r="BC333" i="8"/>
  <c r="AE336" i="8"/>
  <c r="AC336" i="8"/>
  <c r="AG338" i="8"/>
  <c r="AX340" i="8"/>
  <c r="BI340" i="8"/>
  <c r="Z343" i="8"/>
  <c r="AH343" i="8"/>
  <c r="AG348" i="8"/>
  <c r="AC348" i="8"/>
  <c r="AB354" i="8"/>
  <c r="AF354" i="8"/>
  <c r="AE359" i="8"/>
  <c r="AC359" i="8"/>
  <c r="BH371" i="8"/>
  <c r="AW371" i="8"/>
  <c r="AH383" i="8"/>
  <c r="AK384" i="8"/>
  <c r="AJ384" i="8"/>
  <c r="BH393" i="8"/>
  <c r="AW393" i="8"/>
  <c r="AE398" i="8"/>
  <c r="AC398" i="8"/>
  <c r="AW399" i="8"/>
  <c r="BH399" i="8"/>
  <c r="AG400" i="8"/>
  <c r="AC400" i="8"/>
  <c r="Z401" i="8"/>
  <c r="AH401" i="8"/>
  <c r="BH402" i="8"/>
  <c r="AW402" i="8"/>
  <c r="AX403" i="8"/>
  <c r="BC403" i="8" s="1"/>
  <c r="AE408" i="8"/>
  <c r="AC408" i="8"/>
  <c r="AG408" i="8"/>
  <c r="AG409" i="8"/>
  <c r="AC409" i="8"/>
  <c r="AE409" i="8"/>
  <c r="AK426" i="8"/>
  <c r="AJ426" i="8"/>
  <c r="AL426" i="8"/>
  <c r="AH429" i="8"/>
  <c r="Z429" i="8"/>
  <c r="AE431" i="8"/>
  <c r="AC431" i="8"/>
  <c r="AG432" i="8"/>
  <c r="AC432" i="8"/>
  <c r="AE432" i="8"/>
  <c r="AD437" i="8"/>
  <c r="AB437" i="8"/>
  <c r="BC438" i="8"/>
  <c r="AV438" i="8"/>
  <c r="Z438" i="8"/>
  <c r="AH438" i="8"/>
  <c r="AE444" i="8"/>
  <c r="AC444" i="8"/>
  <c r="AG445" i="8"/>
  <c r="AC445" i="8"/>
  <c r="AE445" i="8"/>
  <c r="AW503" i="8"/>
  <c r="BH503" i="8"/>
  <c r="AG503" i="8"/>
  <c r="AC503" i="8"/>
  <c r="AE503" i="8"/>
  <c r="AG504" i="8"/>
  <c r="AC504" i="8"/>
  <c r="AD509" i="8"/>
  <c r="AB509" i="8"/>
  <c r="AK510" i="8"/>
  <c r="AJ510" i="8"/>
  <c r="AL510" i="8"/>
  <c r="AE510" i="8"/>
  <c r="AC510" i="8"/>
  <c r="AG510" i="8"/>
  <c r="AG523" i="8"/>
  <c r="AC523" i="8"/>
  <c r="AE523" i="8"/>
  <c r="BH531" i="8"/>
  <c r="AW531" i="8"/>
  <c r="AH534" i="8"/>
  <c r="Z534" i="8"/>
  <c r="BC588" i="8"/>
  <c r="AV588" i="8"/>
  <c r="AB588" i="8"/>
  <c r="AD588" i="8"/>
  <c r="AF588" i="8"/>
  <c r="Z15" i="8"/>
  <c r="AF15" i="8"/>
  <c r="BI15" i="8"/>
  <c r="Z16" i="8"/>
  <c r="AF16" i="8"/>
  <c r="BI16" i="8"/>
  <c r="Z18" i="8"/>
  <c r="AF18" i="8"/>
  <c r="BI18" i="8"/>
  <c r="Z19" i="8"/>
  <c r="AF19" i="8"/>
  <c r="BI19" i="8"/>
  <c r="Z20" i="8"/>
  <c r="AF20" i="8"/>
  <c r="BI20" i="8"/>
  <c r="Z22" i="8"/>
  <c r="AF22" i="8"/>
  <c r="BI22" i="8"/>
  <c r="Z24" i="8"/>
  <c r="AF24" i="8"/>
  <c r="BI24" i="8"/>
  <c r="Z25" i="8"/>
  <c r="AF25" i="8"/>
  <c r="BI25" i="8"/>
  <c r="Z27" i="8"/>
  <c r="AF27" i="8"/>
  <c r="BI27" i="8"/>
  <c r="I33" i="8"/>
  <c r="AG34" i="8"/>
  <c r="AD35" i="8"/>
  <c r="AJ35" i="8"/>
  <c r="AS33" i="8" s="1"/>
  <c r="AE36" i="8"/>
  <c r="AK36" i="8"/>
  <c r="AT33" i="8" s="1"/>
  <c r="BH36" i="8"/>
  <c r="Z37" i="8"/>
  <c r="AF37" i="8"/>
  <c r="BI37" i="8"/>
  <c r="AL39" i="8"/>
  <c r="AK42" i="8"/>
  <c r="AV42" i="8"/>
  <c r="AJ45" i="8"/>
  <c r="AS43" i="8" s="1"/>
  <c r="AG47" i="8"/>
  <c r="AL49" i="8"/>
  <c r="AU48" i="8" s="1"/>
  <c r="AJ56" i="8"/>
  <c r="AS54" i="8" s="1"/>
  <c r="I54" i="8"/>
  <c r="AL56" i="8"/>
  <c r="AU54" i="8" s="1"/>
  <c r="AW56" i="8"/>
  <c r="AJ58" i="8"/>
  <c r="AG60" i="8"/>
  <c r="AD61" i="8"/>
  <c r="AJ61" i="8"/>
  <c r="I62" i="8"/>
  <c r="I592" i="8" s="1"/>
  <c r="AK65" i="8"/>
  <c r="AV65" i="8"/>
  <c r="AL69" i="8"/>
  <c r="AW69" i="8"/>
  <c r="AJ71" i="8"/>
  <c r="AG73" i="8"/>
  <c r="AD74" i="8"/>
  <c r="AJ74" i="8"/>
  <c r="AE75" i="8"/>
  <c r="AK75" i="8"/>
  <c r="BH75" i="8"/>
  <c r="Z76" i="8"/>
  <c r="AF76" i="8"/>
  <c r="BI76" i="8"/>
  <c r="AL78" i="8"/>
  <c r="AK81" i="8"/>
  <c r="AV81" i="8"/>
  <c r="BC82" i="8"/>
  <c r="AG86" i="8"/>
  <c r="AT87" i="8"/>
  <c r="AL88" i="8"/>
  <c r="BC89" i="8"/>
  <c r="AK93" i="8"/>
  <c r="AT90" i="8" s="1"/>
  <c r="AJ93" i="8"/>
  <c r="AS90" i="8" s="1"/>
  <c r="AB95" i="8"/>
  <c r="AB96" i="8"/>
  <c r="AV96" i="8"/>
  <c r="AK98" i="8"/>
  <c r="AJ98" i="8"/>
  <c r="BC99" i="8"/>
  <c r="AB100" i="8"/>
  <c r="AB101" i="8"/>
  <c r="AV101" i="8"/>
  <c r="AC102" i="8"/>
  <c r="AL102" i="8"/>
  <c r="AE103" i="8"/>
  <c r="AK106" i="8"/>
  <c r="AJ106" i="8"/>
  <c r="BC107" i="8"/>
  <c r="AB108" i="8"/>
  <c r="AB109" i="8"/>
  <c r="AV109" i="8"/>
  <c r="AC110" i="8"/>
  <c r="AL110" i="8"/>
  <c r="AE111" i="8"/>
  <c r="AK114" i="8"/>
  <c r="AJ114" i="8"/>
  <c r="BC115" i="8"/>
  <c r="AB116" i="8"/>
  <c r="AB117" i="8"/>
  <c r="AV117" i="8"/>
  <c r="AK119" i="8"/>
  <c r="AT118" i="8" s="1"/>
  <c r="AJ119" i="8"/>
  <c r="AS118" i="8" s="1"/>
  <c r="I121" i="8"/>
  <c r="I120" i="8" s="1"/>
  <c r="AC122" i="8"/>
  <c r="AL122" i="8"/>
  <c r="AU121" i="8" s="1"/>
  <c r="AE123" i="8"/>
  <c r="AK126" i="8"/>
  <c r="AJ126" i="8"/>
  <c r="AE128" i="8"/>
  <c r="AB131" i="8"/>
  <c r="AV131" i="8"/>
  <c r="AC132" i="8"/>
  <c r="AL132" i="8"/>
  <c r="AU130" i="8" s="1"/>
  <c r="AE133" i="8"/>
  <c r="AD139" i="8"/>
  <c r="I140" i="8"/>
  <c r="AD141" i="8"/>
  <c r="AV141" i="8"/>
  <c r="BI142" i="8"/>
  <c r="AC143" i="8"/>
  <c r="Z143" i="8"/>
  <c r="AH143" i="8"/>
  <c r="AD144" i="8"/>
  <c r="AL145" i="8"/>
  <c r="AK145" i="8"/>
  <c r="BH145" i="8"/>
  <c r="AW148" i="8"/>
  <c r="AD149" i="8"/>
  <c r="AV149" i="8"/>
  <c r="BI150" i="8"/>
  <c r="AC151" i="8"/>
  <c r="Z151" i="8"/>
  <c r="AH151" i="8"/>
  <c r="AD152" i="8"/>
  <c r="AL153" i="8"/>
  <c r="AK153" i="8"/>
  <c r="BH153" i="8"/>
  <c r="AD157" i="8"/>
  <c r="AL158" i="8"/>
  <c r="AU156" i="8" s="1"/>
  <c r="AK158" i="8"/>
  <c r="BH158" i="8"/>
  <c r="AC161" i="8"/>
  <c r="Z161" i="8"/>
  <c r="AH161" i="8"/>
  <c r="AD162" i="8"/>
  <c r="AL163" i="8"/>
  <c r="AU160" i="8" s="1"/>
  <c r="AK163" i="8"/>
  <c r="BH163" i="8"/>
  <c r="BI167" i="8"/>
  <c r="BC171" i="8"/>
  <c r="AB172" i="8"/>
  <c r="AB173" i="8"/>
  <c r="AV173" i="8"/>
  <c r="AC174" i="8"/>
  <c r="AL174" i="8"/>
  <c r="AE175" i="8"/>
  <c r="AK178" i="8"/>
  <c r="AJ178" i="8"/>
  <c r="BC179" i="8"/>
  <c r="AB181" i="8"/>
  <c r="AK184" i="8"/>
  <c r="AT182" i="8" s="1"/>
  <c r="AJ184" i="8"/>
  <c r="I182" i="8"/>
  <c r="I169" i="8" s="1"/>
  <c r="BC185" i="8"/>
  <c r="AB186" i="8"/>
  <c r="AB187" i="8"/>
  <c r="AV187" i="8"/>
  <c r="AC188" i="8"/>
  <c r="AL188" i="8"/>
  <c r="AE189" i="8"/>
  <c r="AK192" i="8"/>
  <c r="AJ192" i="8"/>
  <c r="AB194" i="8"/>
  <c r="AB195" i="8"/>
  <c r="AV195" i="8"/>
  <c r="AC196" i="8"/>
  <c r="AL196" i="8"/>
  <c r="AE197" i="8"/>
  <c r="AB201" i="8"/>
  <c r="AV201" i="8"/>
  <c r="AC202" i="8"/>
  <c r="AL202" i="8"/>
  <c r="AU200" i="8" s="1"/>
  <c r="AE203" i="8"/>
  <c r="AK206" i="8"/>
  <c r="AJ206" i="8"/>
  <c r="AJ207" i="8"/>
  <c r="AK211" i="8"/>
  <c r="AT208" i="8" s="1"/>
  <c r="AJ211" i="8"/>
  <c r="AS208" i="8" s="1"/>
  <c r="AJ212" i="8"/>
  <c r="BC212" i="8"/>
  <c r="AB213" i="8"/>
  <c r="AB214" i="8"/>
  <c r="AV214" i="8"/>
  <c r="AC215" i="8"/>
  <c r="AL215" i="8"/>
  <c r="AE216" i="8"/>
  <c r="AK219" i="8"/>
  <c r="AJ219" i="8"/>
  <c r="AE221" i="8"/>
  <c r="AK224" i="8"/>
  <c r="AJ224" i="8"/>
  <c r="AJ225" i="8"/>
  <c r="BC225" i="8"/>
  <c r="AB226" i="8"/>
  <c r="AB227" i="8"/>
  <c r="AV227" i="8"/>
  <c r="AC228" i="8"/>
  <c r="AL228" i="8"/>
  <c r="AE229" i="8"/>
  <c r="AK232" i="8"/>
  <c r="AJ232" i="8"/>
  <c r="AJ233" i="8"/>
  <c r="BC233" i="8"/>
  <c r="AB234" i="8"/>
  <c r="AB235" i="8"/>
  <c r="AV235" i="8"/>
  <c r="AK237" i="8"/>
  <c r="AT236" i="8" s="1"/>
  <c r="AJ237" i="8"/>
  <c r="AJ238" i="8"/>
  <c r="AL241" i="8"/>
  <c r="AK241" i="8"/>
  <c r="BH241" i="8"/>
  <c r="Z242" i="8"/>
  <c r="AW244" i="8"/>
  <c r="AD245" i="8"/>
  <c r="AV245" i="8"/>
  <c r="BI246" i="8"/>
  <c r="AC247" i="8"/>
  <c r="Z247" i="8"/>
  <c r="AH247" i="8"/>
  <c r="AD248" i="8"/>
  <c r="AL249" i="8"/>
  <c r="AK249" i="8"/>
  <c r="BH249" i="8"/>
  <c r="Z251" i="8"/>
  <c r="AC253" i="8"/>
  <c r="Z253" i="8"/>
  <c r="AH253" i="8"/>
  <c r="AD254" i="8"/>
  <c r="AL255" i="8"/>
  <c r="AU252" i="8" s="1"/>
  <c r="AK255" i="8"/>
  <c r="BH255" i="8"/>
  <c r="Z256" i="8"/>
  <c r="AW258" i="8"/>
  <c r="AD259" i="8"/>
  <c r="AV259" i="8"/>
  <c r="BI260" i="8"/>
  <c r="AC261" i="8"/>
  <c r="Z261" i="8"/>
  <c r="AH261" i="8"/>
  <c r="BI262" i="8"/>
  <c r="AX262" i="8"/>
  <c r="AV262" i="8" s="1"/>
  <c r="AD263" i="8"/>
  <c r="AK263" i="8"/>
  <c r="AV264" i="8"/>
  <c r="AC264" i="8"/>
  <c r="AG264" i="8"/>
  <c r="BI268" i="8"/>
  <c r="BI269" i="8"/>
  <c r="AX269" i="8"/>
  <c r="AV269" i="8" s="1"/>
  <c r="AX270" i="8"/>
  <c r="AV270" i="8" s="1"/>
  <c r="BI270" i="8"/>
  <c r="AE271" i="8"/>
  <c r="AC271" i="8"/>
  <c r="AJ276" i="8"/>
  <c r="AL276" i="8"/>
  <c r="AK276" i="8"/>
  <c r="I275" i="8"/>
  <c r="AG280" i="8"/>
  <c r="BC280" i="8"/>
  <c r="AV280" i="8"/>
  <c r="AD280" i="8"/>
  <c r="AF280" i="8"/>
  <c r="AV283" i="8"/>
  <c r="AC283" i="8"/>
  <c r="AG283" i="8"/>
  <c r="AL285" i="8"/>
  <c r="BC285" i="8"/>
  <c r="AB286" i="8"/>
  <c r="AD289" i="8"/>
  <c r="AL291" i="8"/>
  <c r="AK291" i="8"/>
  <c r="AJ291" i="8"/>
  <c r="BC291" i="8"/>
  <c r="BC292" i="8"/>
  <c r="AV292" i="8"/>
  <c r="AJ293" i="8"/>
  <c r="AK293" i="8"/>
  <c r="AL293" i="8"/>
  <c r="BH293" i="8"/>
  <c r="AW293" i="8"/>
  <c r="AF299" i="8"/>
  <c r="AX299" i="8"/>
  <c r="BC299" i="8" s="1"/>
  <c r="AD300" i="8"/>
  <c r="AB300" i="8"/>
  <c r="AE301" i="8"/>
  <c r="AG301" i="8"/>
  <c r="AC301" i="8"/>
  <c r="AK302" i="8"/>
  <c r="AJ302" i="8"/>
  <c r="AL302" i="8"/>
  <c r="AB304" i="8"/>
  <c r="AT303" i="8"/>
  <c r="Z304" i="8"/>
  <c r="AH304" i="8"/>
  <c r="AG311" i="8"/>
  <c r="AC311" i="8"/>
  <c r="AE311" i="8"/>
  <c r="AB312" i="8"/>
  <c r="AC313" i="8"/>
  <c r="BI318" i="8"/>
  <c r="AD319" i="8"/>
  <c r="AW325" i="8"/>
  <c r="BH325" i="8"/>
  <c r="AH325" i="8"/>
  <c r="Z325" i="8"/>
  <c r="AD327" i="8"/>
  <c r="AJ331" i="8"/>
  <c r="AK331" i="8"/>
  <c r="AW331" i="8"/>
  <c r="BH332" i="8"/>
  <c r="AW332" i="8"/>
  <c r="AK338" i="8"/>
  <c r="AJ338" i="8"/>
  <c r="AS337" i="8" s="1"/>
  <c r="AL338" i="8"/>
  <c r="I337" i="8"/>
  <c r="AV342" i="8"/>
  <c r="BC342" i="8"/>
  <c r="BI349" i="8"/>
  <c r="AD350" i="8"/>
  <c r="AF351" i="8"/>
  <c r="AB351" i="8"/>
  <c r="AD351" i="8"/>
  <c r="AH353" i="8"/>
  <c r="Z353" i="8"/>
  <c r="AE355" i="8"/>
  <c r="AG355" i="8"/>
  <c r="Z358" i="8"/>
  <c r="AL361" i="8"/>
  <c r="AJ361" i="8"/>
  <c r="AK361" i="8"/>
  <c r="BI361" i="8"/>
  <c r="AX361" i="8"/>
  <c r="AE362" i="8"/>
  <c r="AG362" i="8"/>
  <c r="AF363" i="8"/>
  <c r="AW365" i="8"/>
  <c r="BH365" i="8"/>
  <c r="AD366" i="8"/>
  <c r="AF366" i="8"/>
  <c r="AB366" i="8"/>
  <c r="AL367" i="8"/>
  <c r="Z367" i="8"/>
  <c r="AH367" i="8"/>
  <c r="BI368" i="8"/>
  <c r="AX368" i="8"/>
  <c r="AD369" i="8"/>
  <c r="AW374" i="8"/>
  <c r="BH374" i="8"/>
  <c r="BI374" i="8"/>
  <c r="AD378" i="8"/>
  <c r="AF378" i="8"/>
  <c r="AB378" i="8"/>
  <c r="AL381" i="8"/>
  <c r="I380" i="8"/>
  <c r="AK381" i="8"/>
  <c r="AJ381" i="8"/>
  <c r="AS380" i="8" s="1"/>
  <c r="AL384" i="8"/>
  <c r="AD386" i="8"/>
  <c r="AB386" i="8"/>
  <c r="AF388" i="8"/>
  <c r="AB388" i="8"/>
  <c r="AD388" i="8"/>
  <c r="AW389" i="8"/>
  <c r="BH389" i="8"/>
  <c r="AH391" i="8"/>
  <c r="Z391" i="8"/>
  <c r="AL395" i="8"/>
  <c r="AK395" i="8"/>
  <c r="AJ395" i="8"/>
  <c r="AD404" i="8"/>
  <c r="AB404" i="8"/>
  <c r="AW414" i="8"/>
  <c r="BH414" i="8"/>
  <c r="AL419" i="8"/>
  <c r="AK419" i="8"/>
  <c r="AJ419" i="8"/>
  <c r="AD467" i="8"/>
  <c r="AB467" i="8"/>
  <c r="AE468" i="8"/>
  <c r="AC468" i="8"/>
  <c r="AE501" i="8"/>
  <c r="AC501" i="8"/>
  <c r="AG263" i="8"/>
  <c r="AC263" i="8"/>
  <c r="AL266" i="8"/>
  <c r="AU265" i="8" s="1"/>
  <c r="AK269" i="8"/>
  <c r="AF272" i="8"/>
  <c r="AB272" i="8"/>
  <c r="BH284" i="8"/>
  <c r="AW284" i="8"/>
  <c r="AV286" i="8"/>
  <c r="AS287" i="8"/>
  <c r="AX288" i="8"/>
  <c r="BI288" i="8"/>
  <c r="AV294" i="8"/>
  <c r="BC294" i="8"/>
  <c r="AF294" i="8"/>
  <c r="AB294" i="8"/>
  <c r="BC304" i="8"/>
  <c r="BC305" i="8"/>
  <c r="AV311" i="8"/>
  <c r="AH316" i="8"/>
  <c r="Z316" i="8"/>
  <c r="BC319" i="8"/>
  <c r="AF324" i="8"/>
  <c r="AB324" i="8"/>
  <c r="AE327" i="8"/>
  <c r="AG327" i="8"/>
  <c r="AK328" i="8"/>
  <c r="AJ328" i="8"/>
  <c r="AX330" i="8"/>
  <c r="BI330" i="8"/>
  <c r="AH340" i="8"/>
  <c r="Z340" i="8"/>
  <c r="BC343" i="8"/>
  <c r="BC344" i="8"/>
  <c r="AL348" i="8"/>
  <c r="AJ348" i="8"/>
  <c r="AS345" i="8" s="1"/>
  <c r="AV351" i="8"/>
  <c r="AW352" i="8"/>
  <c r="BH352" i="8"/>
  <c r="AD353" i="8"/>
  <c r="AF353" i="8"/>
  <c r="Z354" i="8"/>
  <c r="AH354" i="8"/>
  <c r="AF355" i="8"/>
  <c r="AB355" i="8"/>
  <c r="AG356" i="8"/>
  <c r="AC356" i="8"/>
  <c r="AF360" i="8"/>
  <c r="AB360" i="8"/>
  <c r="AE363" i="8"/>
  <c r="AG363" i="8"/>
  <c r="AK364" i="8"/>
  <c r="AJ364" i="8"/>
  <c r="AX366" i="8"/>
  <c r="BI366" i="8"/>
  <c r="AV368" i="8"/>
  <c r="BC368" i="8"/>
  <c r="BC369" i="8"/>
  <c r="AD375" i="8"/>
  <c r="AF375" i="8"/>
  <c r="AH378" i="8"/>
  <c r="Z378" i="8"/>
  <c r="AB381" i="8"/>
  <c r="AF381" i="8"/>
  <c r="AL385" i="8"/>
  <c r="AJ385" i="8"/>
  <c r="AV388" i="8"/>
  <c r="BI389" i="8"/>
  <c r="AD391" i="8"/>
  <c r="AF391" i="8"/>
  <c r="AJ393" i="8"/>
  <c r="AK393" i="8"/>
  <c r="AB395" i="8"/>
  <c r="AF395" i="8"/>
  <c r="AL409" i="8"/>
  <c r="AK409" i="8"/>
  <c r="AW413" i="8"/>
  <c r="BH413" i="8"/>
  <c r="AD416" i="8"/>
  <c r="AB416" i="8"/>
  <c r="BC417" i="8"/>
  <c r="AV417" i="8"/>
  <c r="Z417" i="8"/>
  <c r="AH417" i="8"/>
  <c r="BI423" i="8"/>
  <c r="AX423" i="8"/>
  <c r="AW436" i="8"/>
  <c r="BH436" i="8"/>
  <c r="AX441" i="8"/>
  <c r="BI441" i="8"/>
  <c r="AK451" i="8"/>
  <c r="AJ451" i="8"/>
  <c r="AL451" i="8"/>
  <c r="I450" i="8"/>
  <c r="AE451" i="8"/>
  <c r="AC451" i="8"/>
  <c r="AG451" i="8"/>
  <c r="AL456" i="8"/>
  <c r="AK456" i="8"/>
  <c r="AJ456" i="8"/>
  <c r="BI456" i="8"/>
  <c r="AX456" i="8"/>
  <c r="BC456" i="8" s="1"/>
  <c r="AG466" i="8"/>
  <c r="AC466" i="8"/>
  <c r="AF466" i="8"/>
  <c r="AB466" i="8"/>
  <c r="AD466" i="8"/>
  <c r="AX467" i="8"/>
  <c r="BI467" i="8"/>
  <c r="AL480" i="8"/>
  <c r="AK480" i="8"/>
  <c r="AJ480" i="8"/>
  <c r="AS477" i="8" s="1"/>
  <c r="AX500" i="8"/>
  <c r="BI500" i="8"/>
  <c r="AH500" i="8"/>
  <c r="Z500" i="8"/>
  <c r="AV502" i="8"/>
  <c r="BC502" i="8"/>
  <c r="AF502" i="8"/>
  <c r="AB502" i="8"/>
  <c r="AD502" i="8"/>
  <c r="I90" i="8"/>
  <c r="I208" i="8"/>
  <c r="AB262" i="8"/>
  <c r="I265" i="8"/>
  <c r="AT267" i="8"/>
  <c r="AL268" i="8"/>
  <c r="AB274" i="8"/>
  <c r="BC278" i="8"/>
  <c r="BC279" i="8"/>
  <c r="AF282" i="8"/>
  <c r="AG282" i="8"/>
  <c r="AC282" i="8"/>
  <c r="AB283" i="8"/>
  <c r="AL286" i="8"/>
  <c r="AJ286" i="8"/>
  <c r="BI290" i="8"/>
  <c r="AD291" i="8"/>
  <c r="BI292" i="8"/>
  <c r="AD294" i="8"/>
  <c r="AG296" i="8"/>
  <c r="BH297" i="8"/>
  <c r="AW297" i="8"/>
  <c r="AV299" i="8"/>
  <c r="AV300" i="8"/>
  <c r="BI300" i="8"/>
  <c r="AL304" i="8"/>
  <c r="AU303" i="8" s="1"/>
  <c r="I303" i="8"/>
  <c r="AG304" i="8"/>
  <c r="AC304" i="8"/>
  <c r="AL311" i="8"/>
  <c r="AJ311" i="8"/>
  <c r="BC312" i="8"/>
  <c r="AF313" i="8"/>
  <c r="AV314" i="8"/>
  <c r="AW315" i="8"/>
  <c r="BH315" i="8"/>
  <c r="AD316" i="8"/>
  <c r="AF316" i="8"/>
  <c r="Z317" i="8"/>
  <c r="AH317" i="8"/>
  <c r="AF318" i="8"/>
  <c r="AB318" i="8"/>
  <c r="AG319" i="8"/>
  <c r="AC319" i="8"/>
  <c r="AB326" i="8"/>
  <c r="AC327" i="8"/>
  <c r="AK327" i="8"/>
  <c r="BI329" i="8"/>
  <c r="BI332" i="8"/>
  <c r="AD333" i="8"/>
  <c r="BI334" i="8"/>
  <c r="BH336" i="8"/>
  <c r="AW336" i="8"/>
  <c r="AV338" i="8"/>
  <c r="AW339" i="8"/>
  <c r="BH339" i="8"/>
  <c r="AD340" i="8"/>
  <c r="AF340" i="8"/>
  <c r="Z341" i="8"/>
  <c r="AH341" i="8"/>
  <c r="AF342" i="8"/>
  <c r="AB342" i="8"/>
  <c r="AG343" i="8"/>
  <c r="AC343" i="8"/>
  <c r="Z349" i="8"/>
  <c r="AE350" i="8"/>
  <c r="AG350" i="8"/>
  <c r="AK351" i="8"/>
  <c r="AJ351" i="8"/>
  <c r="AB353" i="8"/>
  <c r="AX353" i="8"/>
  <c r="BI353" i="8"/>
  <c r="AJ356" i="8"/>
  <c r="AB362" i="8"/>
  <c r="AC363" i="8"/>
  <c r="AK363" i="8"/>
  <c r="BI365" i="8"/>
  <c r="AH371" i="8"/>
  <c r="AX375" i="8"/>
  <c r="BI375" i="8"/>
  <c r="AD381" i="8"/>
  <c r="AC382" i="8"/>
  <c r="AG382" i="8"/>
  <c r="BH383" i="8"/>
  <c r="AW383" i="8"/>
  <c r="AV384" i="8"/>
  <c r="BC384" i="8"/>
  <c r="AF384" i="8"/>
  <c r="AB384" i="8"/>
  <c r="AK385" i="8"/>
  <c r="AG385" i="8"/>
  <c r="AC385" i="8"/>
  <c r="AE386" i="8"/>
  <c r="AC386" i="8"/>
  <c r="AX391" i="8"/>
  <c r="BI391" i="8"/>
  <c r="AL393" i="8"/>
  <c r="Z393" i="8"/>
  <c r="AH393" i="8"/>
  <c r="BI394" i="8"/>
  <c r="AX394" i="8"/>
  <c r="AV394" i="8" s="1"/>
  <c r="AD395" i="8"/>
  <c r="AD396" i="8"/>
  <c r="AB396" i="8"/>
  <c r="AD397" i="8"/>
  <c r="AB397" i="8"/>
  <c r="AK398" i="8"/>
  <c r="AJ398" i="8"/>
  <c r="AL398" i="8"/>
  <c r="AL403" i="8"/>
  <c r="AK403" i="8"/>
  <c r="AJ403" i="8"/>
  <c r="Z404" i="8"/>
  <c r="AE406" i="8"/>
  <c r="AC406" i="8"/>
  <c r="AK408" i="8"/>
  <c r="AJ408" i="8"/>
  <c r="AL408" i="8"/>
  <c r="AU407" i="8" s="1"/>
  <c r="I407" i="8"/>
  <c r="AX410" i="8"/>
  <c r="BI410" i="8"/>
  <c r="AV412" i="8"/>
  <c r="BC412" i="8"/>
  <c r="AF412" i="8"/>
  <c r="AB412" i="8"/>
  <c r="AD412" i="8"/>
  <c r="BI413" i="8"/>
  <c r="AX413" i="8"/>
  <c r="AK418" i="8"/>
  <c r="I415" i="8"/>
  <c r="AJ418" i="8"/>
  <c r="AS415" i="8" s="1"/>
  <c r="AL418" i="8"/>
  <c r="AU415" i="8" s="1"/>
  <c r="AV422" i="8"/>
  <c r="BC422" i="8"/>
  <c r="AF422" i="8"/>
  <c r="AB422" i="8"/>
  <c r="AD422" i="8"/>
  <c r="BH426" i="8"/>
  <c r="AW426" i="8"/>
  <c r="AL440" i="8"/>
  <c r="AK440" i="8"/>
  <c r="AJ440" i="8"/>
  <c r="AG448" i="8"/>
  <c r="AC448" i="8"/>
  <c r="AF448" i="8"/>
  <c r="AB448" i="8"/>
  <c r="AD448" i="8"/>
  <c r="AG463" i="8"/>
  <c r="AC463" i="8"/>
  <c r="Z464" i="8"/>
  <c r="AH464" i="8"/>
  <c r="BH465" i="8"/>
  <c r="AW465" i="8"/>
  <c r="AE466" i="8"/>
  <c r="AX466" i="8"/>
  <c r="BC466" i="8" s="1"/>
  <c r="AW470" i="8"/>
  <c r="BH470" i="8"/>
  <c r="AF474" i="8"/>
  <c r="AB474" i="8"/>
  <c r="AD474" i="8"/>
  <c r="AD476" i="8"/>
  <c r="AB476" i="8"/>
  <c r="AV483" i="8"/>
  <c r="BC483" i="8"/>
  <c r="AF483" i="8"/>
  <c r="AB483" i="8"/>
  <c r="AD483" i="8"/>
  <c r="AX495" i="8"/>
  <c r="BI495" i="8"/>
  <c r="AH495" i="8"/>
  <c r="Z495" i="8"/>
  <c r="AT513" i="8"/>
  <c r="AL277" i="8"/>
  <c r="AL284" i="8"/>
  <c r="AL290" i="8"/>
  <c r="AL297" i="8"/>
  <c r="AK315" i="8"/>
  <c r="AL318" i="8"/>
  <c r="AS322" i="8"/>
  <c r="AL323" i="8"/>
  <c r="AU322" i="8" s="1"/>
  <c r="AK329" i="8"/>
  <c r="AL332" i="8"/>
  <c r="AL336" i="8"/>
  <c r="AU335" i="8" s="1"/>
  <c r="AK339" i="8"/>
  <c r="AL342" i="8"/>
  <c r="AL346" i="8"/>
  <c r="AU345" i="8" s="1"/>
  <c r="AK352" i="8"/>
  <c r="AL355" i="8"/>
  <c r="AJ359" i="8"/>
  <c r="I357" i="8"/>
  <c r="AL359" i="8"/>
  <c r="AU357" i="8" s="1"/>
  <c r="AK365" i="8"/>
  <c r="AL368" i="8"/>
  <c r="AF368" i="8"/>
  <c r="AB368" i="8"/>
  <c r="AG369" i="8"/>
  <c r="AC369" i="8"/>
  <c r="AG381" i="8"/>
  <c r="AC381" i="8"/>
  <c r="AL387" i="8"/>
  <c r="AL394" i="8"/>
  <c r="AF394" i="8"/>
  <c r="AB394" i="8"/>
  <c r="AG395" i="8"/>
  <c r="AC395" i="8"/>
  <c r="AK402" i="8"/>
  <c r="AJ402" i="8"/>
  <c r="Z406" i="8"/>
  <c r="AH406" i="8"/>
  <c r="AV409" i="8"/>
  <c r="Z411" i="8"/>
  <c r="AH411" i="8"/>
  <c r="AL413" i="8"/>
  <c r="AK413" i="8"/>
  <c r="AG416" i="8"/>
  <c r="AC416" i="8"/>
  <c r="AD417" i="8"/>
  <c r="AB417" i="8"/>
  <c r="BH418" i="8"/>
  <c r="AW418" i="8"/>
  <c r="AF419" i="8"/>
  <c r="AB419" i="8"/>
  <c r="AD419" i="8"/>
  <c r="AE421" i="8"/>
  <c r="AC421" i="8"/>
  <c r="AH424" i="8"/>
  <c r="Z424" i="8"/>
  <c r="AE426" i="8"/>
  <c r="AC426" i="8"/>
  <c r="AW428" i="8"/>
  <c r="BH428" i="8"/>
  <c r="AK431" i="8"/>
  <c r="AJ431" i="8"/>
  <c r="AL431" i="8"/>
  <c r="AX433" i="8"/>
  <c r="BI433" i="8"/>
  <c r="AV435" i="8"/>
  <c r="BC435" i="8"/>
  <c r="AF435" i="8"/>
  <c r="AB435" i="8"/>
  <c r="AD435" i="8"/>
  <c r="BI436" i="8"/>
  <c r="AX436" i="8"/>
  <c r="AG437" i="8"/>
  <c r="AC437" i="8"/>
  <c r="AD438" i="8"/>
  <c r="AB438" i="8"/>
  <c r="BH439" i="8"/>
  <c r="AW439" i="8"/>
  <c r="AF440" i="8"/>
  <c r="AB440" i="8"/>
  <c r="AD440" i="8"/>
  <c r="AE442" i="8"/>
  <c r="AC442" i="8"/>
  <c r="AK444" i="8"/>
  <c r="AT443" i="8" s="1"/>
  <c r="AJ444" i="8"/>
  <c r="AS443" i="8" s="1"/>
  <c r="AL444" i="8"/>
  <c r="AU443" i="8" s="1"/>
  <c r="I443" i="8"/>
  <c r="AV451" i="8"/>
  <c r="BC451" i="8"/>
  <c r="AF451" i="8"/>
  <c r="AB451" i="8"/>
  <c r="AD451" i="8"/>
  <c r="AG452" i="8"/>
  <c r="AC452" i="8"/>
  <c r="AE452" i="8"/>
  <c r="AG453" i="8"/>
  <c r="AC453" i="8"/>
  <c r="Z454" i="8"/>
  <c r="AH454" i="8"/>
  <c r="BH455" i="8"/>
  <c r="AW455" i="8"/>
  <c r="AX457" i="8"/>
  <c r="BI457" i="8"/>
  <c r="AE458" i="8"/>
  <c r="AC458" i="8"/>
  <c r="AE459" i="8"/>
  <c r="AC459" i="8"/>
  <c r="AL461" i="8"/>
  <c r="AU460" i="8" s="1"/>
  <c r="AK461" i="8"/>
  <c r="AT460" i="8" s="1"/>
  <c r="I460" i="8"/>
  <c r="AJ461" i="8"/>
  <c r="AS460" i="8" s="1"/>
  <c r="AV469" i="8"/>
  <c r="BC469" i="8"/>
  <c r="AF469" i="8"/>
  <c r="AB469" i="8"/>
  <c r="AD469" i="8"/>
  <c r="AG470" i="8"/>
  <c r="AC470" i="8"/>
  <c r="AE470" i="8"/>
  <c r="AG471" i="8"/>
  <c r="AC471" i="8"/>
  <c r="Z472" i="8"/>
  <c r="AH472" i="8"/>
  <c r="BH473" i="8"/>
  <c r="AW473" i="8"/>
  <c r="AX476" i="8"/>
  <c r="BI476" i="8"/>
  <c r="AG480" i="8"/>
  <c r="AC480" i="8"/>
  <c r="AF480" i="8"/>
  <c r="AB480" i="8"/>
  <c r="AD480" i="8"/>
  <c r="AD481" i="8"/>
  <c r="AB481" i="8"/>
  <c r="AD482" i="8"/>
  <c r="AB482" i="8"/>
  <c r="AK483" i="8"/>
  <c r="AJ483" i="8"/>
  <c r="AL483" i="8"/>
  <c r="AV489" i="8"/>
  <c r="BC489" i="8"/>
  <c r="AF489" i="8"/>
  <c r="AB489" i="8"/>
  <c r="AD489" i="8"/>
  <c r="AG490" i="8"/>
  <c r="AC490" i="8"/>
  <c r="AE490" i="8"/>
  <c r="AG491" i="8"/>
  <c r="AC491" i="8"/>
  <c r="BH498" i="8"/>
  <c r="AW498" i="8"/>
  <c r="AD508" i="8"/>
  <c r="AB508" i="8"/>
  <c r="AE509" i="8"/>
  <c r="AC509" i="8"/>
  <c r="AD512" i="8"/>
  <c r="AF512" i="8"/>
  <c r="AL523" i="8"/>
  <c r="AK523" i="8"/>
  <c r="AJ523" i="8"/>
  <c r="Z523" i="8"/>
  <c r="AH523" i="8"/>
  <c r="AK531" i="8"/>
  <c r="AT530" i="8" s="1"/>
  <c r="AJ531" i="8"/>
  <c r="AS530" i="8" s="1"/>
  <c r="AL531" i="8"/>
  <c r="AU530" i="8" s="1"/>
  <c r="I530" i="8"/>
  <c r="AW549" i="8"/>
  <c r="BH549" i="8"/>
  <c r="AG550" i="8"/>
  <c r="AC550" i="8"/>
  <c r="AE550" i="8"/>
  <c r="AF585" i="8"/>
  <c r="AB585" i="8"/>
  <c r="AD585" i="8"/>
  <c r="AL371" i="8"/>
  <c r="AK374" i="8"/>
  <c r="AT373" i="8" s="1"/>
  <c r="AL383" i="8"/>
  <c r="AK389" i="8"/>
  <c r="Z397" i="8"/>
  <c r="AH397" i="8"/>
  <c r="AL399" i="8"/>
  <c r="AK399" i="8"/>
  <c r="Z400" i="8"/>
  <c r="AV403" i="8"/>
  <c r="AK412" i="8"/>
  <c r="AJ412" i="8"/>
  <c r="AJ413" i="8"/>
  <c r="AG414" i="8"/>
  <c r="AC414" i="8"/>
  <c r="AE416" i="8"/>
  <c r="AH416" i="8"/>
  <c r="Z416" i="8"/>
  <c r="AE418" i="8"/>
  <c r="AC418" i="8"/>
  <c r="AG419" i="8"/>
  <c r="AC419" i="8"/>
  <c r="AE419" i="8"/>
  <c r="AD424" i="8"/>
  <c r="AB424" i="8"/>
  <c r="BC425" i="8"/>
  <c r="AV425" i="8"/>
  <c r="Z425" i="8"/>
  <c r="AH425" i="8"/>
  <c r="AG426" i="8"/>
  <c r="I427" i="8"/>
  <c r="BI428" i="8"/>
  <c r="AX428" i="8"/>
  <c r="AG429" i="8"/>
  <c r="AC429" i="8"/>
  <c r="AD430" i="8"/>
  <c r="AB430" i="8"/>
  <c r="BH431" i="8"/>
  <c r="AW431" i="8"/>
  <c r="AF432" i="8"/>
  <c r="AB432" i="8"/>
  <c r="AD432" i="8"/>
  <c r="AE434" i="8"/>
  <c r="AC434" i="8"/>
  <c r="AE437" i="8"/>
  <c r="AH437" i="8"/>
  <c r="Z437" i="8"/>
  <c r="AE439" i="8"/>
  <c r="AC439" i="8"/>
  <c r="AG440" i="8"/>
  <c r="AC440" i="8"/>
  <c r="AE440" i="8"/>
  <c r="BH444" i="8"/>
  <c r="AW444" i="8"/>
  <c r="AF445" i="8"/>
  <c r="AB445" i="8"/>
  <c r="AD445" i="8"/>
  <c r="AL448" i="8"/>
  <c r="AU447" i="8" s="1"/>
  <c r="AK448" i="8"/>
  <c r="AT447" i="8" s="1"/>
  <c r="I447" i="8"/>
  <c r="I446" i="8" s="1"/>
  <c r="AJ448" i="8"/>
  <c r="AS447" i="8" s="1"/>
  <c r="AG459" i="8"/>
  <c r="AV459" i="8"/>
  <c r="BC459" i="8"/>
  <c r="AF459" i="8"/>
  <c r="AB459" i="8"/>
  <c r="AD459" i="8"/>
  <c r="AG461" i="8"/>
  <c r="AC461" i="8"/>
  <c r="AF461" i="8"/>
  <c r="AB461" i="8"/>
  <c r="AD461" i="8"/>
  <c r="AL466" i="8"/>
  <c r="AU462" i="8" s="1"/>
  <c r="AK466" i="8"/>
  <c r="AJ466" i="8"/>
  <c r="Z467" i="8"/>
  <c r="Z478" i="8"/>
  <c r="AH478" i="8"/>
  <c r="BH479" i="8"/>
  <c r="AW479" i="8"/>
  <c r="AE480" i="8"/>
  <c r="AX480" i="8"/>
  <c r="BC480" i="8" s="1"/>
  <c r="AX481" i="8"/>
  <c r="BI481" i="8"/>
  <c r="AE482" i="8"/>
  <c r="AC482" i="8"/>
  <c r="AE483" i="8"/>
  <c r="AC483" i="8"/>
  <c r="BH484" i="8"/>
  <c r="AW484" i="8"/>
  <c r="Z487" i="8"/>
  <c r="AE496" i="8"/>
  <c r="AC496" i="8"/>
  <c r="AG507" i="8"/>
  <c r="AC507" i="8"/>
  <c r="AF507" i="8"/>
  <c r="AB507" i="8"/>
  <c r="AD507" i="8"/>
  <c r="AX508" i="8"/>
  <c r="BI508" i="8"/>
  <c r="AB512" i="8"/>
  <c r="AK518" i="8"/>
  <c r="AT517" i="8" s="1"/>
  <c r="AJ518" i="8"/>
  <c r="AS517" i="8" s="1"/>
  <c r="AL518" i="8"/>
  <c r="AU517" i="8" s="1"/>
  <c r="I517" i="8"/>
  <c r="I516" i="8" s="1"/>
  <c r="AL545" i="8"/>
  <c r="AK545" i="8"/>
  <c r="AJ545" i="8"/>
  <c r="BI549" i="8"/>
  <c r="AX549" i="8"/>
  <c r="AL555" i="8"/>
  <c r="AK555" i="8"/>
  <c r="AJ555" i="8"/>
  <c r="I553" i="8"/>
  <c r="AD582" i="8"/>
  <c r="AB582" i="8"/>
  <c r="AF582" i="8"/>
  <c r="AB584" i="8"/>
  <c r="AF584" i="8"/>
  <c r="AD584" i="8"/>
  <c r="AV419" i="8"/>
  <c r="Z421" i="8"/>
  <c r="AH421" i="8"/>
  <c r="AL423" i="8"/>
  <c r="AK423" i="8"/>
  <c r="AL428" i="8"/>
  <c r="AK428" i="8"/>
  <c r="AV432" i="8"/>
  <c r="Z434" i="8"/>
  <c r="AH434" i="8"/>
  <c r="AL436" i="8"/>
  <c r="AK436" i="8"/>
  <c r="AV440" i="8"/>
  <c r="Z442" i="8"/>
  <c r="AH442" i="8"/>
  <c r="AV445" i="8"/>
  <c r="AK455" i="8"/>
  <c r="AJ455" i="8"/>
  <c r="AK465" i="8"/>
  <c r="AT462" i="8" s="1"/>
  <c r="AJ465" i="8"/>
  <c r="AS462" i="8" s="1"/>
  <c r="AK473" i="8"/>
  <c r="AJ473" i="8"/>
  <c r="AK479" i="8"/>
  <c r="AJ479" i="8"/>
  <c r="I477" i="8"/>
  <c r="BI484" i="8"/>
  <c r="AG486" i="8"/>
  <c r="AC486" i="8"/>
  <c r="AF486" i="8"/>
  <c r="AB486" i="8"/>
  <c r="AD486" i="8"/>
  <c r="AD487" i="8"/>
  <c r="AB487" i="8"/>
  <c r="AD488" i="8"/>
  <c r="AB488" i="8"/>
  <c r="AK489" i="8"/>
  <c r="AJ489" i="8"/>
  <c r="AL489" i="8"/>
  <c r="AL494" i="8"/>
  <c r="AK494" i="8"/>
  <c r="AJ494" i="8"/>
  <c r="AL499" i="8"/>
  <c r="AK499" i="8"/>
  <c r="AJ499" i="8"/>
  <c r="AV510" i="8"/>
  <c r="BC510" i="8"/>
  <c r="AF510" i="8"/>
  <c r="AB510" i="8"/>
  <c r="AD510" i="8"/>
  <c r="AG511" i="8"/>
  <c r="AC511" i="8"/>
  <c r="AE511" i="8"/>
  <c r="AH512" i="8"/>
  <c r="Z512" i="8"/>
  <c r="AU513" i="8"/>
  <c r="Z514" i="8"/>
  <c r="AH514" i="8"/>
  <c r="BH515" i="8"/>
  <c r="AW515" i="8"/>
  <c r="AE518" i="8"/>
  <c r="AC518" i="8"/>
  <c r="Z521" i="8"/>
  <c r="AH521" i="8"/>
  <c r="BH522" i="8"/>
  <c r="AW522" i="8"/>
  <c r="AE529" i="8"/>
  <c r="AC529" i="8"/>
  <c r="AD534" i="8"/>
  <c r="AB534" i="8"/>
  <c r="BC535" i="8"/>
  <c r="AV535" i="8"/>
  <c r="Z535" i="8"/>
  <c r="AH535" i="8"/>
  <c r="AL537" i="8"/>
  <c r="AK537" i="8"/>
  <c r="AK544" i="8"/>
  <c r="AJ544" i="8"/>
  <c r="AL544" i="8"/>
  <c r="AV548" i="8"/>
  <c r="BC548" i="8"/>
  <c r="AF548" i="8"/>
  <c r="AB548" i="8"/>
  <c r="AD548" i="8"/>
  <c r="AU553" i="8"/>
  <c r="BH570" i="8"/>
  <c r="AW570" i="8"/>
  <c r="AB578" i="8"/>
  <c r="AF578" i="8"/>
  <c r="AD578" i="8"/>
  <c r="AC579" i="8"/>
  <c r="AG579" i="8"/>
  <c r="AE579" i="8"/>
  <c r="AD583" i="8"/>
  <c r="AF583" i="8"/>
  <c r="AB583" i="8"/>
  <c r="AC585" i="8"/>
  <c r="AG585" i="8"/>
  <c r="AE585" i="8"/>
  <c r="AJ414" i="8"/>
  <c r="AK422" i="8"/>
  <c r="AJ422" i="8"/>
  <c r="AJ423" i="8"/>
  <c r="AJ428" i="8"/>
  <c r="AK435" i="8"/>
  <c r="AJ435" i="8"/>
  <c r="AJ436" i="8"/>
  <c r="AV448" i="8"/>
  <c r="AL452" i="8"/>
  <c r="AK452" i="8"/>
  <c r="Z453" i="8"/>
  <c r="AV456" i="8"/>
  <c r="Z458" i="8"/>
  <c r="AH458" i="8"/>
  <c r="AV461" i="8"/>
  <c r="Z463" i="8"/>
  <c r="AV466" i="8"/>
  <c r="Z468" i="8"/>
  <c r="AH468" i="8"/>
  <c r="AL470" i="8"/>
  <c r="AK470" i="8"/>
  <c r="Z471" i="8"/>
  <c r="AV480" i="8"/>
  <c r="Z482" i="8"/>
  <c r="AH482" i="8"/>
  <c r="AL484" i="8"/>
  <c r="AU477" i="8" s="1"/>
  <c r="AK484" i="8"/>
  <c r="AE486" i="8"/>
  <c r="AX486" i="8"/>
  <c r="BC486" i="8" s="1"/>
  <c r="AX487" i="8"/>
  <c r="BI487" i="8"/>
  <c r="AE488" i="8"/>
  <c r="AC488" i="8"/>
  <c r="AE489" i="8"/>
  <c r="AC489" i="8"/>
  <c r="AW490" i="8"/>
  <c r="BH490" i="8"/>
  <c r="AG494" i="8"/>
  <c r="AC494" i="8"/>
  <c r="AF494" i="8"/>
  <c r="AB494" i="8"/>
  <c r="AD494" i="8"/>
  <c r="AD495" i="8"/>
  <c r="AB495" i="8"/>
  <c r="AD496" i="8"/>
  <c r="AB496" i="8"/>
  <c r="I497" i="8"/>
  <c r="AG499" i="8"/>
  <c r="AC499" i="8"/>
  <c r="AF499" i="8"/>
  <c r="AB499" i="8"/>
  <c r="AD499" i="8"/>
  <c r="AD500" i="8"/>
  <c r="AB500" i="8"/>
  <c r="AD501" i="8"/>
  <c r="AB501" i="8"/>
  <c r="AK502" i="8"/>
  <c r="AJ502" i="8"/>
  <c r="AL502" i="8"/>
  <c r="AL507" i="8"/>
  <c r="AK507" i="8"/>
  <c r="AJ507" i="8"/>
  <c r="Z508" i="8"/>
  <c r="AG518" i="8"/>
  <c r="AV518" i="8"/>
  <c r="BC518" i="8"/>
  <c r="AF518" i="8"/>
  <c r="AB518" i="8"/>
  <c r="AD518" i="8"/>
  <c r="AJ525" i="8"/>
  <c r="AL525" i="8"/>
  <c r="AU520" i="8" s="1"/>
  <c r="AK525" i="8"/>
  <c r="AW541" i="8"/>
  <c r="BH541" i="8"/>
  <c r="AX546" i="8"/>
  <c r="BI546" i="8"/>
  <c r="AH558" i="8"/>
  <c r="Z558" i="8"/>
  <c r="AL566" i="8"/>
  <c r="AK566" i="8"/>
  <c r="AJ566" i="8"/>
  <c r="BI570" i="8"/>
  <c r="AX570" i="8"/>
  <c r="AW572" i="8"/>
  <c r="BH572" i="8"/>
  <c r="AK493" i="8"/>
  <c r="AJ493" i="8"/>
  <c r="AK498" i="8"/>
  <c r="AJ498" i="8"/>
  <c r="AS497" i="8" s="1"/>
  <c r="AK506" i="8"/>
  <c r="AJ506" i="8"/>
  <c r="AK515" i="8"/>
  <c r="AJ515" i="8"/>
  <c r="I513" i="8"/>
  <c r="AK522" i="8"/>
  <c r="AT520" i="8" s="1"/>
  <c r="AJ522" i="8"/>
  <c r="I520" i="8"/>
  <c r="AX524" i="8"/>
  <c r="BI524" i="8"/>
  <c r="BH526" i="8"/>
  <c r="AW526" i="8"/>
  <c r="AE531" i="8"/>
  <c r="AC531" i="8"/>
  <c r="AW533" i="8"/>
  <c r="BH533" i="8"/>
  <c r="AK536" i="8"/>
  <c r="AJ536" i="8"/>
  <c r="AL536" i="8"/>
  <c r="AX538" i="8"/>
  <c r="BI538" i="8"/>
  <c r="AV540" i="8"/>
  <c r="BC540" i="8"/>
  <c r="AF540" i="8"/>
  <c r="AB540" i="8"/>
  <c r="AD540" i="8"/>
  <c r="BI541" i="8"/>
  <c r="AX541" i="8"/>
  <c r="AG542" i="8"/>
  <c r="AC542" i="8"/>
  <c r="AD543" i="8"/>
  <c r="AB543" i="8"/>
  <c r="BH544" i="8"/>
  <c r="AW544" i="8"/>
  <c r="AF545" i="8"/>
  <c r="AB545" i="8"/>
  <c r="AD545" i="8"/>
  <c r="AE547" i="8"/>
  <c r="AC547" i="8"/>
  <c r="AH550" i="8"/>
  <c r="Z550" i="8"/>
  <c r="AD552" i="8"/>
  <c r="AB552" i="8"/>
  <c r="AG555" i="8"/>
  <c r="AC555" i="8"/>
  <c r="BH560" i="8"/>
  <c r="AW560" i="8"/>
  <c r="AK565" i="8"/>
  <c r="AJ565" i="8"/>
  <c r="AL565" i="8"/>
  <c r="I561" i="8"/>
  <c r="AV569" i="8"/>
  <c r="BC569" i="8"/>
  <c r="AF569" i="8"/>
  <c r="AB569" i="8"/>
  <c r="AD569" i="8"/>
  <c r="BC576" i="8"/>
  <c r="AV576" i="8"/>
  <c r="AD576" i="8"/>
  <c r="AF576" i="8"/>
  <c r="AB576" i="8"/>
  <c r="AH587" i="8"/>
  <c r="Z587" i="8"/>
  <c r="I462" i="8"/>
  <c r="AV486" i="8"/>
  <c r="Z488" i="8"/>
  <c r="AH488" i="8"/>
  <c r="AL490" i="8"/>
  <c r="AK490" i="8"/>
  <c r="Z491" i="8"/>
  <c r="AV494" i="8"/>
  <c r="Z496" i="8"/>
  <c r="AH496" i="8"/>
  <c r="AV499" i="8"/>
  <c r="Z501" i="8"/>
  <c r="AH501" i="8"/>
  <c r="AL503" i="8"/>
  <c r="AK503" i="8"/>
  <c r="Z504" i="8"/>
  <c r="AV507" i="8"/>
  <c r="Z509" i="8"/>
  <c r="AH509" i="8"/>
  <c r="AL511" i="8"/>
  <c r="AK511" i="8"/>
  <c r="BI512" i="8"/>
  <c r="AS513" i="8"/>
  <c r="AS520" i="8"/>
  <c r="AW523" i="8"/>
  <c r="BH523" i="8"/>
  <c r="AH524" i="8"/>
  <c r="Z524" i="8"/>
  <c r="AF525" i="8"/>
  <c r="BI526" i="8"/>
  <c r="BI527" i="8"/>
  <c r="AX527" i="8"/>
  <c r="AV527" i="8" s="1"/>
  <c r="AX528" i="8"/>
  <c r="BI528" i="8"/>
  <c r="AG531" i="8"/>
  <c r="I532" i="8"/>
  <c r="BI533" i="8"/>
  <c r="AX533" i="8"/>
  <c r="AG534" i="8"/>
  <c r="AC534" i="8"/>
  <c r="AD535" i="8"/>
  <c r="AB535" i="8"/>
  <c r="BH536" i="8"/>
  <c r="AW536" i="8"/>
  <c r="AF537" i="8"/>
  <c r="AB537" i="8"/>
  <c r="AD537" i="8"/>
  <c r="AE539" i="8"/>
  <c r="AC539" i="8"/>
  <c r="AE542" i="8"/>
  <c r="AH542" i="8"/>
  <c r="Z542" i="8"/>
  <c r="AE544" i="8"/>
  <c r="AC544" i="8"/>
  <c r="AG545" i="8"/>
  <c r="AC545" i="8"/>
  <c r="AE545" i="8"/>
  <c r="AD550" i="8"/>
  <c r="AB550" i="8"/>
  <c r="AE552" i="8"/>
  <c r="AC552" i="8"/>
  <c r="BH554" i="8"/>
  <c r="AW554" i="8"/>
  <c r="AE555" i="8"/>
  <c r="AK556" i="8"/>
  <c r="AJ556" i="8"/>
  <c r="AL556" i="8"/>
  <c r="AG558" i="8"/>
  <c r="AC558" i="8"/>
  <c r="AE558" i="8"/>
  <c r="AD559" i="8"/>
  <c r="AB559" i="8"/>
  <c r="AE560" i="8"/>
  <c r="AC560" i="8"/>
  <c r="AG560" i="8"/>
  <c r="AW562" i="8"/>
  <c r="BH562" i="8"/>
  <c r="AX567" i="8"/>
  <c r="BI567" i="8"/>
  <c r="AJ588" i="8"/>
  <c r="AS573" i="8" s="1"/>
  <c r="AK588" i="8"/>
  <c r="AL588" i="8"/>
  <c r="AW512" i="8"/>
  <c r="AK527" i="8"/>
  <c r="Z529" i="8"/>
  <c r="AH529" i="8"/>
  <c r="AL533" i="8"/>
  <c r="AK533" i="8"/>
  <c r="AV537" i="8"/>
  <c r="Z539" i="8"/>
  <c r="AH539" i="8"/>
  <c r="AL541" i="8"/>
  <c r="AK541" i="8"/>
  <c r="AV545" i="8"/>
  <c r="Z547" i="8"/>
  <c r="AH547" i="8"/>
  <c r="AL549" i="8"/>
  <c r="AK549" i="8"/>
  <c r="AK554" i="8"/>
  <c r="AJ554" i="8"/>
  <c r="AS553" i="8" s="1"/>
  <c r="AE556" i="8"/>
  <c r="AC556" i="8"/>
  <c r="AW557" i="8"/>
  <c r="BH557" i="8"/>
  <c r="AD558" i="8"/>
  <c r="AF558" i="8"/>
  <c r="BC559" i="8"/>
  <c r="AV559" i="8"/>
  <c r="Z559" i="8"/>
  <c r="AH559" i="8"/>
  <c r="BI562" i="8"/>
  <c r="AX562" i="8"/>
  <c r="AG563" i="8"/>
  <c r="AC563" i="8"/>
  <c r="AD564" i="8"/>
  <c r="AB564" i="8"/>
  <c r="BH565" i="8"/>
  <c r="AW565" i="8"/>
  <c r="AF566" i="8"/>
  <c r="AB566" i="8"/>
  <c r="AD566" i="8"/>
  <c r="AE568" i="8"/>
  <c r="AC568" i="8"/>
  <c r="BC574" i="8"/>
  <c r="AJ576" i="8"/>
  <c r="AK576" i="8"/>
  <c r="AL576" i="8"/>
  <c r="AU573" i="8" s="1"/>
  <c r="Z576" i="8"/>
  <c r="AH576" i="8"/>
  <c r="BI577" i="8"/>
  <c r="AX577" i="8"/>
  <c r="AV577" i="8" s="1"/>
  <c r="AK585" i="8"/>
  <c r="AJ585" i="8"/>
  <c r="AW586" i="8"/>
  <c r="BH586" i="8"/>
  <c r="BI586" i="8"/>
  <c r="AH525" i="8"/>
  <c r="AL526" i="8"/>
  <c r="AJ533" i="8"/>
  <c r="AS532" i="8" s="1"/>
  <c r="AK540" i="8"/>
  <c r="AJ540" i="8"/>
  <c r="AJ541" i="8"/>
  <c r="AK548" i="8"/>
  <c r="AJ548" i="8"/>
  <c r="AJ549" i="8"/>
  <c r="Z552" i="8"/>
  <c r="AH552" i="8"/>
  <c r="BH555" i="8"/>
  <c r="AW555" i="8"/>
  <c r="AG556" i="8"/>
  <c r="AV556" i="8"/>
  <c r="BC556" i="8"/>
  <c r="AF556" i="8"/>
  <c r="AB556" i="8"/>
  <c r="AD556" i="8"/>
  <c r="AG557" i="8"/>
  <c r="AC557" i="8"/>
  <c r="AE557" i="8"/>
  <c r="AK560" i="8"/>
  <c r="AJ560" i="8"/>
  <c r="AL560" i="8"/>
  <c r="AE563" i="8"/>
  <c r="AH563" i="8"/>
  <c r="Z563" i="8"/>
  <c r="AE565" i="8"/>
  <c r="AC565" i="8"/>
  <c r="AG566" i="8"/>
  <c r="AC566" i="8"/>
  <c r="AE566" i="8"/>
  <c r="AC572" i="8"/>
  <c r="AG572" i="8"/>
  <c r="AL582" i="8"/>
  <c r="AJ582" i="8"/>
  <c r="AK582" i="8"/>
  <c r="AL591" i="8"/>
  <c r="AU589" i="8" s="1"/>
  <c r="AK591" i="8"/>
  <c r="AJ591" i="8"/>
  <c r="AL562" i="8"/>
  <c r="AK562" i="8"/>
  <c r="AT561" i="8" s="1"/>
  <c r="AV566" i="8"/>
  <c r="Z568" i="8"/>
  <c r="AH568" i="8"/>
  <c r="AL570" i="8"/>
  <c r="AK570" i="8"/>
  <c r="BI574" i="8"/>
  <c r="AX574" i="8"/>
  <c r="AV574" i="8" s="1"/>
  <c r="AX575" i="8"/>
  <c r="AV575" i="8" s="1"/>
  <c r="BI575" i="8"/>
  <c r="BC578" i="8"/>
  <c r="AV581" i="8"/>
  <c r="BC581" i="8"/>
  <c r="AF581" i="8"/>
  <c r="AB581" i="8"/>
  <c r="AG582" i="8"/>
  <c r="AC582" i="8"/>
  <c r="AE583" i="8"/>
  <c r="AC583" i="8"/>
  <c r="AE584" i="8"/>
  <c r="AG584" i="8"/>
  <c r="AV585" i="8"/>
  <c r="AD587" i="8"/>
  <c r="AF587" i="8"/>
  <c r="AG591" i="8"/>
  <c r="AC591" i="8"/>
  <c r="AF591" i="8"/>
  <c r="AB591" i="8"/>
  <c r="AD591" i="8"/>
  <c r="AL557" i="8"/>
  <c r="AK557" i="8"/>
  <c r="AJ562" i="8"/>
  <c r="AK569" i="8"/>
  <c r="AJ569" i="8"/>
  <c r="AJ570" i="8"/>
  <c r="AE571" i="8"/>
  <c r="AG571" i="8"/>
  <c r="AK572" i="8"/>
  <c r="AJ572" i="8"/>
  <c r="AH580" i="8"/>
  <c r="AL581" i="8"/>
  <c r="AE582" i="8"/>
  <c r="AV582" i="8"/>
  <c r="BC583" i="8"/>
  <c r="AX587" i="8"/>
  <c r="BC587" i="8" s="1"/>
  <c r="BI587" i="8"/>
  <c r="BH590" i="8"/>
  <c r="AW590" i="8"/>
  <c r="AE591" i="8"/>
  <c r="AX591" i="8"/>
  <c r="BC591" i="8" s="1"/>
  <c r="AL571" i="8"/>
  <c r="AK574" i="8"/>
  <c r="AL577" i="8"/>
  <c r="AF577" i="8"/>
  <c r="AB577" i="8"/>
  <c r="AG578" i="8"/>
  <c r="AC578" i="8"/>
  <c r="AL584" i="8"/>
  <c r="AW584" i="8"/>
  <c r="AJ586" i="8"/>
  <c r="AK590" i="8"/>
  <c r="AT589" i="8" s="1"/>
  <c r="AJ590" i="8"/>
  <c r="AS589" i="8" s="1"/>
  <c r="I573" i="8"/>
  <c r="AL580" i="8"/>
  <c r="AK586" i="8"/>
  <c r="I589" i="8"/>
  <c r="I29" i="7"/>
  <c r="C14" i="5" s="1"/>
  <c r="H208" i="6"/>
  <c r="I195" i="6"/>
  <c r="J195" i="6" s="1"/>
  <c r="J208" i="6" s="1"/>
  <c r="BW652" i="4"/>
  <c r="AK652" i="4"/>
  <c r="AJ652" i="4"/>
  <c r="AH652" i="4"/>
  <c r="AG652" i="4"/>
  <c r="AF652" i="4"/>
  <c r="AC652" i="4"/>
  <c r="AB652" i="4"/>
  <c r="Z652" i="4"/>
  <c r="H652" i="4"/>
  <c r="BD652" i="4" s="1"/>
  <c r="G652" i="4"/>
  <c r="BW651" i="4"/>
  <c r="AK651" i="4"/>
  <c r="AT650" i="4" s="1"/>
  <c r="AJ651" i="4"/>
  <c r="AH651" i="4"/>
  <c r="AG651" i="4"/>
  <c r="AF651" i="4"/>
  <c r="AC651" i="4"/>
  <c r="AB651" i="4"/>
  <c r="Z651" i="4"/>
  <c r="H651" i="4"/>
  <c r="BD651" i="4" s="1"/>
  <c r="G651" i="4"/>
  <c r="BJ651" i="4" s="1"/>
  <c r="BW649" i="4"/>
  <c r="AK649" i="4"/>
  <c r="AJ649" i="4"/>
  <c r="AH649" i="4"/>
  <c r="AG649" i="4"/>
  <c r="AF649" i="4"/>
  <c r="AC649" i="4"/>
  <c r="AB649" i="4"/>
  <c r="Z649" i="4"/>
  <c r="H649" i="4"/>
  <c r="AP649" i="4" s="1"/>
  <c r="G649" i="4"/>
  <c r="O649" i="4" s="1"/>
  <c r="BF649" i="4" s="1"/>
  <c r="BW648" i="4"/>
  <c r="AK648" i="4"/>
  <c r="AJ648" i="4"/>
  <c r="AH648" i="4"/>
  <c r="AG648" i="4"/>
  <c r="AF648" i="4"/>
  <c r="AC648" i="4"/>
  <c r="AB648" i="4"/>
  <c r="Z648" i="4"/>
  <c r="H648" i="4"/>
  <c r="G648" i="4"/>
  <c r="BW647" i="4"/>
  <c r="AK647" i="4"/>
  <c r="AJ647" i="4"/>
  <c r="AH647" i="4"/>
  <c r="AG647" i="4"/>
  <c r="AF647" i="4"/>
  <c r="AC647" i="4"/>
  <c r="AB647" i="4"/>
  <c r="Z647" i="4"/>
  <c r="H647" i="4"/>
  <c r="G647" i="4"/>
  <c r="BW646" i="4"/>
  <c r="AK646" i="4"/>
  <c r="AJ646" i="4"/>
  <c r="AH646" i="4"/>
  <c r="AG646" i="4"/>
  <c r="AF646" i="4"/>
  <c r="AC646" i="4"/>
  <c r="AB646" i="4"/>
  <c r="Z646" i="4"/>
  <c r="H646" i="4"/>
  <c r="BD646" i="4" s="1"/>
  <c r="G646" i="4"/>
  <c r="BW645" i="4"/>
  <c r="AK645" i="4"/>
  <c r="AJ645" i="4"/>
  <c r="AH645" i="4"/>
  <c r="AG645" i="4"/>
  <c r="AF645" i="4"/>
  <c r="AC645" i="4"/>
  <c r="AB645" i="4"/>
  <c r="Z645" i="4"/>
  <c r="H645" i="4"/>
  <c r="AO645" i="4" s="1"/>
  <c r="G645" i="4"/>
  <c r="BW644" i="4"/>
  <c r="AK644" i="4"/>
  <c r="AJ644" i="4"/>
  <c r="AH644" i="4"/>
  <c r="AG644" i="4"/>
  <c r="AF644" i="4"/>
  <c r="AC644" i="4"/>
  <c r="AB644" i="4"/>
  <c r="Z644" i="4"/>
  <c r="O644" i="4"/>
  <c r="BF644" i="4" s="1"/>
  <c r="H644" i="4"/>
  <c r="G644" i="4"/>
  <c r="BW643" i="4"/>
  <c r="AK643" i="4"/>
  <c r="AJ643" i="4"/>
  <c r="AH643" i="4"/>
  <c r="AG643" i="4"/>
  <c r="AF643" i="4"/>
  <c r="AC643" i="4"/>
  <c r="AB643" i="4"/>
  <c r="Z643" i="4"/>
  <c r="O643" i="4"/>
  <c r="BF643" i="4" s="1"/>
  <c r="H643" i="4"/>
  <c r="G643" i="4"/>
  <c r="BW642" i="4"/>
  <c r="AK642" i="4"/>
  <c r="AJ642" i="4"/>
  <c r="AH642" i="4"/>
  <c r="AG642" i="4"/>
  <c r="AF642" i="4"/>
  <c r="AC642" i="4"/>
  <c r="AB642" i="4"/>
  <c r="Z642" i="4"/>
  <c r="O642" i="4"/>
  <c r="BF642" i="4" s="1"/>
  <c r="H642" i="4"/>
  <c r="AP642" i="4" s="1"/>
  <c r="G642" i="4"/>
  <c r="BW641" i="4"/>
  <c r="AK641" i="4"/>
  <c r="AJ641" i="4"/>
  <c r="AH641" i="4"/>
  <c r="AG641" i="4"/>
  <c r="AF641" i="4"/>
  <c r="AC641" i="4"/>
  <c r="AB641" i="4"/>
  <c r="Z641" i="4"/>
  <c r="O641" i="4"/>
  <c r="BF641" i="4" s="1"/>
  <c r="H641" i="4"/>
  <c r="AP641" i="4" s="1"/>
  <c r="G641" i="4"/>
  <c r="BW639" i="4"/>
  <c r="AP639" i="4"/>
  <c r="AK639" i="4"/>
  <c r="AJ639" i="4"/>
  <c r="AH639" i="4"/>
  <c r="AG639" i="4"/>
  <c r="AF639" i="4"/>
  <c r="AC639" i="4"/>
  <c r="AB639" i="4"/>
  <c r="Z639" i="4"/>
  <c r="H639" i="4"/>
  <c r="BD639" i="4" s="1"/>
  <c r="G639" i="4"/>
  <c r="BW638" i="4"/>
  <c r="AK638" i="4"/>
  <c r="AJ638" i="4"/>
  <c r="AH638" i="4"/>
  <c r="AG638" i="4"/>
  <c r="AF638" i="4"/>
  <c r="AC638" i="4"/>
  <c r="AB638" i="4"/>
  <c r="Z638" i="4"/>
  <c r="H638" i="4"/>
  <c r="BD638" i="4" s="1"/>
  <c r="G638" i="4"/>
  <c r="BW637" i="4"/>
  <c r="AK637" i="4"/>
  <c r="AJ637" i="4"/>
  <c r="AH637" i="4"/>
  <c r="AG637" i="4"/>
  <c r="AF637" i="4"/>
  <c r="AC637" i="4"/>
  <c r="AB637" i="4"/>
  <c r="Z637" i="4"/>
  <c r="H637" i="4"/>
  <c r="G637" i="4"/>
  <c r="BW635" i="4"/>
  <c r="AK635" i="4"/>
  <c r="AJ635" i="4"/>
  <c r="AH635" i="4"/>
  <c r="AG635" i="4"/>
  <c r="AF635" i="4"/>
  <c r="AC635" i="4"/>
  <c r="AB635" i="4"/>
  <c r="Z635" i="4"/>
  <c r="H635" i="4"/>
  <c r="G635" i="4"/>
  <c r="BW634" i="4"/>
  <c r="AK634" i="4"/>
  <c r="AJ634" i="4"/>
  <c r="AH634" i="4"/>
  <c r="AG634" i="4"/>
  <c r="AF634" i="4"/>
  <c r="AC634" i="4"/>
  <c r="AB634" i="4"/>
  <c r="Z634" i="4"/>
  <c r="H634" i="4"/>
  <c r="G634" i="4"/>
  <c r="O634" i="4" s="1"/>
  <c r="BF634" i="4" s="1"/>
  <c r="BW633" i="4"/>
  <c r="AK633" i="4"/>
  <c r="AJ633" i="4"/>
  <c r="AH633" i="4"/>
  <c r="AG633" i="4"/>
  <c r="AF633" i="4"/>
  <c r="AC633" i="4"/>
  <c r="AB633" i="4"/>
  <c r="Z633" i="4"/>
  <c r="H633" i="4"/>
  <c r="G633" i="4"/>
  <c r="O633" i="4" s="1"/>
  <c r="BW630" i="4"/>
  <c r="AK630" i="4"/>
  <c r="AJ630" i="4"/>
  <c r="AH630" i="4"/>
  <c r="AG630" i="4"/>
  <c r="AF630" i="4"/>
  <c r="AC630" i="4"/>
  <c r="AB630" i="4"/>
  <c r="Z630" i="4"/>
  <c r="H630" i="4"/>
  <c r="BD630" i="4" s="1"/>
  <c r="G630" i="4"/>
  <c r="BW628" i="4"/>
  <c r="AK628" i="4"/>
  <c r="AJ628" i="4"/>
  <c r="AH628" i="4"/>
  <c r="AG628" i="4"/>
  <c r="AF628" i="4"/>
  <c r="AC628" i="4"/>
  <c r="AB628" i="4"/>
  <c r="Z628" i="4"/>
  <c r="H628" i="4"/>
  <c r="AO628" i="4" s="1"/>
  <c r="AW628" i="4" s="1"/>
  <c r="G628" i="4"/>
  <c r="BW626" i="4"/>
  <c r="AK626" i="4"/>
  <c r="AJ626" i="4"/>
  <c r="AH626" i="4"/>
  <c r="AG626" i="4"/>
  <c r="AF626" i="4"/>
  <c r="AC626" i="4"/>
  <c r="AB626" i="4"/>
  <c r="Z626" i="4"/>
  <c r="H626" i="4"/>
  <c r="G626" i="4"/>
  <c r="BW625" i="4"/>
  <c r="AK625" i="4"/>
  <c r="AJ625" i="4"/>
  <c r="AH625" i="4"/>
  <c r="AG625" i="4"/>
  <c r="AF625" i="4"/>
  <c r="AC625" i="4"/>
  <c r="AB625" i="4"/>
  <c r="Z625" i="4"/>
  <c r="O625" i="4"/>
  <c r="BF625" i="4" s="1"/>
  <c r="H625" i="4"/>
  <c r="G625" i="4"/>
  <c r="BW623" i="4"/>
  <c r="AK623" i="4"/>
  <c r="AJ623" i="4"/>
  <c r="AH623" i="4"/>
  <c r="AG623" i="4"/>
  <c r="AF623" i="4"/>
  <c r="AC623" i="4"/>
  <c r="AB623" i="4"/>
  <c r="Z623" i="4"/>
  <c r="H623" i="4"/>
  <c r="AP623" i="4" s="1"/>
  <c r="G623" i="4"/>
  <c r="BW621" i="4"/>
  <c r="AK621" i="4"/>
  <c r="AJ621" i="4"/>
  <c r="AH621" i="4"/>
  <c r="AG621" i="4"/>
  <c r="AF621" i="4"/>
  <c r="AC621" i="4"/>
  <c r="AB621" i="4"/>
  <c r="Z621" i="4"/>
  <c r="H621" i="4"/>
  <c r="AP621" i="4" s="1"/>
  <c r="G621" i="4"/>
  <c r="O621" i="4" s="1"/>
  <c r="BF621" i="4" s="1"/>
  <c r="BW620" i="4"/>
  <c r="AK620" i="4"/>
  <c r="AJ620" i="4"/>
  <c r="AH620" i="4"/>
  <c r="AG620" i="4"/>
  <c r="AF620" i="4"/>
  <c r="AC620" i="4"/>
  <c r="AB620" i="4"/>
  <c r="Z620" i="4"/>
  <c r="H620" i="4"/>
  <c r="BD620" i="4" s="1"/>
  <c r="G620" i="4"/>
  <c r="BW619" i="4"/>
  <c r="AK619" i="4"/>
  <c r="AJ619" i="4"/>
  <c r="AH619" i="4"/>
  <c r="AG619" i="4"/>
  <c r="AF619" i="4"/>
  <c r="AC619" i="4"/>
  <c r="AB619" i="4"/>
  <c r="Z619" i="4"/>
  <c r="H619" i="4"/>
  <c r="BD619" i="4" s="1"/>
  <c r="G619" i="4"/>
  <c r="BW618" i="4"/>
  <c r="AK618" i="4"/>
  <c r="AJ618" i="4"/>
  <c r="AH618" i="4"/>
  <c r="AG618" i="4"/>
  <c r="AF618" i="4"/>
  <c r="AC618" i="4"/>
  <c r="AB618" i="4"/>
  <c r="Z618" i="4"/>
  <c r="H618" i="4"/>
  <c r="BD618" i="4" s="1"/>
  <c r="G618" i="4"/>
  <c r="BW617" i="4"/>
  <c r="AK617" i="4"/>
  <c r="AJ617" i="4"/>
  <c r="AH617" i="4"/>
  <c r="AG617" i="4"/>
  <c r="AF617" i="4"/>
  <c r="AC617" i="4"/>
  <c r="AB617" i="4"/>
  <c r="Z617" i="4"/>
  <c r="H617" i="4"/>
  <c r="AO617" i="4" s="1"/>
  <c r="G617" i="4"/>
  <c r="BW616" i="4"/>
  <c r="AK616" i="4"/>
  <c r="AJ616" i="4"/>
  <c r="AH616" i="4"/>
  <c r="AG616" i="4"/>
  <c r="AF616" i="4"/>
  <c r="AC616" i="4"/>
  <c r="AB616" i="4"/>
  <c r="Z616" i="4"/>
  <c r="H616" i="4"/>
  <c r="AO616" i="4" s="1"/>
  <c r="G616" i="4"/>
  <c r="O616" i="4" s="1"/>
  <c r="BF616" i="4" s="1"/>
  <c r="BW614" i="4"/>
  <c r="AK614" i="4"/>
  <c r="AJ614" i="4"/>
  <c r="AH614" i="4"/>
  <c r="AG614" i="4"/>
  <c r="AF614" i="4"/>
  <c r="AC614" i="4"/>
  <c r="AB614" i="4"/>
  <c r="Z614" i="4"/>
  <c r="H614" i="4"/>
  <c r="BD614" i="4" s="1"/>
  <c r="G614" i="4"/>
  <c r="BW612" i="4"/>
  <c r="AK612" i="4"/>
  <c r="AJ612" i="4"/>
  <c r="AH612" i="4"/>
  <c r="AG612" i="4"/>
  <c r="AF612" i="4"/>
  <c r="AC612" i="4"/>
  <c r="AB612" i="4"/>
  <c r="Z612" i="4"/>
  <c r="H612" i="4"/>
  <c r="BD612" i="4" s="1"/>
  <c r="G612" i="4"/>
  <c r="BW611" i="4"/>
  <c r="AP611" i="4"/>
  <c r="AK611" i="4"/>
  <c r="AJ611" i="4"/>
  <c r="AH611" i="4"/>
  <c r="AG611" i="4"/>
  <c r="AF611" i="4"/>
  <c r="AC611" i="4"/>
  <c r="AB611" i="4"/>
  <c r="Z611" i="4"/>
  <c r="H611" i="4"/>
  <c r="AO611" i="4" s="1"/>
  <c r="G611" i="4"/>
  <c r="BW610" i="4"/>
  <c r="AP610" i="4"/>
  <c r="K610" i="4" s="1"/>
  <c r="AK610" i="4"/>
  <c r="AJ610" i="4"/>
  <c r="AH610" i="4"/>
  <c r="AG610" i="4"/>
  <c r="AF610" i="4"/>
  <c r="AC610" i="4"/>
  <c r="AB610" i="4"/>
  <c r="Z610" i="4"/>
  <c r="H610" i="4"/>
  <c r="AO610" i="4" s="1"/>
  <c r="G610" i="4"/>
  <c r="O610" i="4" s="1"/>
  <c r="BF610" i="4" s="1"/>
  <c r="BW608" i="4"/>
  <c r="AK608" i="4"/>
  <c r="AJ608" i="4"/>
  <c r="AH608" i="4"/>
  <c r="AG608" i="4"/>
  <c r="AF608" i="4"/>
  <c r="AC608" i="4"/>
  <c r="AB608" i="4"/>
  <c r="Z608" i="4"/>
  <c r="H608" i="4"/>
  <c r="G608" i="4"/>
  <c r="O608" i="4" s="1"/>
  <c r="BF608" i="4" s="1"/>
  <c r="BW607" i="4"/>
  <c r="AK607" i="4"/>
  <c r="AJ607" i="4"/>
  <c r="AH607" i="4"/>
  <c r="AG607" i="4"/>
  <c r="AF607" i="4"/>
  <c r="AC607" i="4"/>
  <c r="AB607" i="4"/>
  <c r="Z607" i="4"/>
  <c r="H607" i="4"/>
  <c r="BD607" i="4" s="1"/>
  <c r="G607" i="4"/>
  <c r="O607" i="4" s="1"/>
  <c r="BF607" i="4" s="1"/>
  <c r="BW606" i="4"/>
  <c r="AK606" i="4"/>
  <c r="AJ606" i="4"/>
  <c r="AH606" i="4"/>
  <c r="AG606" i="4"/>
  <c r="AF606" i="4"/>
  <c r="AC606" i="4"/>
  <c r="AB606" i="4"/>
  <c r="Z606" i="4"/>
  <c r="H606" i="4"/>
  <c r="AP606" i="4" s="1"/>
  <c r="G606" i="4"/>
  <c r="BW604" i="4"/>
  <c r="AK604" i="4"/>
  <c r="AT603" i="4" s="1"/>
  <c r="AJ604" i="4"/>
  <c r="AS603" i="4" s="1"/>
  <c r="AH604" i="4"/>
  <c r="AG604" i="4"/>
  <c r="AF604" i="4"/>
  <c r="AC604" i="4"/>
  <c r="AB604" i="4"/>
  <c r="Z604" i="4"/>
  <c r="H604" i="4"/>
  <c r="AO604" i="4" s="1"/>
  <c r="BH604" i="4" s="1"/>
  <c r="AD604" i="4" s="1"/>
  <c r="G604" i="4"/>
  <c r="BW602" i="4"/>
  <c r="AK602" i="4"/>
  <c r="AJ602" i="4"/>
  <c r="AH602" i="4"/>
  <c r="AG602" i="4"/>
  <c r="AF602" i="4"/>
  <c r="AC602" i="4"/>
  <c r="AB602" i="4"/>
  <c r="Z602" i="4"/>
  <c r="H602" i="4"/>
  <c r="BD602" i="4" s="1"/>
  <c r="G602" i="4"/>
  <c r="BW601" i="4"/>
  <c r="AK601" i="4"/>
  <c r="AJ601" i="4"/>
  <c r="AH601" i="4"/>
  <c r="AG601" i="4"/>
  <c r="AF601" i="4"/>
  <c r="AC601" i="4"/>
  <c r="AB601" i="4"/>
  <c r="Z601" i="4"/>
  <c r="H601" i="4"/>
  <c r="BD601" i="4" s="1"/>
  <c r="G601" i="4"/>
  <c r="BW600" i="4"/>
  <c r="AK600" i="4"/>
  <c r="AJ600" i="4"/>
  <c r="AH600" i="4"/>
  <c r="AG600" i="4"/>
  <c r="AF600" i="4"/>
  <c r="AC600" i="4"/>
  <c r="AB600" i="4"/>
  <c r="Z600" i="4"/>
  <c r="H600" i="4"/>
  <c r="G600" i="4"/>
  <c r="BW599" i="4"/>
  <c r="AP599" i="4"/>
  <c r="AK599" i="4"/>
  <c r="AJ599" i="4"/>
  <c r="AH599" i="4"/>
  <c r="AG599" i="4"/>
  <c r="AF599" i="4"/>
  <c r="AC599" i="4"/>
  <c r="AB599" i="4"/>
  <c r="Z599" i="4"/>
  <c r="O599" i="4"/>
  <c r="BF599" i="4" s="1"/>
  <c r="H599" i="4"/>
  <c r="AO599" i="4" s="1"/>
  <c r="G599" i="4"/>
  <c r="BW598" i="4"/>
  <c r="AK598" i="4"/>
  <c r="AJ598" i="4"/>
  <c r="AH598" i="4"/>
  <c r="AG598" i="4"/>
  <c r="AF598" i="4"/>
  <c r="AC598" i="4"/>
  <c r="AB598" i="4"/>
  <c r="Z598" i="4"/>
  <c r="O598" i="4"/>
  <c r="BF598" i="4" s="1"/>
  <c r="H598" i="4"/>
  <c r="G598" i="4"/>
  <c r="BW597" i="4"/>
  <c r="AK597" i="4"/>
  <c r="AJ597" i="4"/>
  <c r="AH597" i="4"/>
  <c r="AG597" i="4"/>
  <c r="AF597" i="4"/>
  <c r="AC597" i="4"/>
  <c r="AB597" i="4"/>
  <c r="Z597" i="4"/>
  <c r="H597" i="4"/>
  <c r="BD597" i="4" s="1"/>
  <c r="G597" i="4"/>
  <c r="O597" i="4" s="1"/>
  <c r="BF597" i="4" s="1"/>
  <c r="BW596" i="4"/>
  <c r="AK596" i="4"/>
  <c r="AJ596" i="4"/>
  <c r="AH596" i="4"/>
  <c r="AG596" i="4"/>
  <c r="AF596" i="4"/>
  <c r="AC596" i="4"/>
  <c r="AB596" i="4"/>
  <c r="Z596" i="4"/>
  <c r="H596" i="4"/>
  <c r="G596" i="4"/>
  <c r="BW595" i="4"/>
  <c r="AO595" i="4"/>
  <c r="J595" i="4" s="1"/>
  <c r="AK595" i="4"/>
  <c r="AJ595" i="4"/>
  <c r="AH595" i="4"/>
  <c r="AG595" i="4"/>
  <c r="AF595" i="4"/>
  <c r="AC595" i="4"/>
  <c r="AB595" i="4"/>
  <c r="Z595" i="4"/>
  <c r="H595" i="4"/>
  <c r="BD595" i="4" s="1"/>
  <c r="G595" i="4"/>
  <c r="BW593" i="4"/>
  <c r="AK593" i="4"/>
  <c r="AJ593" i="4"/>
  <c r="AH593" i="4"/>
  <c r="AG593" i="4"/>
  <c r="AF593" i="4"/>
  <c r="AC593" i="4"/>
  <c r="AB593" i="4"/>
  <c r="Z593" i="4"/>
  <c r="H593" i="4"/>
  <c r="BD593" i="4" s="1"/>
  <c r="G593" i="4"/>
  <c r="BW591" i="4"/>
  <c r="AK591" i="4"/>
  <c r="AJ591" i="4"/>
  <c r="AH591" i="4"/>
  <c r="AG591" i="4"/>
  <c r="AF591" i="4"/>
  <c r="AC591" i="4"/>
  <c r="AB591" i="4"/>
  <c r="Z591" i="4"/>
  <c r="H591" i="4"/>
  <c r="BD591" i="4" s="1"/>
  <c r="G591" i="4"/>
  <c r="BW589" i="4"/>
  <c r="AK589" i="4"/>
  <c r="AJ589" i="4"/>
  <c r="AH589" i="4"/>
  <c r="AG589" i="4"/>
  <c r="AF589" i="4"/>
  <c r="AC589" i="4"/>
  <c r="AB589" i="4"/>
  <c r="Z589" i="4"/>
  <c r="H589" i="4"/>
  <c r="BD589" i="4" s="1"/>
  <c r="G589" i="4"/>
  <c r="BW588" i="4"/>
  <c r="AK588" i="4"/>
  <c r="AJ588" i="4"/>
  <c r="AH588" i="4"/>
  <c r="AG588" i="4"/>
  <c r="AF588" i="4"/>
  <c r="AC588" i="4"/>
  <c r="AB588" i="4"/>
  <c r="Z588" i="4"/>
  <c r="H588" i="4"/>
  <c r="G588" i="4"/>
  <c r="BW587" i="4"/>
  <c r="AK587" i="4"/>
  <c r="AJ587" i="4"/>
  <c r="AH587" i="4"/>
  <c r="AG587" i="4"/>
  <c r="AF587" i="4"/>
  <c r="AC587" i="4"/>
  <c r="AB587" i="4"/>
  <c r="Z587" i="4"/>
  <c r="H587" i="4"/>
  <c r="BD587" i="4" s="1"/>
  <c r="G587" i="4"/>
  <c r="O587" i="4" s="1"/>
  <c r="BF587" i="4" s="1"/>
  <c r="BW586" i="4"/>
  <c r="AK586" i="4"/>
  <c r="AJ586" i="4"/>
  <c r="AH586" i="4"/>
  <c r="AG586" i="4"/>
  <c r="AF586" i="4"/>
  <c r="AC586" i="4"/>
  <c r="AB586" i="4"/>
  <c r="Z586" i="4"/>
  <c r="H586" i="4"/>
  <c r="G586" i="4"/>
  <c r="O586" i="4" s="1"/>
  <c r="BF586" i="4" s="1"/>
  <c r="BW585" i="4"/>
  <c r="AK585" i="4"/>
  <c r="AJ585" i="4"/>
  <c r="AH585" i="4"/>
  <c r="AG585" i="4"/>
  <c r="AF585" i="4"/>
  <c r="AC585" i="4"/>
  <c r="AB585" i="4"/>
  <c r="Z585" i="4"/>
  <c r="H585" i="4"/>
  <c r="G585" i="4"/>
  <c r="BW584" i="4"/>
  <c r="AK584" i="4"/>
  <c r="AJ584" i="4"/>
  <c r="AH584" i="4"/>
  <c r="AG584" i="4"/>
  <c r="AF584" i="4"/>
  <c r="AC584" i="4"/>
  <c r="AB584" i="4"/>
  <c r="Z584" i="4"/>
  <c r="H584" i="4"/>
  <c r="G584" i="4"/>
  <c r="BW582" i="4"/>
  <c r="BD582" i="4"/>
  <c r="AK582" i="4"/>
  <c r="AT581" i="4" s="1"/>
  <c r="AJ582" i="4"/>
  <c r="AS581" i="4" s="1"/>
  <c r="AH582" i="4"/>
  <c r="AG582" i="4"/>
  <c r="AF582" i="4"/>
  <c r="AC582" i="4"/>
  <c r="AB582" i="4"/>
  <c r="Z582" i="4"/>
  <c r="H582" i="4"/>
  <c r="AP582" i="4" s="1"/>
  <c r="G582" i="4"/>
  <c r="O582" i="4" s="1"/>
  <c r="BW580" i="4"/>
  <c r="AK580" i="4"/>
  <c r="AJ580" i="4"/>
  <c r="AH580" i="4"/>
  <c r="AG580" i="4"/>
  <c r="AF580" i="4"/>
  <c r="AE580" i="4"/>
  <c r="AD580" i="4"/>
  <c r="AC580" i="4"/>
  <c r="AB580" i="4"/>
  <c r="H580" i="4"/>
  <c r="BD580" i="4" s="1"/>
  <c r="G580" i="4"/>
  <c r="BW579" i="4"/>
  <c r="AK579" i="4"/>
  <c r="AJ579" i="4"/>
  <c r="AH579" i="4"/>
  <c r="AG579" i="4"/>
  <c r="AF579" i="4"/>
  <c r="AE579" i="4"/>
  <c r="AD579" i="4"/>
  <c r="AC579" i="4"/>
  <c r="AB579" i="4"/>
  <c r="H579" i="4"/>
  <c r="G579" i="4"/>
  <c r="BW578" i="4"/>
  <c r="AK578" i="4"/>
  <c r="AJ578" i="4"/>
  <c r="AH578" i="4"/>
  <c r="AG578" i="4"/>
  <c r="AF578" i="4"/>
  <c r="AE578" i="4"/>
  <c r="AD578" i="4"/>
  <c r="Z578" i="4"/>
  <c r="H578" i="4"/>
  <c r="AO578" i="4" s="1"/>
  <c r="G578" i="4"/>
  <c r="O578" i="4" s="1"/>
  <c r="BF578" i="4" s="1"/>
  <c r="BW577" i="4"/>
  <c r="AK577" i="4"/>
  <c r="AJ577" i="4"/>
  <c r="AH577" i="4"/>
  <c r="AG577" i="4"/>
  <c r="AF577" i="4"/>
  <c r="AE577" i="4"/>
  <c r="AD577" i="4"/>
  <c r="Z577" i="4"/>
  <c r="H577" i="4"/>
  <c r="AO577" i="4" s="1"/>
  <c r="G577" i="4"/>
  <c r="O577" i="4" s="1"/>
  <c r="BF577" i="4" s="1"/>
  <c r="BW576" i="4"/>
  <c r="AK576" i="4"/>
  <c r="AJ576" i="4"/>
  <c r="AH576" i="4"/>
  <c r="AG576" i="4"/>
  <c r="AF576" i="4"/>
  <c r="AE576" i="4"/>
  <c r="AD576" i="4"/>
  <c r="Z576" i="4"/>
  <c r="H576" i="4"/>
  <c r="BD576" i="4" s="1"/>
  <c r="G576" i="4"/>
  <c r="O576" i="4" s="1"/>
  <c r="BF576" i="4" s="1"/>
  <c r="BW575" i="4"/>
  <c r="AK575" i="4"/>
  <c r="AJ575" i="4"/>
  <c r="AH575" i="4"/>
  <c r="AG575" i="4"/>
  <c r="AF575" i="4"/>
  <c r="AE575" i="4"/>
  <c r="AD575" i="4"/>
  <c r="Z575" i="4"/>
  <c r="H575" i="4"/>
  <c r="AP575" i="4" s="1"/>
  <c r="G575" i="4"/>
  <c r="O575" i="4" s="1"/>
  <c r="BF575" i="4" s="1"/>
  <c r="BW574" i="4"/>
  <c r="AK574" i="4"/>
  <c r="AJ574" i="4"/>
  <c r="AH574" i="4"/>
  <c r="AG574" i="4"/>
  <c r="AF574" i="4"/>
  <c r="AE574" i="4"/>
  <c r="AD574" i="4"/>
  <c r="Z574" i="4"/>
  <c r="H574" i="4"/>
  <c r="AP574" i="4" s="1"/>
  <c r="G574" i="4"/>
  <c r="BW573" i="4"/>
  <c r="AK573" i="4"/>
  <c r="AJ573" i="4"/>
  <c r="AH573" i="4"/>
  <c r="AG573" i="4"/>
  <c r="AF573" i="4"/>
  <c r="AE573" i="4"/>
  <c r="AD573" i="4"/>
  <c r="Z573" i="4"/>
  <c r="H573" i="4"/>
  <c r="BD573" i="4" s="1"/>
  <c r="G573" i="4"/>
  <c r="BW572" i="4"/>
  <c r="AK572" i="4"/>
  <c r="AJ572" i="4"/>
  <c r="AH572" i="4"/>
  <c r="AG572" i="4"/>
  <c r="AF572" i="4"/>
  <c r="AE572" i="4"/>
  <c r="AD572" i="4"/>
  <c r="Z572" i="4"/>
  <c r="H572" i="4"/>
  <c r="L572" i="4" s="1"/>
  <c r="G572" i="4"/>
  <c r="O572" i="4" s="1"/>
  <c r="BW569" i="4"/>
  <c r="AK569" i="4"/>
  <c r="AJ569" i="4"/>
  <c r="AH569" i="4"/>
  <c r="AG569" i="4"/>
  <c r="AF569" i="4"/>
  <c r="AE569" i="4"/>
  <c r="AD569" i="4"/>
  <c r="AC569" i="4"/>
  <c r="AB569" i="4"/>
  <c r="Z569" i="4"/>
  <c r="H569" i="4"/>
  <c r="BD569" i="4" s="1"/>
  <c r="G569" i="4"/>
  <c r="AT568" i="4"/>
  <c r="AS568" i="4"/>
  <c r="BW566" i="4"/>
  <c r="AK566" i="4"/>
  <c r="AJ566" i="4"/>
  <c r="AH566" i="4"/>
  <c r="AG566" i="4"/>
  <c r="AF566" i="4"/>
  <c r="AC566" i="4"/>
  <c r="AB566" i="4"/>
  <c r="Z566" i="4"/>
  <c r="H566" i="4"/>
  <c r="G566" i="4"/>
  <c r="O566" i="4" s="1"/>
  <c r="BF566" i="4" s="1"/>
  <c r="BW565" i="4"/>
  <c r="AK565" i="4"/>
  <c r="AT564" i="4" s="1"/>
  <c r="AJ565" i="4"/>
  <c r="AH565" i="4"/>
  <c r="AG565" i="4"/>
  <c r="AF565" i="4"/>
  <c r="AC565" i="4"/>
  <c r="AB565" i="4"/>
  <c r="Z565" i="4"/>
  <c r="O565" i="4"/>
  <c r="O564" i="4" s="1"/>
  <c r="H565" i="4"/>
  <c r="BD565" i="4" s="1"/>
  <c r="G565" i="4"/>
  <c r="BJ565" i="4" s="1"/>
  <c r="BW563" i="4"/>
  <c r="AK563" i="4"/>
  <c r="AJ563" i="4"/>
  <c r="AH563" i="4"/>
  <c r="AG563" i="4"/>
  <c r="AF563" i="4"/>
  <c r="AC563" i="4"/>
  <c r="AB563" i="4"/>
  <c r="Z563" i="4"/>
  <c r="H563" i="4"/>
  <c r="AP563" i="4" s="1"/>
  <c r="G563" i="4"/>
  <c r="BW562" i="4"/>
  <c r="AK562" i="4"/>
  <c r="AJ562" i="4"/>
  <c r="AH562" i="4"/>
  <c r="AG562" i="4"/>
  <c r="AF562" i="4"/>
  <c r="AC562" i="4"/>
  <c r="AB562" i="4"/>
  <c r="Z562" i="4"/>
  <c r="H562" i="4"/>
  <c r="AP562" i="4" s="1"/>
  <c r="G562" i="4"/>
  <c r="O562" i="4" s="1"/>
  <c r="BF562" i="4" s="1"/>
  <c r="BW561" i="4"/>
  <c r="AK561" i="4"/>
  <c r="AJ561" i="4"/>
  <c r="AH561" i="4"/>
  <c r="AG561" i="4"/>
  <c r="AF561" i="4"/>
  <c r="AC561" i="4"/>
  <c r="AB561" i="4"/>
  <c r="Z561" i="4"/>
  <c r="H561" i="4"/>
  <c r="AP561" i="4" s="1"/>
  <c r="G561" i="4"/>
  <c r="O561" i="4" s="1"/>
  <c r="BF561" i="4" s="1"/>
  <c r="BW560" i="4"/>
  <c r="AK560" i="4"/>
  <c r="AJ560" i="4"/>
  <c r="AH560" i="4"/>
  <c r="AG560" i="4"/>
  <c r="AF560" i="4"/>
  <c r="AC560" i="4"/>
  <c r="AB560" i="4"/>
  <c r="Z560" i="4"/>
  <c r="H560" i="4"/>
  <c r="AP560" i="4" s="1"/>
  <c r="BI560" i="4" s="1"/>
  <c r="AE560" i="4" s="1"/>
  <c r="G560" i="4"/>
  <c r="BW559" i="4"/>
  <c r="AK559" i="4"/>
  <c r="AJ559" i="4"/>
  <c r="AH559" i="4"/>
  <c r="AG559" i="4"/>
  <c r="AF559" i="4"/>
  <c r="AC559" i="4"/>
  <c r="AB559" i="4"/>
  <c r="Z559" i="4"/>
  <c r="H559" i="4"/>
  <c r="AO559" i="4" s="1"/>
  <c r="G559" i="4"/>
  <c r="BW558" i="4"/>
  <c r="AK558" i="4"/>
  <c r="AJ558" i="4"/>
  <c r="AH558" i="4"/>
  <c r="AG558" i="4"/>
  <c r="AF558" i="4"/>
  <c r="AC558" i="4"/>
  <c r="AB558" i="4"/>
  <c r="Z558" i="4"/>
  <c r="H558" i="4"/>
  <c r="BD558" i="4" s="1"/>
  <c r="G558" i="4"/>
  <c r="BW557" i="4"/>
  <c r="AK557" i="4"/>
  <c r="AJ557" i="4"/>
  <c r="AH557" i="4"/>
  <c r="AG557" i="4"/>
  <c r="AF557" i="4"/>
  <c r="AC557" i="4"/>
  <c r="AB557" i="4"/>
  <c r="Z557" i="4"/>
  <c r="H557" i="4"/>
  <c r="BD557" i="4" s="1"/>
  <c r="G557" i="4"/>
  <c r="BJ557" i="4" s="1"/>
  <c r="BW556" i="4"/>
  <c r="AK556" i="4"/>
  <c r="AJ556" i="4"/>
  <c r="AH556" i="4"/>
  <c r="AG556" i="4"/>
  <c r="AF556" i="4"/>
  <c r="AC556" i="4"/>
  <c r="AB556" i="4"/>
  <c r="Z556" i="4"/>
  <c r="H556" i="4"/>
  <c r="BD556" i="4" s="1"/>
  <c r="G556" i="4"/>
  <c r="BW555" i="4"/>
  <c r="AK555" i="4"/>
  <c r="AJ555" i="4"/>
  <c r="AH555" i="4"/>
  <c r="AG555" i="4"/>
  <c r="AF555" i="4"/>
  <c r="AC555" i="4"/>
  <c r="AB555" i="4"/>
  <c r="Z555" i="4"/>
  <c r="H555" i="4"/>
  <c r="AP555" i="4" s="1"/>
  <c r="G555" i="4"/>
  <c r="BJ555" i="4" s="1"/>
  <c r="BW554" i="4"/>
  <c r="AK554" i="4"/>
  <c r="AJ554" i="4"/>
  <c r="AH554" i="4"/>
  <c r="AG554" i="4"/>
  <c r="AF554" i="4"/>
  <c r="AC554" i="4"/>
  <c r="AB554" i="4"/>
  <c r="Z554" i="4"/>
  <c r="H554" i="4"/>
  <c r="AP554" i="4" s="1"/>
  <c r="BI554" i="4" s="1"/>
  <c r="AE554" i="4" s="1"/>
  <c r="G554" i="4"/>
  <c r="O554" i="4" s="1"/>
  <c r="BF554" i="4" s="1"/>
  <c r="BW553" i="4"/>
  <c r="AK553" i="4"/>
  <c r="AJ553" i="4"/>
  <c r="AH553" i="4"/>
  <c r="AG553" i="4"/>
  <c r="AF553" i="4"/>
  <c r="AC553" i="4"/>
  <c r="AB553" i="4"/>
  <c r="Z553" i="4"/>
  <c r="H553" i="4"/>
  <c r="AP553" i="4" s="1"/>
  <c r="G553" i="4"/>
  <c r="O553" i="4" s="1"/>
  <c r="BF553" i="4" s="1"/>
  <c r="BW552" i="4"/>
  <c r="AK552" i="4"/>
  <c r="AJ552" i="4"/>
  <c r="AH552" i="4"/>
  <c r="AG552" i="4"/>
  <c r="AF552" i="4"/>
  <c r="AC552" i="4"/>
  <c r="AB552" i="4"/>
  <c r="Z552" i="4"/>
  <c r="H552" i="4"/>
  <c r="AO552" i="4" s="1"/>
  <c r="G552" i="4"/>
  <c r="O552" i="4" s="1"/>
  <c r="BF552" i="4" s="1"/>
  <c r="BW551" i="4"/>
  <c r="AK551" i="4"/>
  <c r="AJ551" i="4"/>
  <c r="AH551" i="4"/>
  <c r="AG551" i="4"/>
  <c r="AF551" i="4"/>
  <c r="AC551" i="4"/>
  <c r="AB551" i="4"/>
  <c r="Z551" i="4"/>
  <c r="H551" i="4"/>
  <c r="AP551" i="4" s="1"/>
  <c r="G551" i="4"/>
  <c r="BW550" i="4"/>
  <c r="AK550" i="4"/>
  <c r="AJ550" i="4"/>
  <c r="AH550" i="4"/>
  <c r="AG550" i="4"/>
  <c r="AF550" i="4"/>
  <c r="AC550" i="4"/>
  <c r="AB550" i="4"/>
  <c r="Z550" i="4"/>
  <c r="H550" i="4"/>
  <c r="BD550" i="4" s="1"/>
  <c r="G550" i="4"/>
  <c r="BW549" i="4"/>
  <c r="AK549" i="4"/>
  <c r="AJ549" i="4"/>
  <c r="AH549" i="4"/>
  <c r="AG549" i="4"/>
  <c r="AF549" i="4"/>
  <c r="AC549" i="4"/>
  <c r="AB549" i="4"/>
  <c r="Z549" i="4"/>
  <c r="H549" i="4"/>
  <c r="BD549" i="4" s="1"/>
  <c r="G549" i="4"/>
  <c r="BW547" i="4"/>
  <c r="AK547" i="4"/>
  <c r="AJ547" i="4"/>
  <c r="AH547" i="4"/>
  <c r="AG547" i="4"/>
  <c r="AF547" i="4"/>
  <c r="AC547" i="4"/>
  <c r="AB547" i="4"/>
  <c r="Z547" i="4"/>
  <c r="H547" i="4"/>
  <c r="G547" i="4"/>
  <c r="O547" i="4" s="1"/>
  <c r="BF547" i="4" s="1"/>
  <c r="BW546" i="4"/>
  <c r="AK546" i="4"/>
  <c r="AJ546" i="4"/>
  <c r="AH546" i="4"/>
  <c r="AG546" i="4"/>
  <c r="AF546" i="4"/>
  <c r="AC546" i="4"/>
  <c r="AB546" i="4"/>
  <c r="Z546" i="4"/>
  <c r="H546" i="4"/>
  <c r="AP546" i="4" s="1"/>
  <c r="G546" i="4"/>
  <c r="BW545" i="4"/>
  <c r="AK545" i="4"/>
  <c r="AJ545" i="4"/>
  <c r="AH545" i="4"/>
  <c r="AG545" i="4"/>
  <c r="AF545" i="4"/>
  <c r="AC545" i="4"/>
  <c r="AB545" i="4"/>
  <c r="Z545" i="4"/>
  <c r="H545" i="4"/>
  <c r="BD545" i="4" s="1"/>
  <c r="G545" i="4"/>
  <c r="BW544" i="4"/>
  <c r="AK544" i="4"/>
  <c r="AJ544" i="4"/>
  <c r="AH544" i="4"/>
  <c r="AG544" i="4"/>
  <c r="AF544" i="4"/>
  <c r="AC544" i="4"/>
  <c r="AB544" i="4"/>
  <c r="Z544" i="4"/>
  <c r="H544" i="4"/>
  <c r="BD544" i="4" s="1"/>
  <c r="G544" i="4"/>
  <c r="BW543" i="4"/>
  <c r="AK543" i="4"/>
  <c r="AJ543" i="4"/>
  <c r="AH543" i="4"/>
  <c r="AG543" i="4"/>
  <c r="AF543" i="4"/>
  <c r="AC543" i="4"/>
  <c r="AB543" i="4"/>
  <c r="Z543" i="4"/>
  <c r="H543" i="4"/>
  <c r="AO543" i="4" s="1"/>
  <c r="G543" i="4"/>
  <c r="BW542" i="4"/>
  <c r="AK542" i="4"/>
  <c r="AJ542" i="4"/>
  <c r="AH542" i="4"/>
  <c r="AG542" i="4"/>
  <c r="AF542" i="4"/>
  <c r="AC542" i="4"/>
  <c r="AB542" i="4"/>
  <c r="Z542" i="4"/>
  <c r="H542" i="4"/>
  <c r="G542" i="4"/>
  <c r="BW541" i="4"/>
  <c r="AK541" i="4"/>
  <c r="AJ541" i="4"/>
  <c r="AH541" i="4"/>
  <c r="AG541" i="4"/>
  <c r="AF541" i="4"/>
  <c r="AC541" i="4"/>
  <c r="AB541" i="4"/>
  <c r="Z541" i="4"/>
  <c r="H541" i="4"/>
  <c r="AP541" i="4" s="1"/>
  <c r="G541" i="4"/>
  <c r="BW540" i="4"/>
  <c r="AK540" i="4"/>
  <c r="AJ540" i="4"/>
  <c r="AH540" i="4"/>
  <c r="AG540" i="4"/>
  <c r="AF540" i="4"/>
  <c r="AC540" i="4"/>
  <c r="AB540" i="4"/>
  <c r="Z540" i="4"/>
  <c r="H540" i="4"/>
  <c r="G540" i="4"/>
  <c r="BW539" i="4"/>
  <c r="AK539" i="4"/>
  <c r="AJ539" i="4"/>
  <c r="AH539" i="4"/>
  <c r="AG539" i="4"/>
  <c r="AF539" i="4"/>
  <c r="AC539" i="4"/>
  <c r="AB539" i="4"/>
  <c r="Z539" i="4"/>
  <c r="H539" i="4"/>
  <c r="AP539" i="4" s="1"/>
  <c r="G539" i="4"/>
  <c r="O539" i="4" s="1"/>
  <c r="BF539" i="4" s="1"/>
  <c r="BW538" i="4"/>
  <c r="AK538" i="4"/>
  <c r="AJ538" i="4"/>
  <c r="AH538" i="4"/>
  <c r="AG538" i="4"/>
  <c r="AF538" i="4"/>
  <c r="AC538" i="4"/>
  <c r="AB538" i="4"/>
  <c r="Z538" i="4"/>
  <c r="H538" i="4"/>
  <c r="L538" i="4" s="1"/>
  <c r="G538" i="4"/>
  <c r="O538" i="4" s="1"/>
  <c r="BF538" i="4" s="1"/>
  <c r="BW537" i="4"/>
  <c r="AK537" i="4"/>
  <c r="AJ537" i="4"/>
  <c r="AH537" i="4"/>
  <c r="AG537" i="4"/>
  <c r="AF537" i="4"/>
  <c r="AC537" i="4"/>
  <c r="AB537" i="4"/>
  <c r="Z537" i="4"/>
  <c r="H537" i="4"/>
  <c r="AO537" i="4" s="1"/>
  <c r="G537" i="4"/>
  <c r="BW535" i="4"/>
  <c r="AK535" i="4"/>
  <c r="AJ535" i="4"/>
  <c r="AH535" i="4"/>
  <c r="AG535" i="4"/>
  <c r="AF535" i="4"/>
  <c r="AC535" i="4"/>
  <c r="AB535" i="4"/>
  <c r="Z535" i="4"/>
  <c r="H535" i="4"/>
  <c r="AP535" i="4" s="1"/>
  <c r="G535" i="4"/>
  <c r="O535" i="4" s="1"/>
  <c r="BF535" i="4" s="1"/>
  <c r="BW534" i="4"/>
  <c r="AK534" i="4"/>
  <c r="AJ534" i="4"/>
  <c r="AH534" i="4"/>
  <c r="AG534" i="4"/>
  <c r="AF534" i="4"/>
  <c r="AC534" i="4"/>
  <c r="AB534" i="4"/>
  <c r="Z534" i="4"/>
  <c r="H534" i="4"/>
  <c r="BD534" i="4" s="1"/>
  <c r="G534" i="4"/>
  <c r="O534" i="4" s="1"/>
  <c r="BF534" i="4" s="1"/>
  <c r="BW533" i="4"/>
  <c r="AK533" i="4"/>
  <c r="AJ533" i="4"/>
  <c r="AH533" i="4"/>
  <c r="AG533" i="4"/>
  <c r="AF533" i="4"/>
  <c r="AC533" i="4"/>
  <c r="AB533" i="4"/>
  <c r="Z533" i="4"/>
  <c r="H533" i="4"/>
  <c r="AP533" i="4" s="1"/>
  <c r="G533" i="4"/>
  <c r="BW532" i="4"/>
  <c r="AK532" i="4"/>
  <c r="AJ532" i="4"/>
  <c r="AH532" i="4"/>
  <c r="AG532" i="4"/>
  <c r="AF532" i="4"/>
  <c r="AC532" i="4"/>
  <c r="AB532" i="4"/>
  <c r="Z532" i="4"/>
  <c r="H532" i="4"/>
  <c r="AO532" i="4" s="1"/>
  <c r="G532" i="4"/>
  <c r="BW531" i="4"/>
  <c r="AK531" i="4"/>
  <c r="AJ531" i="4"/>
  <c r="AH531" i="4"/>
  <c r="AG531" i="4"/>
  <c r="AF531" i="4"/>
  <c r="AC531" i="4"/>
  <c r="AB531" i="4"/>
  <c r="Z531" i="4"/>
  <c r="H531" i="4"/>
  <c r="BD531" i="4" s="1"/>
  <c r="G531" i="4"/>
  <c r="BW530" i="4"/>
  <c r="AK530" i="4"/>
  <c r="AJ530" i="4"/>
  <c r="AH530" i="4"/>
  <c r="AG530" i="4"/>
  <c r="AF530" i="4"/>
  <c r="AC530" i="4"/>
  <c r="AB530" i="4"/>
  <c r="Z530" i="4"/>
  <c r="H530" i="4"/>
  <c r="BD530" i="4" s="1"/>
  <c r="G530" i="4"/>
  <c r="BW529" i="4"/>
  <c r="AK529" i="4"/>
  <c r="AJ529" i="4"/>
  <c r="AH529" i="4"/>
  <c r="AG529" i="4"/>
  <c r="AF529" i="4"/>
  <c r="AC529" i="4"/>
  <c r="AB529" i="4"/>
  <c r="Z529" i="4"/>
  <c r="H529" i="4"/>
  <c r="BD529" i="4" s="1"/>
  <c r="G529" i="4"/>
  <c r="BW527" i="4"/>
  <c r="AK527" i="4"/>
  <c r="AT526" i="4" s="1"/>
  <c r="AJ527" i="4"/>
  <c r="AS526" i="4" s="1"/>
  <c r="AH527" i="4"/>
  <c r="AG527" i="4"/>
  <c r="AF527" i="4"/>
  <c r="AC527" i="4"/>
  <c r="AB527" i="4"/>
  <c r="Z527" i="4"/>
  <c r="H527" i="4"/>
  <c r="BD527" i="4" s="1"/>
  <c r="G527" i="4"/>
  <c r="BW525" i="4"/>
  <c r="AK525" i="4"/>
  <c r="AJ525" i="4"/>
  <c r="AH525" i="4"/>
  <c r="AG525" i="4"/>
  <c r="AF525" i="4"/>
  <c r="AC525" i="4"/>
  <c r="AB525" i="4"/>
  <c r="Z525" i="4"/>
  <c r="H525" i="4"/>
  <c r="AP525" i="4" s="1"/>
  <c r="G525" i="4"/>
  <c r="O525" i="4" s="1"/>
  <c r="BF525" i="4" s="1"/>
  <c r="BW524" i="4"/>
  <c r="AK524" i="4"/>
  <c r="AJ524" i="4"/>
  <c r="AH524" i="4"/>
  <c r="AG524" i="4"/>
  <c r="AF524" i="4"/>
  <c r="AC524" i="4"/>
  <c r="AB524" i="4"/>
  <c r="Z524" i="4"/>
  <c r="H524" i="4"/>
  <c r="AP524" i="4" s="1"/>
  <c r="G524" i="4"/>
  <c r="O524" i="4" s="1"/>
  <c r="BF524" i="4" s="1"/>
  <c r="BW523" i="4"/>
  <c r="AK523" i="4"/>
  <c r="AJ523" i="4"/>
  <c r="AH523" i="4"/>
  <c r="AG523" i="4"/>
  <c r="AF523" i="4"/>
  <c r="AC523" i="4"/>
  <c r="AB523" i="4"/>
  <c r="Z523" i="4"/>
  <c r="H523" i="4"/>
  <c r="G523" i="4"/>
  <c r="BW522" i="4"/>
  <c r="AK522" i="4"/>
  <c r="AJ522" i="4"/>
  <c r="AH522" i="4"/>
  <c r="AG522" i="4"/>
  <c r="AF522" i="4"/>
  <c r="AC522" i="4"/>
  <c r="AB522" i="4"/>
  <c r="Z522" i="4"/>
  <c r="H522" i="4"/>
  <c r="BD522" i="4" s="1"/>
  <c r="G522" i="4"/>
  <c r="BW521" i="4"/>
  <c r="AK521" i="4"/>
  <c r="AJ521" i="4"/>
  <c r="AH521" i="4"/>
  <c r="AG521" i="4"/>
  <c r="AF521" i="4"/>
  <c r="AC521" i="4"/>
  <c r="AB521" i="4"/>
  <c r="Z521" i="4"/>
  <c r="H521" i="4"/>
  <c r="AP521" i="4" s="1"/>
  <c r="G521" i="4"/>
  <c r="BW520" i="4"/>
  <c r="AK520" i="4"/>
  <c r="AJ520" i="4"/>
  <c r="AH520" i="4"/>
  <c r="AG520" i="4"/>
  <c r="AF520" i="4"/>
  <c r="AC520" i="4"/>
  <c r="AB520" i="4"/>
  <c r="Z520" i="4"/>
  <c r="H520" i="4"/>
  <c r="BD520" i="4" s="1"/>
  <c r="G520" i="4"/>
  <c r="BW519" i="4"/>
  <c r="AK519" i="4"/>
  <c r="AJ519" i="4"/>
  <c r="AH519" i="4"/>
  <c r="AG519" i="4"/>
  <c r="AF519" i="4"/>
  <c r="AC519" i="4"/>
  <c r="AB519" i="4"/>
  <c r="Z519" i="4"/>
  <c r="H519" i="4"/>
  <c r="BD519" i="4" s="1"/>
  <c r="G519" i="4"/>
  <c r="BW518" i="4"/>
  <c r="AK518" i="4"/>
  <c r="AJ518" i="4"/>
  <c r="AH518" i="4"/>
  <c r="AG518" i="4"/>
  <c r="AF518" i="4"/>
  <c r="AC518" i="4"/>
  <c r="AB518" i="4"/>
  <c r="Z518" i="4"/>
  <c r="H518" i="4"/>
  <c r="AO518" i="4" s="1"/>
  <c r="G518" i="4"/>
  <c r="BW517" i="4"/>
  <c r="AK517" i="4"/>
  <c r="AJ517" i="4"/>
  <c r="AH517" i="4"/>
  <c r="AG517" i="4"/>
  <c r="AF517" i="4"/>
  <c r="AC517" i="4"/>
  <c r="AB517" i="4"/>
  <c r="Z517" i="4"/>
  <c r="H517" i="4"/>
  <c r="AO517" i="4" s="1"/>
  <c r="G517" i="4"/>
  <c r="O517" i="4" s="1"/>
  <c r="BF517" i="4" s="1"/>
  <c r="BW515" i="4"/>
  <c r="AK515" i="4"/>
  <c r="AJ515" i="4"/>
  <c r="AH515" i="4"/>
  <c r="AG515" i="4"/>
  <c r="AF515" i="4"/>
  <c r="AC515" i="4"/>
  <c r="AB515" i="4"/>
  <c r="Z515" i="4"/>
  <c r="O515" i="4"/>
  <c r="BF515" i="4" s="1"/>
  <c r="H515" i="4"/>
  <c r="AO515" i="4" s="1"/>
  <c r="BH515" i="4" s="1"/>
  <c r="AD515" i="4" s="1"/>
  <c r="G515" i="4"/>
  <c r="BW514" i="4"/>
  <c r="AK514" i="4"/>
  <c r="AJ514" i="4"/>
  <c r="AH514" i="4"/>
  <c r="AG514" i="4"/>
  <c r="AF514" i="4"/>
  <c r="AC514" i="4"/>
  <c r="AB514" i="4"/>
  <c r="Z514" i="4"/>
  <c r="H514" i="4"/>
  <c r="BD514" i="4" s="1"/>
  <c r="G514" i="4"/>
  <c r="BW513" i="4"/>
  <c r="AK513" i="4"/>
  <c r="AJ513" i="4"/>
  <c r="AH513" i="4"/>
  <c r="AG513" i="4"/>
  <c r="AF513" i="4"/>
  <c r="AC513" i="4"/>
  <c r="AB513" i="4"/>
  <c r="Z513" i="4"/>
  <c r="H513" i="4"/>
  <c r="G513" i="4"/>
  <c r="BW512" i="4"/>
  <c r="AK512" i="4"/>
  <c r="AJ512" i="4"/>
  <c r="AH512" i="4"/>
  <c r="AG512" i="4"/>
  <c r="AF512" i="4"/>
  <c r="AC512" i="4"/>
  <c r="AB512" i="4"/>
  <c r="Z512" i="4"/>
  <c r="H512" i="4"/>
  <c r="G512" i="4"/>
  <c r="BW511" i="4"/>
  <c r="AK511" i="4"/>
  <c r="AJ511" i="4"/>
  <c r="AH511" i="4"/>
  <c r="AG511" i="4"/>
  <c r="AF511" i="4"/>
  <c r="AC511" i="4"/>
  <c r="AB511" i="4"/>
  <c r="Z511" i="4"/>
  <c r="H511" i="4"/>
  <c r="BD511" i="4" s="1"/>
  <c r="G511" i="4"/>
  <c r="O511" i="4" s="1"/>
  <c r="BF511" i="4" s="1"/>
  <c r="BW509" i="4"/>
  <c r="AK509" i="4"/>
  <c r="AT508" i="4" s="1"/>
  <c r="AJ509" i="4"/>
  <c r="AS508" i="4" s="1"/>
  <c r="AH509" i="4"/>
  <c r="AG509" i="4"/>
  <c r="AF509" i="4"/>
  <c r="AC509" i="4"/>
  <c r="AB509" i="4"/>
  <c r="Z509" i="4"/>
  <c r="H509" i="4"/>
  <c r="G509" i="4"/>
  <c r="BW507" i="4"/>
  <c r="AK507" i="4"/>
  <c r="AJ507" i="4"/>
  <c r="AH507" i="4"/>
  <c r="AG507" i="4"/>
  <c r="AF507" i="4"/>
  <c r="AE507" i="4"/>
  <c r="AD507" i="4"/>
  <c r="AC507" i="4"/>
  <c r="AB507" i="4"/>
  <c r="H507" i="4"/>
  <c r="BD507" i="4" s="1"/>
  <c r="G507" i="4"/>
  <c r="BW506" i="4"/>
  <c r="AK506" i="4"/>
  <c r="AJ506" i="4"/>
  <c r="AH506" i="4"/>
  <c r="AG506" i="4"/>
  <c r="AF506" i="4"/>
  <c r="AE506" i="4"/>
  <c r="AD506" i="4"/>
  <c r="AC506" i="4"/>
  <c r="AB506" i="4"/>
  <c r="H506" i="4"/>
  <c r="BD506" i="4" s="1"/>
  <c r="G506" i="4"/>
  <c r="BW505" i="4"/>
  <c r="AK505" i="4"/>
  <c r="AJ505" i="4"/>
  <c r="AH505" i="4"/>
  <c r="AG505" i="4"/>
  <c r="AF505" i="4"/>
  <c r="AE505" i="4"/>
  <c r="AD505" i="4"/>
  <c r="Z505" i="4"/>
  <c r="H505" i="4"/>
  <c r="BD505" i="4" s="1"/>
  <c r="G505" i="4"/>
  <c r="BW504" i="4"/>
  <c r="AK504" i="4"/>
  <c r="AJ504" i="4"/>
  <c r="AH504" i="4"/>
  <c r="AG504" i="4"/>
  <c r="AF504" i="4"/>
  <c r="AE504" i="4"/>
  <c r="AD504" i="4"/>
  <c r="Z504" i="4"/>
  <c r="H504" i="4"/>
  <c r="G504" i="4"/>
  <c r="BW503" i="4"/>
  <c r="AK503" i="4"/>
  <c r="AJ503" i="4"/>
  <c r="AH503" i="4"/>
  <c r="AG503" i="4"/>
  <c r="AF503" i="4"/>
  <c r="AE503" i="4"/>
  <c r="AD503" i="4"/>
  <c r="Z503" i="4"/>
  <c r="H503" i="4"/>
  <c r="AP503" i="4" s="1"/>
  <c r="BI503" i="4" s="1"/>
  <c r="AC503" i="4" s="1"/>
  <c r="G503" i="4"/>
  <c r="BW502" i="4"/>
  <c r="BD502" i="4"/>
  <c r="AK502" i="4"/>
  <c r="AJ502" i="4"/>
  <c r="AH502" i="4"/>
  <c r="AG502" i="4"/>
  <c r="AF502" i="4"/>
  <c r="AE502" i="4"/>
  <c r="AD502" i="4"/>
  <c r="Z502" i="4"/>
  <c r="O502" i="4"/>
  <c r="BF502" i="4" s="1"/>
  <c r="H502" i="4"/>
  <c r="AP502" i="4" s="1"/>
  <c r="G502" i="4"/>
  <c r="BW501" i="4"/>
  <c r="AK501" i="4"/>
  <c r="AJ501" i="4"/>
  <c r="AH501" i="4"/>
  <c r="AG501" i="4"/>
  <c r="AF501" i="4"/>
  <c r="AE501" i="4"/>
  <c r="AD501" i="4"/>
  <c r="Z501" i="4"/>
  <c r="H501" i="4"/>
  <c r="AO501" i="4" s="1"/>
  <c r="G501" i="4"/>
  <c r="O501" i="4" s="1"/>
  <c r="BF501" i="4" s="1"/>
  <c r="BW500" i="4"/>
  <c r="AK500" i="4"/>
  <c r="AJ500" i="4"/>
  <c r="AH500" i="4"/>
  <c r="AG500" i="4"/>
  <c r="AF500" i="4"/>
  <c r="AE500" i="4"/>
  <c r="AD500" i="4"/>
  <c r="Z500" i="4"/>
  <c r="H500" i="4"/>
  <c r="G500" i="4"/>
  <c r="O500" i="4" s="1"/>
  <c r="BF500" i="4" s="1"/>
  <c r="BW499" i="4"/>
  <c r="AK499" i="4"/>
  <c r="AJ499" i="4"/>
  <c r="AH499" i="4"/>
  <c r="AG499" i="4"/>
  <c r="AF499" i="4"/>
  <c r="AE499" i="4"/>
  <c r="AD499" i="4"/>
  <c r="Z499" i="4"/>
  <c r="H499" i="4"/>
  <c r="BD499" i="4" s="1"/>
  <c r="G499" i="4"/>
  <c r="BW496" i="4"/>
  <c r="AK496" i="4"/>
  <c r="AJ496" i="4"/>
  <c r="AS495" i="4" s="1"/>
  <c r="AH496" i="4"/>
  <c r="AG496" i="4"/>
  <c r="AF496" i="4"/>
  <c r="AE496" i="4"/>
  <c r="AD496" i="4"/>
  <c r="AC496" i="4"/>
  <c r="AB496" i="4"/>
  <c r="Z496" i="4"/>
  <c r="H496" i="4"/>
  <c r="BD496" i="4" s="1"/>
  <c r="G496" i="4"/>
  <c r="AT495" i="4"/>
  <c r="BW493" i="4"/>
  <c r="AK493" i="4"/>
  <c r="AJ493" i="4"/>
  <c r="AH493" i="4"/>
  <c r="AG493" i="4"/>
  <c r="AF493" i="4"/>
  <c r="AC493" i="4"/>
  <c r="AB493" i="4"/>
  <c r="Z493" i="4"/>
  <c r="O493" i="4"/>
  <c r="BF493" i="4" s="1"/>
  <c r="H493" i="4"/>
  <c r="BD493" i="4" s="1"/>
  <c r="G493" i="4"/>
  <c r="BW492" i="4"/>
  <c r="AK492" i="4"/>
  <c r="AT491" i="4" s="1"/>
  <c r="AJ492" i="4"/>
  <c r="AH492" i="4"/>
  <c r="AG492" i="4"/>
  <c r="AF492" i="4"/>
  <c r="AC492" i="4"/>
  <c r="AB492" i="4"/>
  <c r="Z492" i="4"/>
  <c r="O492" i="4"/>
  <c r="O491" i="4" s="1"/>
  <c r="H492" i="4"/>
  <c r="AP492" i="4" s="1"/>
  <c r="AX492" i="4" s="1"/>
  <c r="G492" i="4"/>
  <c r="BW490" i="4"/>
  <c r="AK490" i="4"/>
  <c r="AJ490" i="4"/>
  <c r="AH490" i="4"/>
  <c r="AG490" i="4"/>
  <c r="AF490" i="4"/>
  <c r="AC490" i="4"/>
  <c r="AB490" i="4"/>
  <c r="Z490" i="4"/>
  <c r="H490" i="4"/>
  <c r="BD490" i="4" s="1"/>
  <c r="G490" i="4"/>
  <c r="BW489" i="4"/>
  <c r="AK489" i="4"/>
  <c r="AJ489" i="4"/>
  <c r="AH489" i="4"/>
  <c r="AG489" i="4"/>
  <c r="AF489" i="4"/>
  <c r="AC489" i="4"/>
  <c r="AB489" i="4"/>
  <c r="Z489" i="4"/>
  <c r="H489" i="4"/>
  <c r="AO489" i="4" s="1"/>
  <c r="G489" i="4"/>
  <c r="BW488" i="4"/>
  <c r="AK488" i="4"/>
  <c r="AJ488" i="4"/>
  <c r="AH488" i="4"/>
  <c r="AG488" i="4"/>
  <c r="AF488" i="4"/>
  <c r="AC488" i="4"/>
  <c r="AB488" i="4"/>
  <c r="Z488" i="4"/>
  <c r="H488" i="4"/>
  <c r="BD488" i="4" s="1"/>
  <c r="G488" i="4"/>
  <c r="BW487" i="4"/>
  <c r="AK487" i="4"/>
  <c r="AJ487" i="4"/>
  <c r="AH487" i="4"/>
  <c r="AG487" i="4"/>
  <c r="AF487" i="4"/>
  <c r="AC487" i="4"/>
  <c r="AB487" i="4"/>
  <c r="Z487" i="4"/>
  <c r="H487" i="4"/>
  <c r="AP487" i="4" s="1"/>
  <c r="G487" i="4"/>
  <c r="O487" i="4" s="1"/>
  <c r="BF487" i="4" s="1"/>
  <c r="BW486" i="4"/>
  <c r="AK486" i="4"/>
  <c r="AJ486" i="4"/>
  <c r="AH486" i="4"/>
  <c r="AG486" i="4"/>
  <c r="AF486" i="4"/>
  <c r="AC486" i="4"/>
  <c r="AB486" i="4"/>
  <c r="Z486" i="4"/>
  <c r="H486" i="4"/>
  <c r="AO486" i="4" s="1"/>
  <c r="G486" i="4"/>
  <c r="O486" i="4" s="1"/>
  <c r="BF486" i="4" s="1"/>
  <c r="BW485" i="4"/>
  <c r="AK485" i="4"/>
  <c r="AJ485" i="4"/>
  <c r="AH485" i="4"/>
  <c r="AG485" i="4"/>
  <c r="AF485" i="4"/>
  <c r="AC485" i="4"/>
  <c r="AB485" i="4"/>
  <c r="Z485" i="4"/>
  <c r="H485" i="4"/>
  <c r="G485" i="4"/>
  <c r="O485" i="4" s="1"/>
  <c r="BF485" i="4" s="1"/>
  <c r="BW484" i="4"/>
  <c r="AK484" i="4"/>
  <c r="AJ484" i="4"/>
  <c r="AH484" i="4"/>
  <c r="AG484" i="4"/>
  <c r="AF484" i="4"/>
  <c r="AC484" i="4"/>
  <c r="AB484" i="4"/>
  <c r="Z484" i="4"/>
  <c r="H484" i="4"/>
  <c r="BD484" i="4" s="1"/>
  <c r="G484" i="4"/>
  <c r="BW483" i="4"/>
  <c r="AK483" i="4"/>
  <c r="AJ483" i="4"/>
  <c r="AH483" i="4"/>
  <c r="AG483" i="4"/>
  <c r="AF483" i="4"/>
  <c r="AC483" i="4"/>
  <c r="AB483" i="4"/>
  <c r="Z483" i="4"/>
  <c r="H483" i="4"/>
  <c r="AP483" i="4" s="1"/>
  <c r="G483" i="4"/>
  <c r="O483" i="4" s="1"/>
  <c r="BF483" i="4" s="1"/>
  <c r="BW482" i="4"/>
  <c r="AK482" i="4"/>
  <c r="AJ482" i="4"/>
  <c r="AH482" i="4"/>
  <c r="AG482" i="4"/>
  <c r="AF482" i="4"/>
  <c r="AC482" i="4"/>
  <c r="AB482" i="4"/>
  <c r="Z482" i="4"/>
  <c r="H482" i="4"/>
  <c r="G482" i="4"/>
  <c r="O482" i="4" s="1"/>
  <c r="BF482" i="4" s="1"/>
  <c r="BW481" i="4"/>
  <c r="AK481" i="4"/>
  <c r="AJ481" i="4"/>
  <c r="AH481" i="4"/>
  <c r="AG481" i="4"/>
  <c r="AF481" i="4"/>
  <c r="AC481" i="4"/>
  <c r="AB481" i="4"/>
  <c r="Z481" i="4"/>
  <c r="H481" i="4"/>
  <c r="AP481" i="4" s="1"/>
  <c r="G481" i="4"/>
  <c r="BW480" i="4"/>
  <c r="AO480" i="4"/>
  <c r="AK480" i="4"/>
  <c r="AJ480" i="4"/>
  <c r="AH480" i="4"/>
  <c r="AG480" i="4"/>
  <c r="AF480" i="4"/>
  <c r="AC480" i="4"/>
  <c r="AB480" i="4"/>
  <c r="Z480" i="4"/>
  <c r="H480" i="4"/>
  <c r="AP480" i="4" s="1"/>
  <c r="G480" i="4"/>
  <c r="BW479" i="4"/>
  <c r="AK479" i="4"/>
  <c r="AJ479" i="4"/>
  <c r="AH479" i="4"/>
  <c r="AG479" i="4"/>
  <c r="AF479" i="4"/>
  <c r="AC479" i="4"/>
  <c r="AB479" i="4"/>
  <c r="Z479" i="4"/>
  <c r="H479" i="4"/>
  <c r="G479" i="4"/>
  <c r="BW478" i="4"/>
  <c r="AK478" i="4"/>
  <c r="AJ478" i="4"/>
  <c r="AH478" i="4"/>
  <c r="AG478" i="4"/>
  <c r="AF478" i="4"/>
  <c r="AC478" i="4"/>
  <c r="AB478" i="4"/>
  <c r="Z478" i="4"/>
  <c r="H478" i="4"/>
  <c r="AO478" i="4" s="1"/>
  <c r="G478" i="4"/>
  <c r="BW477" i="4"/>
  <c r="AK477" i="4"/>
  <c r="AJ477" i="4"/>
  <c r="AH477" i="4"/>
  <c r="AG477" i="4"/>
  <c r="AF477" i="4"/>
  <c r="AC477" i="4"/>
  <c r="AB477" i="4"/>
  <c r="Z477" i="4"/>
  <c r="H477" i="4"/>
  <c r="G477" i="4"/>
  <c r="BW476" i="4"/>
  <c r="AK476" i="4"/>
  <c r="AJ476" i="4"/>
  <c r="AH476" i="4"/>
  <c r="AG476" i="4"/>
  <c r="AF476" i="4"/>
  <c r="AC476" i="4"/>
  <c r="AB476" i="4"/>
  <c r="Z476" i="4"/>
  <c r="H476" i="4"/>
  <c r="AP476" i="4" s="1"/>
  <c r="AX476" i="4" s="1"/>
  <c r="G476" i="4"/>
  <c r="O476" i="4" s="1"/>
  <c r="BW474" i="4"/>
  <c r="AK474" i="4"/>
  <c r="AJ474" i="4"/>
  <c r="AH474" i="4"/>
  <c r="AG474" i="4"/>
  <c r="AF474" i="4"/>
  <c r="AC474" i="4"/>
  <c r="AB474" i="4"/>
  <c r="Z474" i="4"/>
  <c r="H474" i="4"/>
  <c r="G474" i="4"/>
  <c r="BW473" i="4"/>
  <c r="AK473" i="4"/>
  <c r="AJ473" i="4"/>
  <c r="AH473" i="4"/>
  <c r="AG473" i="4"/>
  <c r="AF473" i="4"/>
  <c r="AC473" i="4"/>
  <c r="AB473" i="4"/>
  <c r="Z473" i="4"/>
  <c r="H473" i="4"/>
  <c r="G473" i="4"/>
  <c r="O473" i="4" s="1"/>
  <c r="BF473" i="4" s="1"/>
  <c r="BW472" i="4"/>
  <c r="AK472" i="4"/>
  <c r="AJ472" i="4"/>
  <c r="AH472" i="4"/>
  <c r="AG472" i="4"/>
  <c r="AF472" i="4"/>
  <c r="AC472" i="4"/>
  <c r="AB472" i="4"/>
  <c r="Z472" i="4"/>
  <c r="H472" i="4"/>
  <c r="BD472" i="4" s="1"/>
  <c r="G472" i="4"/>
  <c r="BW471" i="4"/>
  <c r="AK471" i="4"/>
  <c r="AJ471" i="4"/>
  <c r="AH471" i="4"/>
  <c r="AG471" i="4"/>
  <c r="AF471" i="4"/>
  <c r="AC471" i="4"/>
  <c r="AB471" i="4"/>
  <c r="Z471" i="4"/>
  <c r="H471" i="4"/>
  <c r="G471" i="4"/>
  <c r="BW470" i="4"/>
  <c r="AK470" i="4"/>
  <c r="AJ470" i="4"/>
  <c r="AH470" i="4"/>
  <c r="AG470" i="4"/>
  <c r="AF470" i="4"/>
  <c r="AC470" i="4"/>
  <c r="AB470" i="4"/>
  <c r="Z470" i="4"/>
  <c r="H470" i="4"/>
  <c r="BD470" i="4" s="1"/>
  <c r="G470" i="4"/>
  <c r="BW469" i="4"/>
  <c r="AK469" i="4"/>
  <c r="AJ469" i="4"/>
  <c r="AH469" i="4"/>
  <c r="AG469" i="4"/>
  <c r="AF469" i="4"/>
  <c r="AC469" i="4"/>
  <c r="AB469" i="4"/>
  <c r="Z469" i="4"/>
  <c r="H469" i="4"/>
  <c r="AP469" i="4" s="1"/>
  <c r="G469" i="4"/>
  <c r="O469" i="4" s="1"/>
  <c r="BF469" i="4" s="1"/>
  <c r="BW468" i="4"/>
  <c r="AK468" i="4"/>
  <c r="AJ468" i="4"/>
  <c r="AH468" i="4"/>
  <c r="AG468" i="4"/>
  <c r="AF468" i="4"/>
  <c r="AC468" i="4"/>
  <c r="AB468" i="4"/>
  <c r="Z468" i="4"/>
  <c r="H468" i="4"/>
  <c r="AO468" i="4" s="1"/>
  <c r="BH468" i="4" s="1"/>
  <c r="AD468" i="4" s="1"/>
  <c r="G468" i="4"/>
  <c r="O468" i="4" s="1"/>
  <c r="BF468" i="4" s="1"/>
  <c r="BW467" i="4"/>
  <c r="AK467" i="4"/>
  <c r="AJ467" i="4"/>
  <c r="AH467" i="4"/>
  <c r="AG467" i="4"/>
  <c r="AF467" i="4"/>
  <c r="AC467" i="4"/>
  <c r="AB467" i="4"/>
  <c r="Z467" i="4"/>
  <c r="H467" i="4"/>
  <c r="BD467" i="4" s="1"/>
  <c r="G467" i="4"/>
  <c r="O467" i="4" s="1"/>
  <c r="BF467" i="4" s="1"/>
  <c r="BW466" i="4"/>
  <c r="AK466" i="4"/>
  <c r="AJ466" i="4"/>
  <c r="AH466" i="4"/>
  <c r="AG466" i="4"/>
  <c r="AF466" i="4"/>
  <c r="AC466" i="4"/>
  <c r="AB466" i="4"/>
  <c r="Z466" i="4"/>
  <c r="H466" i="4"/>
  <c r="G466" i="4"/>
  <c r="BW465" i="4"/>
  <c r="BF465" i="4"/>
  <c r="AK465" i="4"/>
  <c r="AJ465" i="4"/>
  <c r="AH465" i="4"/>
  <c r="AG465" i="4"/>
  <c r="AF465" i="4"/>
  <c r="AC465" i="4"/>
  <c r="AB465" i="4"/>
  <c r="Z465" i="4"/>
  <c r="H465" i="4"/>
  <c r="BD465" i="4" s="1"/>
  <c r="G465" i="4"/>
  <c r="O465" i="4" s="1"/>
  <c r="BW464" i="4"/>
  <c r="AK464" i="4"/>
  <c r="AJ464" i="4"/>
  <c r="AH464" i="4"/>
  <c r="AG464" i="4"/>
  <c r="AF464" i="4"/>
  <c r="AC464" i="4"/>
  <c r="AB464" i="4"/>
  <c r="Z464" i="4"/>
  <c r="H464" i="4"/>
  <c r="G464" i="4"/>
  <c r="BW462" i="4"/>
  <c r="AK462" i="4"/>
  <c r="AJ462" i="4"/>
  <c r="AH462" i="4"/>
  <c r="AG462" i="4"/>
  <c r="AF462" i="4"/>
  <c r="AC462" i="4"/>
  <c r="AB462" i="4"/>
  <c r="Z462" i="4"/>
  <c r="H462" i="4"/>
  <c r="G462" i="4"/>
  <c r="BW461" i="4"/>
  <c r="AK461" i="4"/>
  <c r="AJ461" i="4"/>
  <c r="AH461" i="4"/>
  <c r="AG461" i="4"/>
  <c r="AF461" i="4"/>
  <c r="AC461" i="4"/>
  <c r="AB461" i="4"/>
  <c r="Z461" i="4"/>
  <c r="H461" i="4"/>
  <c r="BD461" i="4" s="1"/>
  <c r="G461" i="4"/>
  <c r="BW460" i="4"/>
  <c r="AK460" i="4"/>
  <c r="AJ460" i="4"/>
  <c r="AH460" i="4"/>
  <c r="AG460" i="4"/>
  <c r="AF460" i="4"/>
  <c r="AC460" i="4"/>
  <c r="AB460" i="4"/>
  <c r="Z460" i="4"/>
  <c r="H460" i="4"/>
  <c r="G460" i="4"/>
  <c r="BW459" i="4"/>
  <c r="AK459" i="4"/>
  <c r="AJ459" i="4"/>
  <c r="AH459" i="4"/>
  <c r="AG459" i="4"/>
  <c r="AF459" i="4"/>
  <c r="AC459" i="4"/>
  <c r="AB459" i="4"/>
  <c r="Z459" i="4"/>
  <c r="O459" i="4"/>
  <c r="BF459" i="4" s="1"/>
  <c r="H459" i="4"/>
  <c r="G459" i="4"/>
  <c r="BW458" i="4"/>
  <c r="AK458" i="4"/>
  <c r="AJ458" i="4"/>
  <c r="AH458" i="4"/>
  <c r="AG458" i="4"/>
  <c r="AF458" i="4"/>
  <c r="AC458" i="4"/>
  <c r="AB458" i="4"/>
  <c r="Z458" i="4"/>
  <c r="O458" i="4"/>
  <c r="BF458" i="4" s="1"/>
  <c r="H458" i="4"/>
  <c r="AP458" i="4" s="1"/>
  <c r="G458" i="4"/>
  <c r="BW457" i="4"/>
  <c r="BD457" i="4"/>
  <c r="AK457" i="4"/>
  <c r="AJ457" i="4"/>
  <c r="AH457" i="4"/>
  <c r="AG457" i="4"/>
  <c r="AF457" i="4"/>
  <c r="AC457" i="4"/>
  <c r="AB457" i="4"/>
  <c r="Z457" i="4"/>
  <c r="H457" i="4"/>
  <c r="G457" i="4"/>
  <c r="BW456" i="4"/>
  <c r="AK456" i="4"/>
  <c r="AJ456" i="4"/>
  <c r="AH456" i="4"/>
  <c r="AG456" i="4"/>
  <c r="AF456" i="4"/>
  <c r="AC456" i="4"/>
  <c r="AB456" i="4"/>
  <c r="Z456" i="4"/>
  <c r="H456" i="4"/>
  <c r="BD456" i="4" s="1"/>
  <c r="G456" i="4"/>
  <c r="BW454" i="4"/>
  <c r="AK454" i="4"/>
  <c r="AT453" i="4" s="1"/>
  <c r="AJ454" i="4"/>
  <c r="AS453" i="4" s="1"/>
  <c r="AH454" i="4"/>
  <c r="AG454" i="4"/>
  <c r="AF454" i="4"/>
  <c r="AC454" i="4"/>
  <c r="AB454" i="4"/>
  <c r="Z454" i="4"/>
  <c r="H454" i="4"/>
  <c r="BD454" i="4" s="1"/>
  <c r="G454" i="4"/>
  <c r="O454" i="4" s="1"/>
  <c r="BW452" i="4"/>
  <c r="AK452" i="4"/>
  <c r="AJ452" i="4"/>
  <c r="AH452" i="4"/>
  <c r="AG452" i="4"/>
  <c r="AF452" i="4"/>
  <c r="AC452" i="4"/>
  <c r="AB452" i="4"/>
  <c r="Z452" i="4"/>
  <c r="H452" i="4"/>
  <c r="BD452" i="4" s="1"/>
  <c r="G452" i="4"/>
  <c r="BW451" i="4"/>
  <c r="AK451" i="4"/>
  <c r="AJ451" i="4"/>
  <c r="AH451" i="4"/>
  <c r="AG451" i="4"/>
  <c r="AF451" i="4"/>
  <c r="AC451" i="4"/>
  <c r="AB451" i="4"/>
  <c r="Z451" i="4"/>
  <c r="H451" i="4"/>
  <c r="BD451" i="4" s="1"/>
  <c r="G451" i="4"/>
  <c r="BW450" i="4"/>
  <c r="AK450" i="4"/>
  <c r="AJ450" i="4"/>
  <c r="AH450" i="4"/>
  <c r="AG450" i="4"/>
  <c r="AF450" i="4"/>
  <c r="AC450" i="4"/>
  <c r="AB450" i="4"/>
  <c r="Z450" i="4"/>
  <c r="H450" i="4"/>
  <c r="BD450" i="4" s="1"/>
  <c r="G450" i="4"/>
  <c r="BW449" i="4"/>
  <c r="AK449" i="4"/>
  <c r="AJ449" i="4"/>
  <c r="AH449" i="4"/>
  <c r="AG449" i="4"/>
  <c r="AF449" i="4"/>
  <c r="AC449" i="4"/>
  <c r="AB449" i="4"/>
  <c r="Z449" i="4"/>
  <c r="H449" i="4"/>
  <c r="AO449" i="4" s="1"/>
  <c r="G449" i="4"/>
  <c r="O449" i="4" s="1"/>
  <c r="BF449" i="4" s="1"/>
  <c r="BW448" i="4"/>
  <c r="AK448" i="4"/>
  <c r="AJ448" i="4"/>
  <c r="AH448" i="4"/>
  <c r="AG448" i="4"/>
  <c r="AF448" i="4"/>
  <c r="AC448" i="4"/>
  <c r="AB448" i="4"/>
  <c r="Z448" i="4"/>
  <c r="H448" i="4"/>
  <c r="AP448" i="4" s="1"/>
  <c r="G448" i="4"/>
  <c r="O448" i="4" s="1"/>
  <c r="BF448" i="4" s="1"/>
  <c r="BW447" i="4"/>
  <c r="AK447" i="4"/>
  <c r="AJ447" i="4"/>
  <c r="AH447" i="4"/>
  <c r="AG447" i="4"/>
  <c r="AF447" i="4"/>
  <c r="AC447" i="4"/>
  <c r="AB447" i="4"/>
  <c r="Z447" i="4"/>
  <c r="H447" i="4"/>
  <c r="BD447" i="4" s="1"/>
  <c r="G447" i="4"/>
  <c r="O447" i="4" s="1"/>
  <c r="BF447" i="4" s="1"/>
  <c r="BW446" i="4"/>
  <c r="AK446" i="4"/>
  <c r="AJ446" i="4"/>
  <c r="AH446" i="4"/>
  <c r="AG446" i="4"/>
  <c r="AF446" i="4"/>
  <c r="AC446" i="4"/>
  <c r="AB446" i="4"/>
  <c r="Z446" i="4"/>
  <c r="H446" i="4"/>
  <c r="BD446" i="4" s="1"/>
  <c r="G446" i="4"/>
  <c r="BW445" i="4"/>
  <c r="AK445" i="4"/>
  <c r="AJ445" i="4"/>
  <c r="AH445" i="4"/>
  <c r="AG445" i="4"/>
  <c r="AF445" i="4"/>
  <c r="AC445" i="4"/>
  <c r="AB445" i="4"/>
  <c r="Z445" i="4"/>
  <c r="H445" i="4"/>
  <c r="BD445" i="4" s="1"/>
  <c r="G445" i="4"/>
  <c r="O445" i="4" s="1"/>
  <c r="BF445" i="4" s="1"/>
  <c r="BW444" i="4"/>
  <c r="AK444" i="4"/>
  <c r="AJ444" i="4"/>
  <c r="AH444" i="4"/>
  <c r="AG444" i="4"/>
  <c r="AF444" i="4"/>
  <c r="AC444" i="4"/>
  <c r="AB444" i="4"/>
  <c r="Z444" i="4"/>
  <c r="H444" i="4"/>
  <c r="AP444" i="4" s="1"/>
  <c r="G444" i="4"/>
  <c r="BW442" i="4"/>
  <c r="AK442" i="4"/>
  <c r="AJ442" i="4"/>
  <c r="AH442" i="4"/>
  <c r="AG442" i="4"/>
  <c r="AF442" i="4"/>
  <c r="AC442" i="4"/>
  <c r="AB442" i="4"/>
  <c r="Z442" i="4"/>
  <c r="H442" i="4"/>
  <c r="BD442" i="4" s="1"/>
  <c r="G442" i="4"/>
  <c r="O442" i="4" s="1"/>
  <c r="BF442" i="4" s="1"/>
  <c r="BW441" i="4"/>
  <c r="AK441" i="4"/>
  <c r="AJ441" i="4"/>
  <c r="AH441" i="4"/>
  <c r="AG441" i="4"/>
  <c r="AF441" i="4"/>
  <c r="AC441" i="4"/>
  <c r="AB441" i="4"/>
  <c r="Z441" i="4"/>
  <c r="H441" i="4"/>
  <c r="AP441" i="4" s="1"/>
  <c r="G441" i="4"/>
  <c r="BW440" i="4"/>
  <c r="AK440" i="4"/>
  <c r="AJ440" i="4"/>
  <c r="AH440" i="4"/>
  <c r="AG440" i="4"/>
  <c r="AF440" i="4"/>
  <c r="AC440" i="4"/>
  <c r="AB440" i="4"/>
  <c r="Z440" i="4"/>
  <c r="H440" i="4"/>
  <c r="BD440" i="4" s="1"/>
  <c r="G440" i="4"/>
  <c r="BW439" i="4"/>
  <c r="AK439" i="4"/>
  <c r="AJ439" i="4"/>
  <c r="AH439" i="4"/>
  <c r="AG439" i="4"/>
  <c r="AF439" i="4"/>
  <c r="AC439" i="4"/>
  <c r="AB439" i="4"/>
  <c r="Z439" i="4"/>
  <c r="H439" i="4"/>
  <c r="G439" i="4"/>
  <c r="BW438" i="4"/>
  <c r="AK438" i="4"/>
  <c r="AJ438" i="4"/>
  <c r="AH438" i="4"/>
  <c r="AG438" i="4"/>
  <c r="AF438" i="4"/>
  <c r="AC438" i="4"/>
  <c r="AB438" i="4"/>
  <c r="Z438" i="4"/>
  <c r="H438" i="4"/>
  <c r="BD438" i="4" s="1"/>
  <c r="G438" i="4"/>
  <c r="O438" i="4" s="1"/>
  <c r="BF438" i="4" s="1"/>
  <c r="BW436" i="4"/>
  <c r="AK436" i="4"/>
  <c r="AT435" i="4" s="1"/>
  <c r="AJ436" i="4"/>
  <c r="AH436" i="4"/>
  <c r="AG436" i="4"/>
  <c r="AF436" i="4"/>
  <c r="AC436" i="4"/>
  <c r="AB436" i="4"/>
  <c r="Z436" i="4"/>
  <c r="H436" i="4"/>
  <c r="AO436" i="4" s="1"/>
  <c r="G436" i="4"/>
  <c r="AS435" i="4"/>
  <c r="BW434" i="4"/>
  <c r="AK434" i="4"/>
  <c r="AJ434" i="4"/>
  <c r="AH434" i="4"/>
  <c r="AG434" i="4"/>
  <c r="AF434" i="4"/>
  <c r="AE434" i="4"/>
  <c r="AD434" i="4"/>
  <c r="AC434" i="4"/>
  <c r="AB434" i="4"/>
  <c r="H434" i="4"/>
  <c r="AP434" i="4" s="1"/>
  <c r="G434" i="4"/>
  <c r="O434" i="4" s="1"/>
  <c r="BF434" i="4" s="1"/>
  <c r="BW433" i="4"/>
  <c r="AK433" i="4"/>
  <c r="AJ433" i="4"/>
  <c r="AH433" i="4"/>
  <c r="AG433" i="4"/>
  <c r="AF433" i="4"/>
  <c r="AE433" i="4"/>
  <c r="AD433" i="4"/>
  <c r="AC433" i="4"/>
  <c r="AB433" i="4"/>
  <c r="O433" i="4"/>
  <c r="BF433" i="4" s="1"/>
  <c r="H433" i="4"/>
  <c r="BJ433" i="4" s="1"/>
  <c r="Z433" i="4" s="1"/>
  <c r="G433" i="4"/>
  <c r="BW432" i="4"/>
  <c r="AK432" i="4"/>
  <c r="AJ432" i="4"/>
  <c r="AH432" i="4"/>
  <c r="AG432" i="4"/>
  <c r="AF432" i="4"/>
  <c r="AE432" i="4"/>
  <c r="AD432" i="4"/>
  <c r="Z432" i="4"/>
  <c r="H432" i="4"/>
  <c r="G432" i="4"/>
  <c r="BW431" i="4"/>
  <c r="AK431" i="4"/>
  <c r="AJ431" i="4"/>
  <c r="AH431" i="4"/>
  <c r="AG431" i="4"/>
  <c r="AF431" i="4"/>
  <c r="AE431" i="4"/>
  <c r="AD431" i="4"/>
  <c r="Z431" i="4"/>
  <c r="H431" i="4"/>
  <c r="G431" i="4"/>
  <c r="BW430" i="4"/>
  <c r="AK430" i="4"/>
  <c r="AJ430" i="4"/>
  <c r="AH430" i="4"/>
  <c r="AG430" i="4"/>
  <c r="AF430" i="4"/>
  <c r="AE430" i="4"/>
  <c r="AD430" i="4"/>
  <c r="Z430" i="4"/>
  <c r="H430" i="4"/>
  <c r="G430" i="4"/>
  <c r="BW429" i="4"/>
  <c r="AK429" i="4"/>
  <c r="AJ429" i="4"/>
  <c r="AH429" i="4"/>
  <c r="AG429" i="4"/>
  <c r="AF429" i="4"/>
  <c r="AE429" i="4"/>
  <c r="AD429" i="4"/>
  <c r="Z429" i="4"/>
  <c r="O429" i="4"/>
  <c r="BF429" i="4" s="1"/>
  <c r="H429" i="4"/>
  <c r="BD429" i="4" s="1"/>
  <c r="G429" i="4"/>
  <c r="L429" i="4" s="1"/>
  <c r="M429" i="4" s="1"/>
  <c r="BW428" i="4"/>
  <c r="AK428" i="4"/>
  <c r="AJ428" i="4"/>
  <c r="AH428" i="4"/>
  <c r="AG428" i="4"/>
  <c r="AF428" i="4"/>
  <c r="AE428" i="4"/>
  <c r="AD428" i="4"/>
  <c r="Z428" i="4"/>
  <c r="H428" i="4"/>
  <c r="AP428" i="4" s="1"/>
  <c r="AX428" i="4" s="1"/>
  <c r="G428" i="4"/>
  <c r="BW427" i="4"/>
  <c r="AK427" i="4"/>
  <c r="AJ427" i="4"/>
  <c r="AH427" i="4"/>
  <c r="AG427" i="4"/>
  <c r="AF427" i="4"/>
  <c r="AE427" i="4"/>
  <c r="AD427" i="4"/>
  <c r="Z427" i="4"/>
  <c r="H427" i="4"/>
  <c r="AP427" i="4" s="1"/>
  <c r="G427" i="4"/>
  <c r="L427" i="4" s="1"/>
  <c r="BW426" i="4"/>
  <c r="AK426" i="4"/>
  <c r="AJ426" i="4"/>
  <c r="AH426" i="4"/>
  <c r="AG426" i="4"/>
  <c r="AF426" i="4"/>
  <c r="AE426" i="4"/>
  <c r="AD426" i="4"/>
  <c r="Z426" i="4"/>
  <c r="H426" i="4"/>
  <c r="AO426" i="4" s="1"/>
  <c r="G426" i="4"/>
  <c r="BW423" i="4"/>
  <c r="AK423" i="4"/>
  <c r="AJ423" i="4"/>
  <c r="AS422" i="4" s="1"/>
  <c r="AH423" i="4"/>
  <c r="AG423" i="4"/>
  <c r="AF423" i="4"/>
  <c r="AE423" i="4"/>
  <c r="AD423" i="4"/>
  <c r="AC423" i="4"/>
  <c r="AB423" i="4"/>
  <c r="Z423" i="4"/>
  <c r="H423" i="4"/>
  <c r="BD423" i="4" s="1"/>
  <c r="G423" i="4"/>
  <c r="AT422" i="4"/>
  <c r="BW420" i="4"/>
  <c r="AK420" i="4"/>
  <c r="AJ420" i="4"/>
  <c r="AH420" i="4"/>
  <c r="AG420" i="4"/>
  <c r="AF420" i="4"/>
  <c r="AC420" i="4"/>
  <c r="AB420" i="4"/>
  <c r="Z420" i="4"/>
  <c r="H420" i="4"/>
  <c r="AP420" i="4" s="1"/>
  <c r="G420" i="4"/>
  <c r="BW419" i="4"/>
  <c r="AK419" i="4"/>
  <c r="AJ419" i="4"/>
  <c r="AH419" i="4"/>
  <c r="AG419" i="4"/>
  <c r="AF419" i="4"/>
  <c r="AC419" i="4"/>
  <c r="AB419" i="4"/>
  <c r="Z419" i="4"/>
  <c r="H419" i="4"/>
  <c r="AO419" i="4" s="1"/>
  <c r="G419" i="4"/>
  <c r="O419" i="4" s="1"/>
  <c r="BF419" i="4" s="1"/>
  <c r="BW417" i="4"/>
  <c r="AK417" i="4"/>
  <c r="AJ417" i="4"/>
  <c r="AH417" i="4"/>
  <c r="AG417" i="4"/>
  <c r="AF417" i="4"/>
  <c r="AC417" i="4"/>
  <c r="AB417" i="4"/>
  <c r="Z417" i="4"/>
  <c r="H417" i="4"/>
  <c r="G417" i="4"/>
  <c r="O417" i="4" s="1"/>
  <c r="BF417" i="4" s="1"/>
  <c r="BW416" i="4"/>
  <c r="AK416" i="4"/>
  <c r="AJ416" i="4"/>
  <c r="AH416" i="4"/>
  <c r="AG416" i="4"/>
  <c r="AF416" i="4"/>
  <c r="AC416" i="4"/>
  <c r="AB416" i="4"/>
  <c r="Z416" i="4"/>
  <c r="H416" i="4"/>
  <c r="G416" i="4"/>
  <c r="BW415" i="4"/>
  <c r="AK415" i="4"/>
  <c r="AJ415" i="4"/>
  <c r="AH415" i="4"/>
  <c r="AG415" i="4"/>
  <c r="AF415" i="4"/>
  <c r="AC415" i="4"/>
  <c r="AB415" i="4"/>
  <c r="Z415" i="4"/>
  <c r="H415" i="4"/>
  <c r="AP415" i="4" s="1"/>
  <c r="G415" i="4"/>
  <c r="BJ415" i="4" s="1"/>
  <c r="BW414" i="4"/>
  <c r="AK414" i="4"/>
  <c r="AJ414" i="4"/>
  <c r="AH414" i="4"/>
  <c r="AG414" i="4"/>
  <c r="AF414" i="4"/>
  <c r="AC414" i="4"/>
  <c r="AB414" i="4"/>
  <c r="Z414" i="4"/>
  <c r="H414" i="4"/>
  <c r="G414" i="4"/>
  <c r="O414" i="4" s="1"/>
  <c r="BF414" i="4" s="1"/>
  <c r="BW413" i="4"/>
  <c r="AK413" i="4"/>
  <c r="AJ413" i="4"/>
  <c r="AH413" i="4"/>
  <c r="AG413" i="4"/>
  <c r="AF413" i="4"/>
  <c r="AC413" i="4"/>
  <c r="AB413" i="4"/>
  <c r="Z413" i="4"/>
  <c r="H413" i="4"/>
  <c r="BD413" i="4" s="1"/>
  <c r="G413" i="4"/>
  <c r="BW412" i="4"/>
  <c r="AK412" i="4"/>
  <c r="AJ412" i="4"/>
  <c r="AH412" i="4"/>
  <c r="AG412" i="4"/>
  <c r="AF412" i="4"/>
  <c r="AC412" i="4"/>
  <c r="AB412" i="4"/>
  <c r="Z412" i="4"/>
  <c r="H412" i="4"/>
  <c r="AP412" i="4" s="1"/>
  <c r="G412" i="4"/>
  <c r="BW411" i="4"/>
  <c r="AK411" i="4"/>
  <c r="AJ411" i="4"/>
  <c r="AH411" i="4"/>
  <c r="AG411" i="4"/>
  <c r="AF411" i="4"/>
  <c r="AC411" i="4"/>
  <c r="AB411" i="4"/>
  <c r="Z411" i="4"/>
  <c r="H411" i="4"/>
  <c r="AP411" i="4" s="1"/>
  <c r="G411" i="4"/>
  <c r="O411" i="4" s="1"/>
  <c r="BF411" i="4" s="1"/>
  <c r="BW410" i="4"/>
  <c r="AK410" i="4"/>
  <c r="AJ410" i="4"/>
  <c r="AH410" i="4"/>
  <c r="AG410" i="4"/>
  <c r="AF410" i="4"/>
  <c r="AC410" i="4"/>
  <c r="AB410" i="4"/>
  <c r="Z410" i="4"/>
  <c r="H410" i="4"/>
  <c r="AP410" i="4" s="1"/>
  <c r="G410" i="4"/>
  <c r="O410" i="4" s="1"/>
  <c r="BF410" i="4" s="1"/>
  <c r="BW409" i="4"/>
  <c r="AK409" i="4"/>
  <c r="AJ409" i="4"/>
  <c r="AH409" i="4"/>
  <c r="AG409" i="4"/>
  <c r="AF409" i="4"/>
  <c r="AC409" i="4"/>
  <c r="AB409" i="4"/>
  <c r="Z409" i="4"/>
  <c r="H409" i="4"/>
  <c r="BD409" i="4" s="1"/>
  <c r="G409" i="4"/>
  <c r="O409" i="4" s="1"/>
  <c r="BF409" i="4" s="1"/>
  <c r="BW408" i="4"/>
  <c r="AK408" i="4"/>
  <c r="AJ408" i="4"/>
  <c r="AH408" i="4"/>
  <c r="AG408" i="4"/>
  <c r="AF408" i="4"/>
  <c r="AC408" i="4"/>
  <c r="AB408" i="4"/>
  <c r="Z408" i="4"/>
  <c r="H408" i="4"/>
  <c r="AP408" i="4" s="1"/>
  <c r="G408" i="4"/>
  <c r="BW407" i="4"/>
  <c r="AK407" i="4"/>
  <c r="AJ407" i="4"/>
  <c r="AH407" i="4"/>
  <c r="AG407" i="4"/>
  <c r="AF407" i="4"/>
  <c r="AC407" i="4"/>
  <c r="AB407" i="4"/>
  <c r="Z407" i="4"/>
  <c r="H407" i="4"/>
  <c r="AP407" i="4" s="1"/>
  <c r="G407" i="4"/>
  <c r="BW406" i="4"/>
  <c r="AK406" i="4"/>
  <c r="AJ406" i="4"/>
  <c r="AH406" i="4"/>
  <c r="AG406" i="4"/>
  <c r="AF406" i="4"/>
  <c r="AC406" i="4"/>
  <c r="AB406" i="4"/>
  <c r="Z406" i="4"/>
  <c r="H406" i="4"/>
  <c r="G406" i="4"/>
  <c r="O406" i="4" s="1"/>
  <c r="BF406" i="4" s="1"/>
  <c r="BW405" i="4"/>
  <c r="AK405" i="4"/>
  <c r="AJ405" i="4"/>
  <c r="AH405" i="4"/>
  <c r="AG405" i="4"/>
  <c r="AF405" i="4"/>
  <c r="AC405" i="4"/>
  <c r="AB405" i="4"/>
  <c r="Z405" i="4"/>
  <c r="H405" i="4"/>
  <c r="BD405" i="4" s="1"/>
  <c r="G405" i="4"/>
  <c r="BW404" i="4"/>
  <c r="AK404" i="4"/>
  <c r="AJ404" i="4"/>
  <c r="AH404" i="4"/>
  <c r="AG404" i="4"/>
  <c r="AF404" i="4"/>
  <c r="AC404" i="4"/>
  <c r="AB404" i="4"/>
  <c r="Z404" i="4"/>
  <c r="H404" i="4"/>
  <c r="AO404" i="4" s="1"/>
  <c r="G404" i="4"/>
  <c r="BW403" i="4"/>
  <c r="AK403" i="4"/>
  <c r="AJ403" i="4"/>
  <c r="AH403" i="4"/>
  <c r="AG403" i="4"/>
  <c r="AF403" i="4"/>
  <c r="AC403" i="4"/>
  <c r="AB403" i="4"/>
  <c r="Z403" i="4"/>
  <c r="H403" i="4"/>
  <c r="AP403" i="4" s="1"/>
  <c r="BI403" i="4" s="1"/>
  <c r="AE403" i="4" s="1"/>
  <c r="G403" i="4"/>
  <c r="O403" i="4" s="1"/>
  <c r="BW401" i="4"/>
  <c r="AK401" i="4"/>
  <c r="AJ401" i="4"/>
  <c r="AH401" i="4"/>
  <c r="AG401" i="4"/>
  <c r="AF401" i="4"/>
  <c r="AC401" i="4"/>
  <c r="AB401" i="4"/>
  <c r="Z401" i="4"/>
  <c r="H401" i="4"/>
  <c r="AO401" i="4" s="1"/>
  <c r="G401" i="4"/>
  <c r="BW400" i="4"/>
  <c r="AK400" i="4"/>
  <c r="AJ400" i="4"/>
  <c r="AH400" i="4"/>
  <c r="AG400" i="4"/>
  <c r="AF400" i="4"/>
  <c r="AC400" i="4"/>
  <c r="AB400" i="4"/>
  <c r="Z400" i="4"/>
  <c r="H400" i="4"/>
  <c r="BD400" i="4" s="1"/>
  <c r="G400" i="4"/>
  <c r="BW399" i="4"/>
  <c r="AK399" i="4"/>
  <c r="AJ399" i="4"/>
  <c r="AH399" i="4"/>
  <c r="AG399" i="4"/>
  <c r="AF399" i="4"/>
  <c r="AC399" i="4"/>
  <c r="AB399" i="4"/>
  <c r="Z399" i="4"/>
  <c r="H399" i="4"/>
  <c r="G399" i="4"/>
  <c r="BW398" i="4"/>
  <c r="AK398" i="4"/>
  <c r="AJ398" i="4"/>
  <c r="AH398" i="4"/>
  <c r="AG398" i="4"/>
  <c r="AF398" i="4"/>
  <c r="AC398" i="4"/>
  <c r="AB398" i="4"/>
  <c r="Z398" i="4"/>
  <c r="H398" i="4"/>
  <c r="AP398" i="4" s="1"/>
  <c r="G398" i="4"/>
  <c r="BW397" i="4"/>
  <c r="AK397" i="4"/>
  <c r="AJ397" i="4"/>
  <c r="AH397" i="4"/>
  <c r="AG397" i="4"/>
  <c r="AF397" i="4"/>
  <c r="AC397" i="4"/>
  <c r="AB397" i="4"/>
  <c r="Z397" i="4"/>
  <c r="H397" i="4"/>
  <c r="AP397" i="4" s="1"/>
  <c r="G397" i="4"/>
  <c r="O397" i="4" s="1"/>
  <c r="BF397" i="4" s="1"/>
  <c r="BW396" i="4"/>
  <c r="AK396" i="4"/>
  <c r="AJ396" i="4"/>
  <c r="AH396" i="4"/>
  <c r="AG396" i="4"/>
  <c r="AF396" i="4"/>
  <c r="AC396" i="4"/>
  <c r="AB396" i="4"/>
  <c r="Z396" i="4"/>
  <c r="H396" i="4"/>
  <c r="AP396" i="4" s="1"/>
  <c r="G396" i="4"/>
  <c r="O396" i="4" s="1"/>
  <c r="BF396" i="4" s="1"/>
  <c r="BW395" i="4"/>
  <c r="AK395" i="4"/>
  <c r="AJ395" i="4"/>
  <c r="AH395" i="4"/>
  <c r="AG395" i="4"/>
  <c r="AF395" i="4"/>
  <c r="AC395" i="4"/>
  <c r="AB395" i="4"/>
  <c r="Z395" i="4"/>
  <c r="H395" i="4"/>
  <c r="AO395" i="4" s="1"/>
  <c r="G395" i="4"/>
  <c r="BW394" i="4"/>
  <c r="AK394" i="4"/>
  <c r="AJ394" i="4"/>
  <c r="AH394" i="4"/>
  <c r="AG394" i="4"/>
  <c r="AF394" i="4"/>
  <c r="AC394" i="4"/>
  <c r="AB394" i="4"/>
  <c r="Z394" i="4"/>
  <c r="H394" i="4"/>
  <c r="BD394" i="4" s="1"/>
  <c r="G394" i="4"/>
  <c r="BW393" i="4"/>
  <c r="AK393" i="4"/>
  <c r="AJ393" i="4"/>
  <c r="AH393" i="4"/>
  <c r="AG393" i="4"/>
  <c r="AF393" i="4"/>
  <c r="AC393" i="4"/>
  <c r="AB393" i="4"/>
  <c r="Z393" i="4"/>
  <c r="O393" i="4"/>
  <c r="BF393" i="4" s="1"/>
  <c r="H393" i="4"/>
  <c r="BD393" i="4" s="1"/>
  <c r="G393" i="4"/>
  <c r="BW392" i="4"/>
  <c r="AK392" i="4"/>
  <c r="AJ392" i="4"/>
  <c r="AH392" i="4"/>
  <c r="AG392" i="4"/>
  <c r="AF392" i="4"/>
  <c r="AC392" i="4"/>
  <c r="AB392" i="4"/>
  <c r="Z392" i="4"/>
  <c r="H392" i="4"/>
  <c r="AO392" i="4" s="1"/>
  <c r="G392" i="4"/>
  <c r="BW391" i="4"/>
  <c r="AK391" i="4"/>
  <c r="AJ391" i="4"/>
  <c r="AH391" i="4"/>
  <c r="AG391" i="4"/>
  <c r="AF391" i="4"/>
  <c r="AC391" i="4"/>
  <c r="AB391" i="4"/>
  <c r="Z391" i="4"/>
  <c r="H391" i="4"/>
  <c r="BD391" i="4" s="1"/>
  <c r="G391" i="4"/>
  <c r="BW389" i="4"/>
  <c r="AK389" i="4"/>
  <c r="AJ389" i="4"/>
  <c r="AH389" i="4"/>
  <c r="AG389" i="4"/>
  <c r="AF389" i="4"/>
  <c r="AC389" i="4"/>
  <c r="AB389" i="4"/>
  <c r="Z389" i="4"/>
  <c r="H389" i="4"/>
  <c r="AO389" i="4" s="1"/>
  <c r="G389" i="4"/>
  <c r="O389" i="4" s="1"/>
  <c r="BF389" i="4" s="1"/>
  <c r="BW388" i="4"/>
  <c r="AK388" i="4"/>
  <c r="AJ388" i="4"/>
  <c r="AH388" i="4"/>
  <c r="AG388" i="4"/>
  <c r="AF388" i="4"/>
  <c r="AC388" i="4"/>
  <c r="AB388" i="4"/>
  <c r="Z388" i="4"/>
  <c r="H388" i="4"/>
  <c r="BD388" i="4" s="1"/>
  <c r="G388" i="4"/>
  <c r="BW387" i="4"/>
  <c r="AK387" i="4"/>
  <c r="AJ387" i="4"/>
  <c r="AH387" i="4"/>
  <c r="AG387" i="4"/>
  <c r="AF387" i="4"/>
  <c r="AC387" i="4"/>
  <c r="AB387" i="4"/>
  <c r="Z387" i="4"/>
  <c r="H387" i="4"/>
  <c r="G387" i="4"/>
  <c r="O387" i="4" s="1"/>
  <c r="BF387" i="4" s="1"/>
  <c r="BW386" i="4"/>
  <c r="AK386" i="4"/>
  <c r="AJ386" i="4"/>
  <c r="AH386" i="4"/>
  <c r="AG386" i="4"/>
  <c r="AF386" i="4"/>
  <c r="AC386" i="4"/>
  <c r="AB386" i="4"/>
  <c r="Z386" i="4"/>
  <c r="H386" i="4"/>
  <c r="G386" i="4"/>
  <c r="BW385" i="4"/>
  <c r="AK385" i="4"/>
  <c r="AJ385" i="4"/>
  <c r="AH385" i="4"/>
  <c r="AG385" i="4"/>
  <c r="AF385" i="4"/>
  <c r="AC385" i="4"/>
  <c r="AB385" i="4"/>
  <c r="Z385" i="4"/>
  <c r="H385" i="4"/>
  <c r="AP385" i="4" s="1"/>
  <c r="G385" i="4"/>
  <c r="O385" i="4" s="1"/>
  <c r="BF385" i="4" s="1"/>
  <c r="BW384" i="4"/>
  <c r="AK384" i="4"/>
  <c r="AJ384" i="4"/>
  <c r="AH384" i="4"/>
  <c r="AG384" i="4"/>
  <c r="AF384" i="4"/>
  <c r="AC384" i="4"/>
  <c r="AB384" i="4"/>
  <c r="Z384" i="4"/>
  <c r="H384" i="4"/>
  <c r="AP384" i="4" s="1"/>
  <c r="G384" i="4"/>
  <c r="BW383" i="4"/>
  <c r="AK383" i="4"/>
  <c r="AJ383" i="4"/>
  <c r="AH383" i="4"/>
  <c r="AG383" i="4"/>
  <c r="AF383" i="4"/>
  <c r="AC383" i="4"/>
  <c r="AB383" i="4"/>
  <c r="Z383" i="4"/>
  <c r="H383" i="4"/>
  <c r="G383" i="4"/>
  <c r="O383" i="4" s="1"/>
  <c r="BF383" i="4" s="1"/>
  <c r="BW381" i="4"/>
  <c r="AK381" i="4"/>
  <c r="AT380" i="4" s="1"/>
  <c r="AJ381" i="4"/>
  <c r="AS380" i="4" s="1"/>
  <c r="AH381" i="4"/>
  <c r="AG381" i="4"/>
  <c r="AF381" i="4"/>
  <c r="AC381" i="4"/>
  <c r="AB381" i="4"/>
  <c r="Z381" i="4"/>
  <c r="H381" i="4"/>
  <c r="BD381" i="4" s="1"/>
  <c r="G381" i="4"/>
  <c r="BW379" i="4"/>
  <c r="AK379" i="4"/>
  <c r="AJ379" i="4"/>
  <c r="AH379" i="4"/>
  <c r="AG379" i="4"/>
  <c r="AF379" i="4"/>
  <c r="AC379" i="4"/>
  <c r="AB379" i="4"/>
  <c r="Z379" i="4"/>
  <c r="H379" i="4"/>
  <c r="BD379" i="4" s="1"/>
  <c r="G379" i="4"/>
  <c r="O379" i="4" s="1"/>
  <c r="BF379" i="4" s="1"/>
  <c r="BW378" i="4"/>
  <c r="AK378" i="4"/>
  <c r="AJ378" i="4"/>
  <c r="AH378" i="4"/>
  <c r="AG378" i="4"/>
  <c r="AF378" i="4"/>
  <c r="AC378" i="4"/>
  <c r="AB378" i="4"/>
  <c r="Z378" i="4"/>
  <c r="H378" i="4"/>
  <c r="AP378" i="4" s="1"/>
  <c r="G378" i="4"/>
  <c r="BW377" i="4"/>
  <c r="AK377" i="4"/>
  <c r="AJ377" i="4"/>
  <c r="AH377" i="4"/>
  <c r="AG377" i="4"/>
  <c r="AF377" i="4"/>
  <c r="AC377" i="4"/>
  <c r="AB377" i="4"/>
  <c r="Z377" i="4"/>
  <c r="H377" i="4"/>
  <c r="G377" i="4"/>
  <c r="BW376" i="4"/>
  <c r="AK376" i="4"/>
  <c r="AJ376" i="4"/>
  <c r="AH376" i="4"/>
  <c r="AG376" i="4"/>
  <c r="AF376" i="4"/>
  <c r="AC376" i="4"/>
  <c r="AB376" i="4"/>
  <c r="Z376" i="4"/>
  <c r="H376" i="4"/>
  <c r="BD376" i="4" s="1"/>
  <c r="G376" i="4"/>
  <c r="BW375" i="4"/>
  <c r="AK375" i="4"/>
  <c r="AJ375" i="4"/>
  <c r="AH375" i="4"/>
  <c r="AG375" i="4"/>
  <c r="AF375" i="4"/>
  <c r="AC375" i="4"/>
  <c r="AB375" i="4"/>
  <c r="Z375" i="4"/>
  <c r="H375" i="4"/>
  <c r="BD375" i="4" s="1"/>
  <c r="G375" i="4"/>
  <c r="BW374" i="4"/>
  <c r="AK374" i="4"/>
  <c r="AJ374" i="4"/>
  <c r="AH374" i="4"/>
  <c r="AG374" i="4"/>
  <c r="AF374" i="4"/>
  <c r="AC374" i="4"/>
  <c r="AB374" i="4"/>
  <c r="Z374" i="4"/>
  <c r="H374" i="4"/>
  <c r="AO374" i="4" s="1"/>
  <c r="G374" i="4"/>
  <c r="BW373" i="4"/>
  <c r="AK373" i="4"/>
  <c r="AJ373" i="4"/>
  <c r="AH373" i="4"/>
  <c r="AG373" i="4"/>
  <c r="AF373" i="4"/>
  <c r="AC373" i="4"/>
  <c r="AB373" i="4"/>
  <c r="Z373" i="4"/>
  <c r="H373" i="4"/>
  <c r="AP373" i="4" s="1"/>
  <c r="G373" i="4"/>
  <c r="O373" i="4" s="1"/>
  <c r="BF373" i="4" s="1"/>
  <c r="BW372" i="4"/>
  <c r="AK372" i="4"/>
  <c r="AJ372" i="4"/>
  <c r="AH372" i="4"/>
  <c r="AG372" i="4"/>
  <c r="AF372" i="4"/>
  <c r="AC372" i="4"/>
  <c r="AB372" i="4"/>
  <c r="Z372" i="4"/>
  <c r="H372" i="4"/>
  <c r="AO372" i="4" s="1"/>
  <c r="G372" i="4"/>
  <c r="BW371" i="4"/>
  <c r="AK371" i="4"/>
  <c r="AJ371" i="4"/>
  <c r="AH371" i="4"/>
  <c r="AG371" i="4"/>
  <c r="AF371" i="4"/>
  <c r="AC371" i="4"/>
  <c r="AB371" i="4"/>
  <c r="Z371" i="4"/>
  <c r="H371" i="4"/>
  <c r="G371" i="4"/>
  <c r="BW369" i="4"/>
  <c r="AK369" i="4"/>
  <c r="AJ369" i="4"/>
  <c r="AH369" i="4"/>
  <c r="AG369" i="4"/>
  <c r="AF369" i="4"/>
  <c r="AC369" i="4"/>
  <c r="AB369" i="4"/>
  <c r="Z369" i="4"/>
  <c r="H369" i="4"/>
  <c r="BD369" i="4" s="1"/>
  <c r="G369" i="4"/>
  <c r="BJ369" i="4" s="1"/>
  <c r="BW368" i="4"/>
  <c r="AK368" i="4"/>
  <c r="AJ368" i="4"/>
  <c r="AH368" i="4"/>
  <c r="AG368" i="4"/>
  <c r="AF368" i="4"/>
  <c r="AC368" i="4"/>
  <c r="AB368" i="4"/>
  <c r="Z368" i="4"/>
  <c r="H368" i="4"/>
  <c r="BD368" i="4" s="1"/>
  <c r="G368" i="4"/>
  <c r="BW367" i="4"/>
  <c r="AK367" i="4"/>
  <c r="AJ367" i="4"/>
  <c r="AH367" i="4"/>
  <c r="AG367" i="4"/>
  <c r="AF367" i="4"/>
  <c r="AC367" i="4"/>
  <c r="AB367" i="4"/>
  <c r="Z367" i="4"/>
  <c r="H367" i="4"/>
  <c r="BD367" i="4" s="1"/>
  <c r="G367" i="4"/>
  <c r="BW366" i="4"/>
  <c r="AK366" i="4"/>
  <c r="AJ366" i="4"/>
  <c r="AH366" i="4"/>
  <c r="AG366" i="4"/>
  <c r="AF366" i="4"/>
  <c r="AC366" i="4"/>
  <c r="AB366" i="4"/>
  <c r="Z366" i="4"/>
  <c r="H366" i="4"/>
  <c r="AP366" i="4" s="1"/>
  <c r="G366" i="4"/>
  <c r="BW365" i="4"/>
  <c r="AK365" i="4"/>
  <c r="AJ365" i="4"/>
  <c r="AH365" i="4"/>
  <c r="AG365" i="4"/>
  <c r="AF365" i="4"/>
  <c r="AC365" i="4"/>
  <c r="AB365" i="4"/>
  <c r="Z365" i="4"/>
  <c r="H365" i="4"/>
  <c r="G365" i="4"/>
  <c r="O365" i="4" s="1"/>
  <c r="BW363" i="4"/>
  <c r="AK363" i="4"/>
  <c r="AJ363" i="4"/>
  <c r="AS362" i="4" s="1"/>
  <c r="AH363" i="4"/>
  <c r="AG363" i="4"/>
  <c r="AF363" i="4"/>
  <c r="AC363" i="4"/>
  <c r="AB363" i="4"/>
  <c r="Z363" i="4"/>
  <c r="H363" i="4"/>
  <c r="BD363" i="4" s="1"/>
  <c r="G363" i="4"/>
  <c r="AT362" i="4"/>
  <c r="BW361" i="4"/>
  <c r="AK361" i="4"/>
  <c r="AJ361" i="4"/>
  <c r="AH361" i="4"/>
  <c r="AG361" i="4"/>
  <c r="AF361" i="4"/>
  <c r="AE361" i="4"/>
  <c r="AD361" i="4"/>
  <c r="AC361" i="4"/>
  <c r="AB361" i="4"/>
  <c r="H361" i="4"/>
  <c r="BD361" i="4" s="1"/>
  <c r="G361" i="4"/>
  <c r="O361" i="4" s="1"/>
  <c r="BF361" i="4" s="1"/>
  <c r="BW360" i="4"/>
  <c r="AK360" i="4"/>
  <c r="AJ360" i="4"/>
  <c r="AH360" i="4"/>
  <c r="AG360" i="4"/>
  <c r="AF360" i="4"/>
  <c r="AE360" i="4"/>
  <c r="AD360" i="4"/>
  <c r="AC360" i="4"/>
  <c r="AB360" i="4"/>
  <c r="H360" i="4"/>
  <c r="G360" i="4"/>
  <c r="BW359" i="4"/>
  <c r="AK359" i="4"/>
  <c r="AJ359" i="4"/>
  <c r="AH359" i="4"/>
  <c r="AG359" i="4"/>
  <c r="AF359" i="4"/>
  <c r="AE359" i="4"/>
  <c r="AD359" i="4"/>
  <c r="Z359" i="4"/>
  <c r="H359" i="4"/>
  <c r="BD359" i="4" s="1"/>
  <c r="G359" i="4"/>
  <c r="BW358" i="4"/>
  <c r="AK358" i="4"/>
  <c r="AJ358" i="4"/>
  <c r="AH358" i="4"/>
  <c r="AG358" i="4"/>
  <c r="AF358" i="4"/>
  <c r="AE358" i="4"/>
  <c r="AD358" i="4"/>
  <c r="Z358" i="4"/>
  <c r="H358" i="4"/>
  <c r="BD358" i="4" s="1"/>
  <c r="G358" i="4"/>
  <c r="BW357" i="4"/>
  <c r="AK357" i="4"/>
  <c r="AJ357" i="4"/>
  <c r="AH357" i="4"/>
  <c r="AG357" i="4"/>
  <c r="AF357" i="4"/>
  <c r="AE357" i="4"/>
  <c r="AD357" i="4"/>
  <c r="Z357" i="4"/>
  <c r="H357" i="4"/>
  <c r="BD357" i="4" s="1"/>
  <c r="G357" i="4"/>
  <c r="BW356" i="4"/>
  <c r="AK356" i="4"/>
  <c r="AJ356" i="4"/>
  <c r="AH356" i="4"/>
  <c r="AG356" i="4"/>
  <c r="AF356" i="4"/>
  <c r="AE356" i="4"/>
  <c r="AD356" i="4"/>
  <c r="Z356" i="4"/>
  <c r="H356" i="4"/>
  <c r="AP356" i="4" s="1"/>
  <c r="G356" i="4"/>
  <c r="BJ356" i="4" s="1"/>
  <c r="BW355" i="4"/>
  <c r="AK355" i="4"/>
  <c r="AJ355" i="4"/>
  <c r="AH355" i="4"/>
  <c r="AG355" i="4"/>
  <c r="AF355" i="4"/>
  <c r="AE355" i="4"/>
  <c r="AD355" i="4"/>
  <c r="Z355" i="4"/>
  <c r="H355" i="4"/>
  <c r="AP355" i="4" s="1"/>
  <c r="G355" i="4"/>
  <c r="O355" i="4" s="1"/>
  <c r="BF355" i="4" s="1"/>
  <c r="BW354" i="4"/>
  <c r="AK354" i="4"/>
  <c r="AJ354" i="4"/>
  <c r="AH354" i="4"/>
  <c r="AG354" i="4"/>
  <c r="AF354" i="4"/>
  <c r="AE354" i="4"/>
  <c r="AD354" i="4"/>
  <c r="Z354" i="4"/>
  <c r="H354" i="4"/>
  <c r="AO354" i="4" s="1"/>
  <c r="G354" i="4"/>
  <c r="O354" i="4" s="1"/>
  <c r="BF354" i="4" s="1"/>
  <c r="BW353" i="4"/>
  <c r="AK353" i="4"/>
  <c r="AJ353" i="4"/>
  <c r="AH353" i="4"/>
  <c r="AG353" i="4"/>
  <c r="AF353" i="4"/>
  <c r="AE353" i="4"/>
  <c r="AD353" i="4"/>
  <c r="Z353" i="4"/>
  <c r="H353" i="4"/>
  <c r="BD353" i="4" s="1"/>
  <c r="G353" i="4"/>
  <c r="O353" i="4" s="1"/>
  <c r="BW350" i="4"/>
  <c r="AK350" i="4"/>
  <c r="AJ350" i="4"/>
  <c r="AS349" i="4" s="1"/>
  <c r="AH350" i="4"/>
  <c r="AG350" i="4"/>
  <c r="AF350" i="4"/>
  <c r="AE350" i="4"/>
  <c r="AD350" i="4"/>
  <c r="AC350" i="4"/>
  <c r="AB350" i="4"/>
  <c r="Z350" i="4"/>
  <c r="H350" i="4"/>
  <c r="BD350" i="4" s="1"/>
  <c r="G350" i="4"/>
  <c r="AT349" i="4"/>
  <c r="BW347" i="4"/>
  <c r="AK347" i="4"/>
  <c r="AJ347" i="4"/>
  <c r="AH347" i="4"/>
  <c r="AG347" i="4"/>
  <c r="AF347" i="4"/>
  <c r="AC347" i="4"/>
  <c r="AB347" i="4"/>
  <c r="Z347" i="4"/>
  <c r="H347" i="4"/>
  <c r="AP347" i="4" s="1"/>
  <c r="G347" i="4"/>
  <c r="BW346" i="4"/>
  <c r="AK346" i="4"/>
  <c r="AJ346" i="4"/>
  <c r="AS345" i="4" s="1"/>
  <c r="AH346" i="4"/>
  <c r="AG346" i="4"/>
  <c r="AF346" i="4"/>
  <c r="AC346" i="4"/>
  <c r="AB346" i="4"/>
  <c r="Z346" i="4"/>
  <c r="O346" i="4"/>
  <c r="H346" i="4"/>
  <c r="G346" i="4"/>
  <c r="BW344" i="4"/>
  <c r="AK344" i="4"/>
  <c r="AJ344" i="4"/>
  <c r="AH344" i="4"/>
  <c r="AG344" i="4"/>
  <c r="AF344" i="4"/>
  <c r="AC344" i="4"/>
  <c r="AB344" i="4"/>
  <c r="Z344" i="4"/>
  <c r="H344" i="4"/>
  <c r="BD344" i="4" s="1"/>
  <c r="G344" i="4"/>
  <c r="BW343" i="4"/>
  <c r="AK343" i="4"/>
  <c r="AJ343" i="4"/>
  <c r="AH343" i="4"/>
  <c r="AG343" i="4"/>
  <c r="AF343" i="4"/>
  <c r="AC343" i="4"/>
  <c r="AB343" i="4"/>
  <c r="Z343" i="4"/>
  <c r="H343" i="4"/>
  <c r="G343" i="4"/>
  <c r="BW342" i="4"/>
  <c r="AK342" i="4"/>
  <c r="AJ342" i="4"/>
  <c r="AH342" i="4"/>
  <c r="AG342" i="4"/>
  <c r="AF342" i="4"/>
  <c r="AC342" i="4"/>
  <c r="AB342" i="4"/>
  <c r="Z342" i="4"/>
  <c r="H342" i="4"/>
  <c r="AP342" i="4" s="1"/>
  <c r="G342" i="4"/>
  <c r="BW341" i="4"/>
  <c r="AK341" i="4"/>
  <c r="AJ341" i="4"/>
  <c r="AH341" i="4"/>
  <c r="AG341" i="4"/>
  <c r="AF341" i="4"/>
  <c r="AC341" i="4"/>
  <c r="AB341" i="4"/>
  <c r="Z341" i="4"/>
  <c r="H341" i="4"/>
  <c r="AO341" i="4" s="1"/>
  <c r="BH341" i="4" s="1"/>
  <c r="AD341" i="4" s="1"/>
  <c r="G341" i="4"/>
  <c r="O341" i="4" s="1"/>
  <c r="BF341" i="4" s="1"/>
  <c r="BW340" i="4"/>
  <c r="AK340" i="4"/>
  <c r="AJ340" i="4"/>
  <c r="AH340" i="4"/>
  <c r="AG340" i="4"/>
  <c r="AF340" i="4"/>
  <c r="AC340" i="4"/>
  <c r="AB340" i="4"/>
  <c r="Z340" i="4"/>
  <c r="H340" i="4"/>
  <c r="AP340" i="4" s="1"/>
  <c r="G340" i="4"/>
  <c r="O340" i="4" s="1"/>
  <c r="BF340" i="4" s="1"/>
  <c r="BW339" i="4"/>
  <c r="AK339" i="4"/>
  <c r="AJ339" i="4"/>
  <c r="AH339" i="4"/>
  <c r="AG339" i="4"/>
  <c r="AF339" i="4"/>
  <c r="AC339" i="4"/>
  <c r="AB339" i="4"/>
  <c r="Z339" i="4"/>
  <c r="H339" i="4"/>
  <c r="G339" i="4"/>
  <c r="O339" i="4" s="1"/>
  <c r="BF339" i="4" s="1"/>
  <c r="BW338" i="4"/>
  <c r="AK338" i="4"/>
  <c r="AJ338" i="4"/>
  <c r="AH338" i="4"/>
  <c r="AG338" i="4"/>
  <c r="AF338" i="4"/>
  <c r="AC338" i="4"/>
  <c r="AB338" i="4"/>
  <c r="Z338" i="4"/>
  <c r="H338" i="4"/>
  <c r="BD338" i="4" s="1"/>
  <c r="G338" i="4"/>
  <c r="BW337" i="4"/>
  <c r="AK337" i="4"/>
  <c r="AJ337" i="4"/>
  <c r="AH337" i="4"/>
  <c r="AG337" i="4"/>
  <c r="AF337" i="4"/>
  <c r="AC337" i="4"/>
  <c r="AB337" i="4"/>
  <c r="Z337" i="4"/>
  <c r="H337" i="4"/>
  <c r="AO337" i="4" s="1"/>
  <c r="G337" i="4"/>
  <c r="BW336" i="4"/>
  <c r="AK336" i="4"/>
  <c r="AJ336" i="4"/>
  <c r="AH336" i="4"/>
  <c r="AG336" i="4"/>
  <c r="AF336" i="4"/>
  <c r="AC336" i="4"/>
  <c r="AB336" i="4"/>
  <c r="Z336" i="4"/>
  <c r="H336" i="4"/>
  <c r="BD336" i="4" s="1"/>
  <c r="G336" i="4"/>
  <c r="BJ336" i="4" s="1"/>
  <c r="BW335" i="4"/>
  <c r="AK335" i="4"/>
  <c r="AJ335" i="4"/>
  <c r="AH335" i="4"/>
  <c r="AG335" i="4"/>
  <c r="AF335" i="4"/>
  <c r="AC335" i="4"/>
  <c r="AB335" i="4"/>
  <c r="Z335" i="4"/>
  <c r="H335" i="4"/>
  <c r="G335" i="4"/>
  <c r="BW334" i="4"/>
  <c r="AO334" i="4"/>
  <c r="AK334" i="4"/>
  <c r="AJ334" i="4"/>
  <c r="AH334" i="4"/>
  <c r="AG334" i="4"/>
  <c r="AF334" i="4"/>
  <c r="AC334" i="4"/>
  <c r="AB334" i="4"/>
  <c r="Z334" i="4"/>
  <c r="H334" i="4"/>
  <c r="AP334" i="4" s="1"/>
  <c r="G334" i="4"/>
  <c r="BW333" i="4"/>
  <c r="BD333" i="4"/>
  <c r="AK333" i="4"/>
  <c r="AJ333" i="4"/>
  <c r="AH333" i="4"/>
  <c r="AG333" i="4"/>
  <c r="AF333" i="4"/>
  <c r="AC333" i="4"/>
  <c r="AB333" i="4"/>
  <c r="Z333" i="4"/>
  <c r="H333" i="4"/>
  <c r="G333" i="4"/>
  <c r="O333" i="4" s="1"/>
  <c r="BF333" i="4" s="1"/>
  <c r="BW332" i="4"/>
  <c r="AK332" i="4"/>
  <c r="AJ332" i="4"/>
  <c r="AH332" i="4"/>
  <c r="AG332" i="4"/>
  <c r="AF332" i="4"/>
  <c r="AC332" i="4"/>
  <c r="AB332" i="4"/>
  <c r="Z332" i="4"/>
  <c r="H332" i="4"/>
  <c r="AP332" i="4" s="1"/>
  <c r="G332" i="4"/>
  <c r="O332" i="4" s="1"/>
  <c r="BF332" i="4" s="1"/>
  <c r="BW331" i="4"/>
  <c r="AK331" i="4"/>
  <c r="AJ331" i="4"/>
  <c r="AH331" i="4"/>
  <c r="AG331" i="4"/>
  <c r="AF331" i="4"/>
  <c r="AC331" i="4"/>
  <c r="AB331" i="4"/>
  <c r="Z331" i="4"/>
  <c r="H331" i="4"/>
  <c r="G331" i="4"/>
  <c r="L331" i="4" s="1"/>
  <c r="AL331" i="4" s="1"/>
  <c r="BW330" i="4"/>
  <c r="AK330" i="4"/>
  <c r="AJ330" i="4"/>
  <c r="AH330" i="4"/>
  <c r="AG330" i="4"/>
  <c r="AF330" i="4"/>
  <c r="AC330" i="4"/>
  <c r="AB330" i="4"/>
  <c r="Z330" i="4"/>
  <c r="H330" i="4"/>
  <c r="AO330" i="4" s="1"/>
  <c r="G330" i="4"/>
  <c r="O330" i="4" s="1"/>
  <c r="BW328" i="4"/>
  <c r="AK328" i="4"/>
  <c r="AJ328" i="4"/>
  <c r="AH328" i="4"/>
  <c r="AG328" i="4"/>
  <c r="AF328" i="4"/>
  <c r="AC328" i="4"/>
  <c r="AB328" i="4"/>
  <c r="Z328" i="4"/>
  <c r="H328" i="4"/>
  <c r="AP328" i="4" s="1"/>
  <c r="AX328" i="4" s="1"/>
  <c r="G328" i="4"/>
  <c r="BW327" i="4"/>
  <c r="AK327" i="4"/>
  <c r="AJ327" i="4"/>
  <c r="AH327" i="4"/>
  <c r="AG327" i="4"/>
  <c r="AF327" i="4"/>
  <c r="AC327" i="4"/>
  <c r="AB327" i="4"/>
  <c r="Z327" i="4"/>
  <c r="H327" i="4"/>
  <c r="AP327" i="4" s="1"/>
  <c r="AX327" i="4" s="1"/>
  <c r="G327" i="4"/>
  <c r="O327" i="4" s="1"/>
  <c r="BF327" i="4" s="1"/>
  <c r="BW326" i="4"/>
  <c r="AK326" i="4"/>
  <c r="AJ326" i="4"/>
  <c r="AH326" i="4"/>
  <c r="AG326" i="4"/>
  <c r="AF326" i="4"/>
  <c r="AC326" i="4"/>
  <c r="AB326" i="4"/>
  <c r="Z326" i="4"/>
  <c r="H326" i="4"/>
  <c r="BD326" i="4" s="1"/>
  <c r="G326" i="4"/>
  <c r="O326" i="4" s="1"/>
  <c r="BF326" i="4" s="1"/>
  <c r="BW325" i="4"/>
  <c r="AK325" i="4"/>
  <c r="AJ325" i="4"/>
  <c r="AH325" i="4"/>
  <c r="AG325" i="4"/>
  <c r="AF325" i="4"/>
  <c r="AC325" i="4"/>
  <c r="AB325" i="4"/>
  <c r="Z325" i="4"/>
  <c r="H325" i="4"/>
  <c r="BD325" i="4" s="1"/>
  <c r="G325" i="4"/>
  <c r="BW324" i="4"/>
  <c r="AK324" i="4"/>
  <c r="AJ324" i="4"/>
  <c r="AH324" i="4"/>
  <c r="AG324" i="4"/>
  <c r="AF324" i="4"/>
  <c r="AC324" i="4"/>
  <c r="AB324" i="4"/>
  <c r="Z324" i="4"/>
  <c r="H324" i="4"/>
  <c r="AP324" i="4" s="1"/>
  <c r="G324" i="4"/>
  <c r="BW323" i="4"/>
  <c r="AK323" i="4"/>
  <c r="AJ323" i="4"/>
  <c r="AH323" i="4"/>
  <c r="AG323" i="4"/>
  <c r="AF323" i="4"/>
  <c r="AC323" i="4"/>
  <c r="AB323" i="4"/>
  <c r="Z323" i="4"/>
  <c r="H323" i="4"/>
  <c r="G323" i="4"/>
  <c r="O323" i="4" s="1"/>
  <c r="BF323" i="4" s="1"/>
  <c r="BW322" i="4"/>
  <c r="AK322" i="4"/>
  <c r="AJ322" i="4"/>
  <c r="AH322" i="4"/>
  <c r="AG322" i="4"/>
  <c r="AF322" i="4"/>
  <c r="AC322" i="4"/>
  <c r="AB322" i="4"/>
  <c r="Z322" i="4"/>
  <c r="H322" i="4"/>
  <c r="AO322" i="4" s="1"/>
  <c r="G322" i="4"/>
  <c r="BW321" i="4"/>
  <c r="AK321" i="4"/>
  <c r="AJ321" i="4"/>
  <c r="AH321" i="4"/>
  <c r="AG321" i="4"/>
  <c r="AF321" i="4"/>
  <c r="AC321" i="4"/>
  <c r="AB321" i="4"/>
  <c r="Z321" i="4"/>
  <c r="H321" i="4"/>
  <c r="G321" i="4"/>
  <c r="BW320" i="4"/>
  <c r="AK320" i="4"/>
  <c r="AJ320" i="4"/>
  <c r="AH320" i="4"/>
  <c r="AG320" i="4"/>
  <c r="AF320" i="4"/>
  <c r="AC320" i="4"/>
  <c r="AB320" i="4"/>
  <c r="Z320" i="4"/>
  <c r="H320" i="4"/>
  <c r="G320" i="4"/>
  <c r="BW319" i="4"/>
  <c r="AK319" i="4"/>
  <c r="AJ319" i="4"/>
  <c r="AH319" i="4"/>
  <c r="AG319" i="4"/>
  <c r="AF319" i="4"/>
  <c r="AC319" i="4"/>
  <c r="AB319" i="4"/>
  <c r="Z319" i="4"/>
  <c r="O319" i="4"/>
  <c r="BF319" i="4" s="1"/>
  <c r="H319" i="4"/>
  <c r="G319" i="4"/>
  <c r="BW318" i="4"/>
  <c r="BD318" i="4"/>
  <c r="AK318" i="4"/>
  <c r="AJ318" i="4"/>
  <c r="AH318" i="4"/>
  <c r="AG318" i="4"/>
  <c r="AF318" i="4"/>
  <c r="AC318" i="4"/>
  <c r="AB318" i="4"/>
  <c r="Z318" i="4"/>
  <c r="H318" i="4"/>
  <c r="AO318" i="4" s="1"/>
  <c r="G318" i="4"/>
  <c r="O318" i="4" s="1"/>
  <c r="BF318" i="4" s="1"/>
  <c r="BW316" i="4"/>
  <c r="AK316" i="4"/>
  <c r="AJ316" i="4"/>
  <c r="AH316" i="4"/>
  <c r="AG316" i="4"/>
  <c r="AF316" i="4"/>
  <c r="AC316" i="4"/>
  <c r="AB316" i="4"/>
  <c r="Z316" i="4"/>
  <c r="H316" i="4"/>
  <c r="AP316" i="4" s="1"/>
  <c r="G316" i="4"/>
  <c r="BW315" i="4"/>
  <c r="AK315" i="4"/>
  <c r="AJ315" i="4"/>
  <c r="AH315" i="4"/>
  <c r="AG315" i="4"/>
  <c r="AF315" i="4"/>
  <c r="AC315" i="4"/>
  <c r="AB315" i="4"/>
  <c r="Z315" i="4"/>
  <c r="H315" i="4"/>
  <c r="AO315" i="4" s="1"/>
  <c r="G315" i="4"/>
  <c r="BW314" i="4"/>
  <c r="AK314" i="4"/>
  <c r="AJ314" i="4"/>
  <c r="AH314" i="4"/>
  <c r="AG314" i="4"/>
  <c r="AF314" i="4"/>
  <c r="AC314" i="4"/>
  <c r="AB314" i="4"/>
  <c r="Z314" i="4"/>
  <c r="H314" i="4"/>
  <c r="AP314" i="4" s="1"/>
  <c r="G314" i="4"/>
  <c r="BW313" i="4"/>
  <c r="AK313" i="4"/>
  <c r="AJ313" i="4"/>
  <c r="AH313" i="4"/>
  <c r="AG313" i="4"/>
  <c r="AF313" i="4"/>
  <c r="AC313" i="4"/>
  <c r="AB313" i="4"/>
  <c r="Z313" i="4"/>
  <c r="H313" i="4"/>
  <c r="BD313" i="4" s="1"/>
  <c r="G313" i="4"/>
  <c r="BW312" i="4"/>
  <c r="AK312" i="4"/>
  <c r="AJ312" i="4"/>
  <c r="AH312" i="4"/>
  <c r="AG312" i="4"/>
  <c r="AF312" i="4"/>
  <c r="AC312" i="4"/>
  <c r="AB312" i="4"/>
  <c r="Z312" i="4"/>
  <c r="H312" i="4"/>
  <c r="G312" i="4"/>
  <c r="BW311" i="4"/>
  <c r="AK311" i="4"/>
  <c r="AJ311" i="4"/>
  <c r="AH311" i="4"/>
  <c r="AG311" i="4"/>
  <c r="AF311" i="4"/>
  <c r="AC311" i="4"/>
  <c r="AB311" i="4"/>
  <c r="Z311" i="4"/>
  <c r="H311" i="4"/>
  <c r="BD311" i="4" s="1"/>
  <c r="G311" i="4"/>
  <c r="BW310" i="4"/>
  <c r="AK310" i="4"/>
  <c r="AJ310" i="4"/>
  <c r="AH310" i="4"/>
  <c r="AG310" i="4"/>
  <c r="AF310" i="4"/>
  <c r="AC310" i="4"/>
  <c r="AB310" i="4"/>
  <c r="Z310" i="4"/>
  <c r="H310" i="4"/>
  <c r="AP310" i="4" s="1"/>
  <c r="G310" i="4"/>
  <c r="BW308" i="4"/>
  <c r="AK308" i="4"/>
  <c r="AJ308" i="4"/>
  <c r="AS307" i="4" s="1"/>
  <c r="AH308" i="4"/>
  <c r="AG308" i="4"/>
  <c r="AF308" i="4"/>
  <c r="AC308" i="4"/>
  <c r="AB308" i="4"/>
  <c r="Z308" i="4"/>
  <c r="O308" i="4"/>
  <c r="H308" i="4"/>
  <c r="AO308" i="4" s="1"/>
  <c r="G308" i="4"/>
  <c r="AT307" i="4"/>
  <c r="BW306" i="4"/>
  <c r="AK306" i="4"/>
  <c r="AJ306" i="4"/>
  <c r="AH306" i="4"/>
  <c r="AG306" i="4"/>
  <c r="AF306" i="4"/>
  <c r="AC306" i="4"/>
  <c r="AB306" i="4"/>
  <c r="Z306" i="4"/>
  <c r="H306" i="4"/>
  <c r="BD306" i="4" s="1"/>
  <c r="G306" i="4"/>
  <c r="BW305" i="4"/>
  <c r="AK305" i="4"/>
  <c r="AJ305" i="4"/>
  <c r="AH305" i="4"/>
  <c r="AG305" i="4"/>
  <c r="AF305" i="4"/>
  <c r="AC305" i="4"/>
  <c r="AB305" i="4"/>
  <c r="Z305" i="4"/>
  <c r="H305" i="4"/>
  <c r="AO305" i="4" s="1"/>
  <c r="G305" i="4"/>
  <c r="L305" i="4" s="1"/>
  <c r="BW304" i="4"/>
  <c r="AK304" i="4"/>
  <c r="AJ304" i="4"/>
  <c r="AH304" i="4"/>
  <c r="AG304" i="4"/>
  <c r="AF304" i="4"/>
  <c r="AC304" i="4"/>
  <c r="AB304" i="4"/>
  <c r="Z304" i="4"/>
  <c r="H304" i="4"/>
  <c r="G304" i="4"/>
  <c r="O304" i="4" s="1"/>
  <c r="BF304" i="4" s="1"/>
  <c r="BW303" i="4"/>
  <c r="AK303" i="4"/>
  <c r="AJ303" i="4"/>
  <c r="AH303" i="4"/>
  <c r="AG303" i="4"/>
  <c r="AF303" i="4"/>
  <c r="AC303" i="4"/>
  <c r="AB303" i="4"/>
  <c r="Z303" i="4"/>
  <c r="H303" i="4"/>
  <c r="G303" i="4"/>
  <c r="O303" i="4" s="1"/>
  <c r="BF303" i="4" s="1"/>
  <c r="BW302" i="4"/>
  <c r="AK302" i="4"/>
  <c r="AJ302" i="4"/>
  <c r="AH302" i="4"/>
  <c r="AG302" i="4"/>
  <c r="AF302" i="4"/>
  <c r="AC302" i="4"/>
  <c r="AB302" i="4"/>
  <c r="Z302" i="4"/>
  <c r="H302" i="4"/>
  <c r="BD302" i="4" s="1"/>
  <c r="G302" i="4"/>
  <c r="BW301" i="4"/>
  <c r="AK301" i="4"/>
  <c r="AJ301" i="4"/>
  <c r="AH301" i="4"/>
  <c r="AG301" i="4"/>
  <c r="AF301" i="4"/>
  <c r="AC301" i="4"/>
  <c r="AB301" i="4"/>
  <c r="Z301" i="4"/>
  <c r="H301" i="4"/>
  <c r="G301" i="4"/>
  <c r="BW300" i="4"/>
  <c r="AK300" i="4"/>
  <c r="AJ300" i="4"/>
  <c r="AH300" i="4"/>
  <c r="AG300" i="4"/>
  <c r="AF300" i="4"/>
  <c r="AC300" i="4"/>
  <c r="AB300" i="4"/>
  <c r="Z300" i="4"/>
  <c r="H300" i="4"/>
  <c r="BD300" i="4" s="1"/>
  <c r="G300" i="4"/>
  <c r="BW299" i="4"/>
  <c r="AK299" i="4"/>
  <c r="AJ299" i="4"/>
  <c r="AH299" i="4"/>
  <c r="AG299" i="4"/>
  <c r="AF299" i="4"/>
  <c r="AC299" i="4"/>
  <c r="AB299" i="4"/>
  <c r="Z299" i="4"/>
  <c r="H299" i="4"/>
  <c r="BD299" i="4" s="1"/>
  <c r="G299" i="4"/>
  <c r="BW298" i="4"/>
  <c r="AK298" i="4"/>
  <c r="AJ298" i="4"/>
  <c r="AH298" i="4"/>
  <c r="AG298" i="4"/>
  <c r="AF298" i="4"/>
  <c r="AC298" i="4"/>
  <c r="AB298" i="4"/>
  <c r="Z298" i="4"/>
  <c r="H298" i="4"/>
  <c r="G298" i="4"/>
  <c r="BW296" i="4"/>
  <c r="AK296" i="4"/>
  <c r="AJ296" i="4"/>
  <c r="AH296" i="4"/>
  <c r="AG296" i="4"/>
  <c r="AF296" i="4"/>
  <c r="AC296" i="4"/>
  <c r="AB296" i="4"/>
  <c r="Z296" i="4"/>
  <c r="H296" i="4"/>
  <c r="BD296" i="4" s="1"/>
  <c r="G296" i="4"/>
  <c r="O296" i="4" s="1"/>
  <c r="BF296" i="4" s="1"/>
  <c r="BW295" i="4"/>
  <c r="AK295" i="4"/>
  <c r="AJ295" i="4"/>
  <c r="AH295" i="4"/>
  <c r="AG295" i="4"/>
  <c r="AF295" i="4"/>
  <c r="AC295" i="4"/>
  <c r="AB295" i="4"/>
  <c r="Z295" i="4"/>
  <c r="H295" i="4"/>
  <c r="AO295" i="4" s="1"/>
  <c r="G295" i="4"/>
  <c r="BW294" i="4"/>
  <c r="AK294" i="4"/>
  <c r="AJ294" i="4"/>
  <c r="AH294" i="4"/>
  <c r="AG294" i="4"/>
  <c r="AF294" i="4"/>
  <c r="AC294" i="4"/>
  <c r="AB294" i="4"/>
  <c r="Z294" i="4"/>
  <c r="H294" i="4"/>
  <c r="G294" i="4"/>
  <c r="O294" i="4" s="1"/>
  <c r="BF294" i="4" s="1"/>
  <c r="BW293" i="4"/>
  <c r="AK293" i="4"/>
  <c r="AJ293" i="4"/>
  <c r="AH293" i="4"/>
  <c r="AG293" i="4"/>
  <c r="AF293" i="4"/>
  <c r="AC293" i="4"/>
  <c r="AB293" i="4"/>
  <c r="Z293" i="4"/>
  <c r="H293" i="4"/>
  <c r="BD293" i="4" s="1"/>
  <c r="G293" i="4"/>
  <c r="BW292" i="4"/>
  <c r="AK292" i="4"/>
  <c r="AJ292" i="4"/>
  <c r="AH292" i="4"/>
  <c r="AG292" i="4"/>
  <c r="AF292" i="4"/>
  <c r="AC292" i="4"/>
  <c r="AB292" i="4"/>
  <c r="Z292" i="4"/>
  <c r="H292" i="4"/>
  <c r="AO292" i="4" s="1"/>
  <c r="G292" i="4"/>
  <c r="BW290" i="4"/>
  <c r="AK290" i="4"/>
  <c r="AJ290" i="4"/>
  <c r="AS289" i="4" s="1"/>
  <c r="AH290" i="4"/>
  <c r="AG290" i="4"/>
  <c r="AF290" i="4"/>
  <c r="AC290" i="4"/>
  <c r="AB290" i="4"/>
  <c r="Z290" i="4"/>
  <c r="H290" i="4"/>
  <c r="AO290" i="4" s="1"/>
  <c r="G290" i="4"/>
  <c r="O290" i="4" s="1"/>
  <c r="O289" i="4" s="1"/>
  <c r="AT289" i="4"/>
  <c r="BW288" i="4"/>
  <c r="AK288" i="4"/>
  <c r="AJ288" i="4"/>
  <c r="AH288" i="4"/>
  <c r="AG288" i="4"/>
  <c r="AF288" i="4"/>
  <c r="AE288" i="4"/>
  <c r="AD288" i="4"/>
  <c r="AC288" i="4"/>
  <c r="AB288" i="4"/>
  <c r="H288" i="4"/>
  <c r="BD288" i="4" s="1"/>
  <c r="G288" i="4"/>
  <c r="BW287" i="4"/>
  <c r="AK287" i="4"/>
  <c r="AJ287" i="4"/>
  <c r="AH287" i="4"/>
  <c r="AG287" i="4"/>
  <c r="AF287" i="4"/>
  <c r="AE287" i="4"/>
  <c r="AD287" i="4"/>
  <c r="AC287" i="4"/>
  <c r="AB287" i="4"/>
  <c r="H287" i="4"/>
  <c r="G287" i="4"/>
  <c r="BW286" i="4"/>
  <c r="AK286" i="4"/>
  <c r="AJ286" i="4"/>
  <c r="AH286" i="4"/>
  <c r="AG286" i="4"/>
  <c r="AF286" i="4"/>
  <c r="AE286" i="4"/>
  <c r="AD286" i="4"/>
  <c r="Z286" i="4"/>
  <c r="H286" i="4"/>
  <c r="G286" i="4"/>
  <c r="O286" i="4" s="1"/>
  <c r="BF286" i="4" s="1"/>
  <c r="BW285" i="4"/>
  <c r="AK285" i="4"/>
  <c r="AJ285" i="4"/>
  <c r="AH285" i="4"/>
  <c r="AG285" i="4"/>
  <c r="AF285" i="4"/>
  <c r="AE285" i="4"/>
  <c r="AD285" i="4"/>
  <c r="Z285" i="4"/>
  <c r="H285" i="4"/>
  <c r="AO285" i="4" s="1"/>
  <c r="G285" i="4"/>
  <c r="BW284" i="4"/>
  <c r="AK284" i="4"/>
  <c r="AJ284" i="4"/>
  <c r="AH284" i="4"/>
  <c r="AG284" i="4"/>
  <c r="AF284" i="4"/>
  <c r="AE284" i="4"/>
  <c r="AD284" i="4"/>
  <c r="Z284" i="4"/>
  <c r="H284" i="4"/>
  <c r="G284" i="4"/>
  <c r="O284" i="4" s="1"/>
  <c r="BF284" i="4" s="1"/>
  <c r="BW283" i="4"/>
  <c r="AK283" i="4"/>
  <c r="AJ283" i="4"/>
  <c r="AH283" i="4"/>
  <c r="AG283" i="4"/>
  <c r="AF283" i="4"/>
  <c r="AE283" i="4"/>
  <c r="AD283" i="4"/>
  <c r="Z283" i="4"/>
  <c r="H283" i="4"/>
  <c r="BD283" i="4" s="1"/>
  <c r="G283" i="4"/>
  <c r="BW282" i="4"/>
  <c r="AK282" i="4"/>
  <c r="AJ282" i="4"/>
  <c r="AH282" i="4"/>
  <c r="AG282" i="4"/>
  <c r="AF282" i="4"/>
  <c r="AE282" i="4"/>
  <c r="AD282" i="4"/>
  <c r="Z282" i="4"/>
  <c r="H282" i="4"/>
  <c r="G282" i="4"/>
  <c r="BW281" i="4"/>
  <c r="AK281" i="4"/>
  <c r="AJ281" i="4"/>
  <c r="AH281" i="4"/>
  <c r="AG281" i="4"/>
  <c r="AF281" i="4"/>
  <c r="AE281" i="4"/>
  <c r="AD281" i="4"/>
  <c r="Z281" i="4"/>
  <c r="H281" i="4"/>
  <c r="AP281" i="4" s="1"/>
  <c r="G281" i="4"/>
  <c r="BW280" i="4"/>
  <c r="AK280" i="4"/>
  <c r="AJ280" i="4"/>
  <c r="AH280" i="4"/>
  <c r="AG280" i="4"/>
  <c r="AF280" i="4"/>
  <c r="AE280" i="4"/>
  <c r="AD280" i="4"/>
  <c r="Z280" i="4"/>
  <c r="H280" i="4"/>
  <c r="AP280" i="4" s="1"/>
  <c r="G280" i="4"/>
  <c r="BW277" i="4"/>
  <c r="AK277" i="4"/>
  <c r="AJ277" i="4"/>
  <c r="AH277" i="4"/>
  <c r="AG277" i="4"/>
  <c r="AF277" i="4"/>
  <c r="AC277" i="4"/>
  <c r="AB277" i="4"/>
  <c r="Z277" i="4"/>
  <c r="H277" i="4"/>
  <c r="AP277" i="4" s="1"/>
  <c r="G277" i="4"/>
  <c r="O277" i="4" s="1"/>
  <c r="BF277" i="4" s="1"/>
  <c r="BW276" i="4"/>
  <c r="AK276" i="4"/>
  <c r="AT275" i="4" s="1"/>
  <c r="AJ276" i="4"/>
  <c r="AH276" i="4"/>
  <c r="AG276" i="4"/>
  <c r="AF276" i="4"/>
  <c r="AC276" i="4"/>
  <c r="AB276" i="4"/>
  <c r="Z276" i="4"/>
  <c r="H276" i="4"/>
  <c r="BD276" i="4" s="1"/>
  <c r="G276" i="4"/>
  <c r="BW274" i="4"/>
  <c r="AK274" i="4"/>
  <c r="AJ274" i="4"/>
  <c r="AH274" i="4"/>
  <c r="AG274" i="4"/>
  <c r="AF274" i="4"/>
  <c r="AC274" i="4"/>
  <c r="AB274" i="4"/>
  <c r="Z274" i="4"/>
  <c r="H274" i="4"/>
  <c r="G274" i="4"/>
  <c r="BW273" i="4"/>
  <c r="AK273" i="4"/>
  <c r="AJ273" i="4"/>
  <c r="AH273" i="4"/>
  <c r="AG273" i="4"/>
  <c r="AF273" i="4"/>
  <c r="AC273" i="4"/>
  <c r="AB273" i="4"/>
  <c r="Z273" i="4"/>
  <c r="H273" i="4"/>
  <c r="AP273" i="4" s="1"/>
  <c r="G273" i="4"/>
  <c r="BW272" i="4"/>
  <c r="AK272" i="4"/>
  <c r="AJ272" i="4"/>
  <c r="AH272" i="4"/>
  <c r="AG272" i="4"/>
  <c r="AF272" i="4"/>
  <c r="AC272" i="4"/>
  <c r="AB272" i="4"/>
  <c r="Z272" i="4"/>
  <c r="H272" i="4"/>
  <c r="AP272" i="4" s="1"/>
  <c r="G272" i="4"/>
  <c r="O272" i="4" s="1"/>
  <c r="BF272" i="4" s="1"/>
  <c r="BW271" i="4"/>
  <c r="AK271" i="4"/>
  <c r="AJ271" i="4"/>
  <c r="AH271" i="4"/>
  <c r="AG271" i="4"/>
  <c r="AF271" i="4"/>
  <c r="AC271" i="4"/>
  <c r="AB271" i="4"/>
  <c r="Z271" i="4"/>
  <c r="H271" i="4"/>
  <c r="BD271" i="4" s="1"/>
  <c r="G271" i="4"/>
  <c r="BJ271" i="4" s="1"/>
  <c r="BW270" i="4"/>
  <c r="AK270" i="4"/>
  <c r="AJ270" i="4"/>
  <c r="AH270" i="4"/>
  <c r="AG270" i="4"/>
  <c r="AF270" i="4"/>
  <c r="AC270" i="4"/>
  <c r="AB270" i="4"/>
  <c r="Z270" i="4"/>
  <c r="H270" i="4"/>
  <c r="BD270" i="4" s="1"/>
  <c r="G270" i="4"/>
  <c r="BW269" i="4"/>
  <c r="AK269" i="4"/>
  <c r="AJ269" i="4"/>
  <c r="AH269" i="4"/>
  <c r="AG269" i="4"/>
  <c r="AF269" i="4"/>
  <c r="AC269" i="4"/>
  <c r="AB269" i="4"/>
  <c r="Z269" i="4"/>
  <c r="H269" i="4"/>
  <c r="AP269" i="4" s="1"/>
  <c r="G269" i="4"/>
  <c r="O269" i="4" s="1"/>
  <c r="BF269" i="4" s="1"/>
  <c r="BW268" i="4"/>
  <c r="AK268" i="4"/>
  <c r="AJ268" i="4"/>
  <c r="AH268" i="4"/>
  <c r="AG268" i="4"/>
  <c r="AF268" i="4"/>
  <c r="AC268" i="4"/>
  <c r="AB268" i="4"/>
  <c r="Z268" i="4"/>
  <c r="H268" i="4"/>
  <c r="BD268" i="4" s="1"/>
  <c r="G268" i="4"/>
  <c r="BW267" i="4"/>
  <c r="AK267" i="4"/>
  <c r="AJ267" i="4"/>
  <c r="AH267" i="4"/>
  <c r="AG267" i="4"/>
  <c r="AF267" i="4"/>
  <c r="AC267" i="4"/>
  <c r="AB267" i="4"/>
  <c r="Z267" i="4"/>
  <c r="H267" i="4"/>
  <c r="AP267" i="4" s="1"/>
  <c r="G267" i="4"/>
  <c r="BJ267" i="4" s="1"/>
  <c r="BW266" i="4"/>
  <c r="AK266" i="4"/>
  <c r="AJ266" i="4"/>
  <c r="AH266" i="4"/>
  <c r="AG266" i="4"/>
  <c r="AF266" i="4"/>
  <c r="AC266" i="4"/>
  <c r="AB266" i="4"/>
  <c r="Z266" i="4"/>
  <c r="H266" i="4"/>
  <c r="G266" i="4"/>
  <c r="BW265" i="4"/>
  <c r="AK265" i="4"/>
  <c r="AJ265" i="4"/>
  <c r="AH265" i="4"/>
  <c r="AG265" i="4"/>
  <c r="AF265" i="4"/>
  <c r="AC265" i="4"/>
  <c r="AB265" i="4"/>
  <c r="Z265" i="4"/>
  <c r="H265" i="4"/>
  <c r="BJ265" i="4" s="1"/>
  <c r="G265" i="4"/>
  <c r="BW264" i="4"/>
  <c r="AK264" i="4"/>
  <c r="AJ264" i="4"/>
  <c r="AH264" i="4"/>
  <c r="AG264" i="4"/>
  <c r="AF264" i="4"/>
  <c r="AC264" i="4"/>
  <c r="AB264" i="4"/>
  <c r="Z264" i="4"/>
  <c r="H264" i="4"/>
  <c r="AP264" i="4" s="1"/>
  <c r="G264" i="4"/>
  <c r="L264" i="4" s="1"/>
  <c r="AL264" i="4" s="1"/>
  <c r="BW263" i="4"/>
  <c r="AK263" i="4"/>
  <c r="AJ263" i="4"/>
  <c r="AH263" i="4"/>
  <c r="AG263" i="4"/>
  <c r="AF263" i="4"/>
  <c r="AC263" i="4"/>
  <c r="AB263" i="4"/>
  <c r="Z263" i="4"/>
  <c r="H263" i="4"/>
  <c r="BD263" i="4" s="1"/>
  <c r="G263" i="4"/>
  <c r="BW262" i="4"/>
  <c r="AK262" i="4"/>
  <c r="AJ262" i="4"/>
  <c r="AH262" i="4"/>
  <c r="AG262" i="4"/>
  <c r="AF262" i="4"/>
  <c r="AC262" i="4"/>
  <c r="AB262" i="4"/>
  <c r="Z262" i="4"/>
  <c r="H262" i="4"/>
  <c r="BD262" i="4" s="1"/>
  <c r="G262" i="4"/>
  <c r="BJ262" i="4" s="1"/>
  <c r="BW261" i="4"/>
  <c r="AK261" i="4"/>
  <c r="AJ261" i="4"/>
  <c r="AH261" i="4"/>
  <c r="AG261" i="4"/>
  <c r="AF261" i="4"/>
  <c r="AC261" i="4"/>
  <c r="AB261" i="4"/>
  <c r="Z261" i="4"/>
  <c r="H261" i="4"/>
  <c r="BD261" i="4" s="1"/>
  <c r="G261" i="4"/>
  <c r="BW260" i="4"/>
  <c r="AK260" i="4"/>
  <c r="AJ260" i="4"/>
  <c r="AH260" i="4"/>
  <c r="AG260" i="4"/>
  <c r="AF260" i="4"/>
  <c r="AC260" i="4"/>
  <c r="AB260" i="4"/>
  <c r="Z260" i="4"/>
  <c r="H260" i="4"/>
  <c r="BD260" i="4" s="1"/>
  <c r="G260" i="4"/>
  <c r="O260" i="4" s="1"/>
  <c r="BW258" i="4"/>
  <c r="AK258" i="4"/>
  <c r="AJ258" i="4"/>
  <c r="AH258" i="4"/>
  <c r="AG258" i="4"/>
  <c r="AF258" i="4"/>
  <c r="AC258" i="4"/>
  <c r="AB258" i="4"/>
  <c r="Z258" i="4"/>
  <c r="H258" i="4"/>
  <c r="BD258" i="4" s="1"/>
  <c r="G258" i="4"/>
  <c r="O258" i="4" s="1"/>
  <c r="BF258" i="4" s="1"/>
  <c r="BW257" i="4"/>
  <c r="AK257" i="4"/>
  <c r="AJ257" i="4"/>
  <c r="AH257" i="4"/>
  <c r="AG257" i="4"/>
  <c r="AF257" i="4"/>
  <c r="AC257" i="4"/>
  <c r="AB257" i="4"/>
  <c r="Z257" i="4"/>
  <c r="H257" i="4"/>
  <c r="AP257" i="4" s="1"/>
  <c r="G257" i="4"/>
  <c r="O257" i="4" s="1"/>
  <c r="BF257" i="4" s="1"/>
  <c r="BW256" i="4"/>
  <c r="AK256" i="4"/>
  <c r="AJ256" i="4"/>
  <c r="AH256" i="4"/>
  <c r="AG256" i="4"/>
  <c r="AF256" i="4"/>
  <c r="AC256" i="4"/>
  <c r="AB256" i="4"/>
  <c r="Z256" i="4"/>
  <c r="H256" i="4"/>
  <c r="BD256" i="4" s="1"/>
  <c r="G256" i="4"/>
  <c r="O256" i="4" s="1"/>
  <c r="BF256" i="4" s="1"/>
  <c r="BW255" i="4"/>
  <c r="AK255" i="4"/>
  <c r="AJ255" i="4"/>
  <c r="AH255" i="4"/>
  <c r="AG255" i="4"/>
  <c r="AF255" i="4"/>
  <c r="AC255" i="4"/>
  <c r="AB255" i="4"/>
  <c r="Z255" i="4"/>
  <c r="H255" i="4"/>
  <c r="BD255" i="4" s="1"/>
  <c r="G255" i="4"/>
  <c r="O255" i="4" s="1"/>
  <c r="BF255" i="4" s="1"/>
  <c r="BW254" i="4"/>
  <c r="AK254" i="4"/>
  <c r="AJ254" i="4"/>
  <c r="AH254" i="4"/>
  <c r="AG254" i="4"/>
  <c r="AF254" i="4"/>
  <c r="AC254" i="4"/>
  <c r="AB254" i="4"/>
  <c r="Z254" i="4"/>
  <c r="H254" i="4"/>
  <c r="AP254" i="4" s="1"/>
  <c r="G254" i="4"/>
  <c r="BW253" i="4"/>
  <c r="AK253" i="4"/>
  <c r="AJ253" i="4"/>
  <c r="AH253" i="4"/>
  <c r="AG253" i="4"/>
  <c r="AF253" i="4"/>
  <c r="AC253" i="4"/>
  <c r="AB253" i="4"/>
  <c r="Z253" i="4"/>
  <c r="H253" i="4"/>
  <c r="G253" i="4"/>
  <c r="O253" i="4" s="1"/>
  <c r="BF253" i="4" s="1"/>
  <c r="BW252" i="4"/>
  <c r="AK252" i="4"/>
  <c r="AJ252" i="4"/>
  <c r="AH252" i="4"/>
  <c r="AG252" i="4"/>
  <c r="AF252" i="4"/>
  <c r="AC252" i="4"/>
  <c r="AB252" i="4"/>
  <c r="Z252" i="4"/>
  <c r="H252" i="4"/>
  <c r="AO252" i="4" s="1"/>
  <c r="G252" i="4"/>
  <c r="BW251" i="4"/>
  <c r="AK251" i="4"/>
  <c r="AJ251" i="4"/>
  <c r="AH251" i="4"/>
  <c r="AG251" i="4"/>
  <c r="AF251" i="4"/>
  <c r="AC251" i="4"/>
  <c r="AB251" i="4"/>
  <c r="Z251" i="4"/>
  <c r="O251" i="4"/>
  <c r="BF251" i="4" s="1"/>
  <c r="H251" i="4"/>
  <c r="AP251" i="4" s="1"/>
  <c r="BI251" i="4" s="1"/>
  <c r="AE251" i="4" s="1"/>
  <c r="G251" i="4"/>
  <c r="BW250" i="4"/>
  <c r="AK250" i="4"/>
  <c r="AJ250" i="4"/>
  <c r="AH250" i="4"/>
  <c r="AG250" i="4"/>
  <c r="AF250" i="4"/>
  <c r="AC250" i="4"/>
  <c r="AB250" i="4"/>
  <c r="Z250" i="4"/>
  <c r="H250" i="4"/>
  <c r="AO250" i="4" s="1"/>
  <c r="G250" i="4"/>
  <c r="BW249" i="4"/>
  <c r="AK249" i="4"/>
  <c r="AJ249" i="4"/>
  <c r="AH249" i="4"/>
  <c r="AG249" i="4"/>
  <c r="AF249" i="4"/>
  <c r="AC249" i="4"/>
  <c r="AB249" i="4"/>
  <c r="Z249" i="4"/>
  <c r="H249" i="4"/>
  <c r="G249" i="4"/>
  <c r="O249" i="4" s="1"/>
  <c r="BF249" i="4" s="1"/>
  <c r="BW248" i="4"/>
  <c r="AK248" i="4"/>
  <c r="AJ248" i="4"/>
  <c r="AH248" i="4"/>
  <c r="AG248" i="4"/>
  <c r="AF248" i="4"/>
  <c r="AC248" i="4"/>
  <c r="AB248" i="4"/>
  <c r="Z248" i="4"/>
  <c r="H248" i="4"/>
  <c r="G248" i="4"/>
  <c r="BW246" i="4"/>
  <c r="AK246" i="4"/>
  <c r="AJ246" i="4"/>
  <c r="AH246" i="4"/>
  <c r="AG246" i="4"/>
  <c r="AF246" i="4"/>
  <c r="AC246" i="4"/>
  <c r="AB246" i="4"/>
  <c r="Z246" i="4"/>
  <c r="H246" i="4"/>
  <c r="AP246" i="4" s="1"/>
  <c r="G246" i="4"/>
  <c r="O246" i="4" s="1"/>
  <c r="BF246" i="4" s="1"/>
  <c r="BW245" i="4"/>
  <c r="AK245" i="4"/>
  <c r="AJ245" i="4"/>
  <c r="AH245" i="4"/>
  <c r="AG245" i="4"/>
  <c r="AF245" i="4"/>
  <c r="AC245" i="4"/>
  <c r="AB245" i="4"/>
  <c r="Z245" i="4"/>
  <c r="H245" i="4"/>
  <c r="BD245" i="4" s="1"/>
  <c r="G245" i="4"/>
  <c r="L245" i="4" s="1"/>
  <c r="AL245" i="4" s="1"/>
  <c r="BW244" i="4"/>
  <c r="AK244" i="4"/>
  <c r="AJ244" i="4"/>
  <c r="AH244" i="4"/>
  <c r="AG244" i="4"/>
  <c r="AF244" i="4"/>
  <c r="AC244" i="4"/>
  <c r="AB244" i="4"/>
  <c r="Z244" i="4"/>
  <c r="H244" i="4"/>
  <c r="G244" i="4"/>
  <c r="O244" i="4" s="1"/>
  <c r="BF244" i="4" s="1"/>
  <c r="BW243" i="4"/>
  <c r="AK243" i="4"/>
  <c r="AJ243" i="4"/>
  <c r="AH243" i="4"/>
  <c r="AG243" i="4"/>
  <c r="AF243" i="4"/>
  <c r="AC243" i="4"/>
  <c r="AB243" i="4"/>
  <c r="Z243" i="4"/>
  <c r="H243" i="4"/>
  <c r="G243" i="4"/>
  <c r="BW242" i="4"/>
  <c r="AK242" i="4"/>
  <c r="AJ242" i="4"/>
  <c r="AH242" i="4"/>
  <c r="AG242" i="4"/>
  <c r="AF242" i="4"/>
  <c r="AC242" i="4"/>
  <c r="AB242" i="4"/>
  <c r="Z242" i="4"/>
  <c r="H242" i="4"/>
  <c r="BD242" i="4" s="1"/>
  <c r="G242" i="4"/>
  <c r="BW241" i="4"/>
  <c r="AK241" i="4"/>
  <c r="AJ241" i="4"/>
  <c r="AH241" i="4"/>
  <c r="AG241" i="4"/>
  <c r="AF241" i="4"/>
  <c r="AC241" i="4"/>
  <c r="AB241" i="4"/>
  <c r="Z241" i="4"/>
  <c r="H241" i="4"/>
  <c r="BD241" i="4" s="1"/>
  <c r="G241" i="4"/>
  <c r="BW240" i="4"/>
  <c r="AK240" i="4"/>
  <c r="AJ240" i="4"/>
  <c r="AH240" i="4"/>
  <c r="AG240" i="4"/>
  <c r="AF240" i="4"/>
  <c r="AC240" i="4"/>
  <c r="AB240" i="4"/>
  <c r="Z240" i="4"/>
  <c r="H240" i="4"/>
  <c r="BD240" i="4" s="1"/>
  <c r="G240" i="4"/>
  <c r="BW238" i="4"/>
  <c r="AK238" i="4"/>
  <c r="AT237" i="4" s="1"/>
  <c r="AJ238" i="4"/>
  <c r="AS237" i="4" s="1"/>
  <c r="AH238" i="4"/>
  <c r="AG238" i="4"/>
  <c r="AF238" i="4"/>
  <c r="AC238" i="4"/>
  <c r="AB238" i="4"/>
  <c r="Z238" i="4"/>
  <c r="H238" i="4"/>
  <c r="AO238" i="4" s="1"/>
  <c r="G238" i="4"/>
  <c r="BW236" i="4"/>
  <c r="AK236" i="4"/>
  <c r="AJ236" i="4"/>
  <c r="AH236" i="4"/>
  <c r="AG236" i="4"/>
  <c r="AF236" i="4"/>
  <c r="AC236" i="4"/>
  <c r="AB236" i="4"/>
  <c r="Z236" i="4"/>
  <c r="H236" i="4"/>
  <c r="AP236" i="4" s="1"/>
  <c r="AX236" i="4" s="1"/>
  <c r="G236" i="4"/>
  <c r="O236" i="4" s="1"/>
  <c r="BF236" i="4" s="1"/>
  <c r="BW234" i="4"/>
  <c r="AK234" i="4"/>
  <c r="AJ234" i="4"/>
  <c r="AH234" i="4"/>
  <c r="AG234" i="4"/>
  <c r="AF234" i="4"/>
  <c r="AC234" i="4"/>
  <c r="AB234" i="4"/>
  <c r="Z234" i="4"/>
  <c r="H234" i="4"/>
  <c r="BD234" i="4" s="1"/>
  <c r="G234" i="4"/>
  <c r="L234" i="4" s="1"/>
  <c r="AL234" i="4" s="1"/>
  <c r="BW233" i="4"/>
  <c r="AK233" i="4"/>
  <c r="AJ233" i="4"/>
  <c r="AH233" i="4"/>
  <c r="AG233" i="4"/>
  <c r="AF233" i="4"/>
  <c r="AC233" i="4"/>
  <c r="AB233" i="4"/>
  <c r="Z233" i="4"/>
  <c r="H233" i="4"/>
  <c r="AO233" i="4" s="1"/>
  <c r="G233" i="4"/>
  <c r="BW232" i="4"/>
  <c r="AK232" i="4"/>
  <c r="AJ232" i="4"/>
  <c r="AH232" i="4"/>
  <c r="AG232" i="4"/>
  <c r="AF232" i="4"/>
  <c r="AC232" i="4"/>
  <c r="AB232" i="4"/>
  <c r="Z232" i="4"/>
  <c r="H232" i="4"/>
  <c r="AO232" i="4" s="1"/>
  <c r="G232" i="4"/>
  <c r="BW231" i="4"/>
  <c r="AK231" i="4"/>
  <c r="AJ231" i="4"/>
  <c r="AH231" i="4"/>
  <c r="AG231" i="4"/>
  <c r="AF231" i="4"/>
  <c r="AC231" i="4"/>
  <c r="AB231" i="4"/>
  <c r="Z231" i="4"/>
  <c r="H231" i="4"/>
  <c r="BD231" i="4" s="1"/>
  <c r="G231" i="4"/>
  <c r="BW230" i="4"/>
  <c r="AK230" i="4"/>
  <c r="AJ230" i="4"/>
  <c r="AH230" i="4"/>
  <c r="AG230" i="4"/>
  <c r="AF230" i="4"/>
  <c r="AC230" i="4"/>
  <c r="AB230" i="4"/>
  <c r="Z230" i="4"/>
  <c r="H230" i="4"/>
  <c r="BD230" i="4" s="1"/>
  <c r="G230" i="4"/>
  <c r="BW229" i="4"/>
  <c r="AK229" i="4"/>
  <c r="AJ229" i="4"/>
  <c r="AH229" i="4"/>
  <c r="AG229" i="4"/>
  <c r="AF229" i="4"/>
  <c r="AC229" i="4"/>
  <c r="AB229" i="4"/>
  <c r="Z229" i="4"/>
  <c r="H229" i="4"/>
  <c r="BD229" i="4" s="1"/>
  <c r="G229" i="4"/>
  <c r="BJ229" i="4" s="1"/>
  <c r="BW228" i="4"/>
  <c r="AK228" i="4"/>
  <c r="AJ228" i="4"/>
  <c r="AH228" i="4"/>
  <c r="AG228" i="4"/>
  <c r="AF228" i="4"/>
  <c r="AC228" i="4"/>
  <c r="AB228" i="4"/>
  <c r="Z228" i="4"/>
  <c r="H228" i="4"/>
  <c r="G228" i="4"/>
  <c r="BW227" i="4"/>
  <c r="AK227" i="4"/>
  <c r="AJ227" i="4"/>
  <c r="AH227" i="4"/>
  <c r="AG227" i="4"/>
  <c r="AF227" i="4"/>
  <c r="AC227" i="4"/>
  <c r="AB227" i="4"/>
  <c r="Z227" i="4"/>
  <c r="H227" i="4"/>
  <c r="AP227" i="4" s="1"/>
  <c r="G227" i="4"/>
  <c r="BW226" i="4"/>
  <c r="AK226" i="4"/>
  <c r="AJ226" i="4"/>
  <c r="AH226" i="4"/>
  <c r="AG226" i="4"/>
  <c r="AF226" i="4"/>
  <c r="AC226" i="4"/>
  <c r="AB226" i="4"/>
  <c r="Z226" i="4"/>
  <c r="H226" i="4"/>
  <c r="BD226" i="4" s="1"/>
  <c r="G226" i="4"/>
  <c r="O226" i="4" s="1"/>
  <c r="BF226" i="4" s="1"/>
  <c r="BW224" i="4"/>
  <c r="AK224" i="4"/>
  <c r="AJ224" i="4"/>
  <c r="AH224" i="4"/>
  <c r="AG224" i="4"/>
  <c r="AF224" i="4"/>
  <c r="AC224" i="4"/>
  <c r="AB224" i="4"/>
  <c r="Z224" i="4"/>
  <c r="H224" i="4"/>
  <c r="AP224" i="4" s="1"/>
  <c r="G224" i="4"/>
  <c r="L224" i="4" s="1"/>
  <c r="AL224" i="4" s="1"/>
  <c r="BW223" i="4"/>
  <c r="AK223" i="4"/>
  <c r="AJ223" i="4"/>
  <c r="AH223" i="4"/>
  <c r="AG223" i="4"/>
  <c r="AF223" i="4"/>
  <c r="AC223" i="4"/>
  <c r="AB223" i="4"/>
  <c r="Z223" i="4"/>
  <c r="H223" i="4"/>
  <c r="G223" i="4"/>
  <c r="BW222" i="4"/>
  <c r="AK222" i="4"/>
  <c r="AJ222" i="4"/>
  <c r="AH222" i="4"/>
  <c r="AG222" i="4"/>
  <c r="AF222" i="4"/>
  <c r="AC222" i="4"/>
  <c r="AB222" i="4"/>
  <c r="Z222" i="4"/>
  <c r="H222" i="4"/>
  <c r="AP222" i="4" s="1"/>
  <c r="G222" i="4"/>
  <c r="BW221" i="4"/>
  <c r="AK221" i="4"/>
  <c r="AJ221" i="4"/>
  <c r="AH221" i="4"/>
  <c r="AG221" i="4"/>
  <c r="AF221" i="4"/>
  <c r="AC221" i="4"/>
  <c r="AB221" i="4"/>
  <c r="Z221" i="4"/>
  <c r="H221" i="4"/>
  <c r="BD221" i="4" s="1"/>
  <c r="G221" i="4"/>
  <c r="BW220" i="4"/>
  <c r="AK220" i="4"/>
  <c r="AJ220" i="4"/>
  <c r="AH220" i="4"/>
  <c r="AG220" i="4"/>
  <c r="AF220" i="4"/>
  <c r="AC220" i="4"/>
  <c r="AB220" i="4"/>
  <c r="Z220" i="4"/>
  <c r="H220" i="4"/>
  <c r="BD220" i="4" s="1"/>
  <c r="G220" i="4"/>
  <c r="BW218" i="4"/>
  <c r="AK218" i="4"/>
  <c r="AT217" i="4" s="1"/>
  <c r="AJ218" i="4"/>
  <c r="AS217" i="4" s="1"/>
  <c r="AH218" i="4"/>
  <c r="AG218" i="4"/>
  <c r="AF218" i="4"/>
  <c r="AC218" i="4"/>
  <c r="AB218" i="4"/>
  <c r="Z218" i="4"/>
  <c r="H218" i="4"/>
  <c r="BD218" i="4" s="1"/>
  <c r="G218" i="4"/>
  <c r="BW216" i="4"/>
  <c r="AK216" i="4"/>
  <c r="AJ216" i="4"/>
  <c r="AH216" i="4"/>
  <c r="AG216" i="4"/>
  <c r="AF216" i="4"/>
  <c r="AE216" i="4"/>
  <c r="AD216" i="4"/>
  <c r="AC216" i="4"/>
  <c r="AB216" i="4"/>
  <c r="H216" i="4"/>
  <c r="BJ216" i="4" s="1"/>
  <c r="Z216" i="4" s="1"/>
  <c r="G216" i="4"/>
  <c r="O216" i="4" s="1"/>
  <c r="BF216" i="4" s="1"/>
  <c r="BW215" i="4"/>
  <c r="AK215" i="4"/>
  <c r="AJ215" i="4"/>
  <c r="AH215" i="4"/>
  <c r="AG215" i="4"/>
  <c r="AF215" i="4"/>
  <c r="AE215" i="4"/>
  <c r="AD215" i="4"/>
  <c r="AC215" i="4"/>
  <c r="AB215" i="4"/>
  <c r="L215" i="4"/>
  <c r="AL215" i="4" s="1"/>
  <c r="H215" i="4"/>
  <c r="BD215" i="4" s="1"/>
  <c r="G215" i="4"/>
  <c r="O215" i="4" s="1"/>
  <c r="BF215" i="4" s="1"/>
  <c r="BW214" i="4"/>
  <c r="AK214" i="4"/>
  <c r="AJ214" i="4"/>
  <c r="AH214" i="4"/>
  <c r="AG214" i="4"/>
  <c r="AF214" i="4"/>
  <c r="AE214" i="4"/>
  <c r="AD214" i="4"/>
  <c r="Z214" i="4"/>
  <c r="O214" i="4"/>
  <c r="BF214" i="4" s="1"/>
  <c r="H214" i="4"/>
  <c r="BD214" i="4" s="1"/>
  <c r="G214" i="4"/>
  <c r="BW213" i="4"/>
  <c r="AK213" i="4"/>
  <c r="AJ213" i="4"/>
  <c r="AH213" i="4"/>
  <c r="AG213" i="4"/>
  <c r="AF213" i="4"/>
  <c r="AE213" i="4"/>
  <c r="AD213" i="4"/>
  <c r="Z213" i="4"/>
  <c r="H213" i="4"/>
  <c r="BD213" i="4" s="1"/>
  <c r="G213" i="4"/>
  <c r="BW212" i="4"/>
  <c r="AK212" i="4"/>
  <c r="AJ212" i="4"/>
  <c r="AH212" i="4"/>
  <c r="AG212" i="4"/>
  <c r="AF212" i="4"/>
  <c r="AE212" i="4"/>
  <c r="AD212" i="4"/>
  <c r="Z212" i="4"/>
  <c r="H212" i="4"/>
  <c r="BD212" i="4" s="1"/>
  <c r="G212" i="4"/>
  <c r="BW211" i="4"/>
  <c r="AK211" i="4"/>
  <c r="AJ211" i="4"/>
  <c r="AH211" i="4"/>
  <c r="AG211" i="4"/>
  <c r="AF211" i="4"/>
  <c r="AE211" i="4"/>
  <c r="AD211" i="4"/>
  <c r="Z211" i="4"/>
  <c r="H211" i="4"/>
  <c r="BD211" i="4" s="1"/>
  <c r="G211" i="4"/>
  <c r="BW210" i="4"/>
  <c r="AK210" i="4"/>
  <c r="AJ210" i="4"/>
  <c r="AH210" i="4"/>
  <c r="AG210" i="4"/>
  <c r="AF210" i="4"/>
  <c r="AE210" i="4"/>
  <c r="AD210" i="4"/>
  <c r="Z210" i="4"/>
  <c r="H210" i="4"/>
  <c r="G210" i="4"/>
  <c r="BW209" i="4"/>
  <c r="AK209" i="4"/>
  <c r="AJ209" i="4"/>
  <c r="AH209" i="4"/>
  <c r="AG209" i="4"/>
  <c r="AF209" i="4"/>
  <c r="AE209" i="4"/>
  <c r="AD209" i="4"/>
  <c r="Z209" i="4"/>
  <c r="H209" i="4"/>
  <c r="BD209" i="4" s="1"/>
  <c r="G209" i="4"/>
  <c r="BW208" i="4"/>
  <c r="AK208" i="4"/>
  <c r="AJ208" i="4"/>
  <c r="AH208" i="4"/>
  <c r="AG208" i="4"/>
  <c r="AF208" i="4"/>
  <c r="AE208" i="4"/>
  <c r="AD208" i="4"/>
  <c r="Z208" i="4"/>
  <c r="O208" i="4"/>
  <c r="BF208" i="4" s="1"/>
  <c r="H208" i="4"/>
  <c r="BD208" i="4" s="1"/>
  <c r="G208" i="4"/>
  <c r="BW204" i="4"/>
  <c r="AK204" i="4"/>
  <c r="AJ204" i="4"/>
  <c r="AH204" i="4"/>
  <c r="AG204" i="4"/>
  <c r="AF204" i="4"/>
  <c r="AE204" i="4"/>
  <c r="AD204" i="4"/>
  <c r="AC204" i="4"/>
  <c r="AB204" i="4"/>
  <c r="Z204" i="4"/>
  <c r="H204" i="4"/>
  <c r="BD204" i="4" s="1"/>
  <c r="G204" i="4"/>
  <c r="BW203" i="4"/>
  <c r="AK203" i="4"/>
  <c r="AJ203" i="4"/>
  <c r="AH203" i="4"/>
  <c r="AG203" i="4"/>
  <c r="AF203" i="4"/>
  <c r="AE203" i="4"/>
  <c r="AD203" i="4"/>
  <c r="AC203" i="4"/>
  <c r="AB203" i="4"/>
  <c r="Z203" i="4"/>
  <c r="H203" i="4"/>
  <c r="AP203" i="4" s="1"/>
  <c r="G203" i="4"/>
  <c r="BW200" i="4"/>
  <c r="AK200" i="4"/>
  <c r="AJ200" i="4"/>
  <c r="AH200" i="4"/>
  <c r="AG200" i="4"/>
  <c r="AF200" i="4"/>
  <c r="AE200" i="4"/>
  <c r="AD200" i="4"/>
  <c r="Z200" i="4"/>
  <c r="H200" i="4"/>
  <c r="BD200" i="4" s="1"/>
  <c r="G200" i="4"/>
  <c r="BW199" i="4"/>
  <c r="AK199" i="4"/>
  <c r="AJ199" i="4"/>
  <c r="AH199" i="4"/>
  <c r="AG199" i="4"/>
  <c r="AF199" i="4"/>
  <c r="AE199" i="4"/>
  <c r="AD199" i="4"/>
  <c r="Z199" i="4"/>
  <c r="H199" i="4"/>
  <c r="AP199" i="4" s="1"/>
  <c r="G199" i="4"/>
  <c r="BW197" i="4"/>
  <c r="AK197" i="4"/>
  <c r="AJ197" i="4"/>
  <c r="AH197" i="4"/>
  <c r="AG197" i="4"/>
  <c r="AF197" i="4"/>
  <c r="AE197" i="4"/>
  <c r="AD197" i="4"/>
  <c r="Z197" i="4"/>
  <c r="H197" i="4"/>
  <c r="BD197" i="4" s="1"/>
  <c r="G197" i="4"/>
  <c r="BW195" i="4"/>
  <c r="AK195" i="4"/>
  <c r="AJ195" i="4"/>
  <c r="AH195" i="4"/>
  <c r="AG195" i="4"/>
  <c r="AF195" i="4"/>
  <c r="AE195" i="4"/>
  <c r="AD195" i="4"/>
  <c r="Z195" i="4"/>
  <c r="H195" i="4"/>
  <c r="G195" i="4"/>
  <c r="BJ195" i="4" s="1"/>
  <c r="BW192" i="4"/>
  <c r="AK192" i="4"/>
  <c r="AJ192" i="4"/>
  <c r="AH192" i="4"/>
  <c r="AG192" i="4"/>
  <c r="AF192" i="4"/>
  <c r="AE192" i="4"/>
  <c r="AD192" i="4"/>
  <c r="Z192" i="4"/>
  <c r="H192" i="4"/>
  <c r="BD192" i="4" s="1"/>
  <c r="G192" i="4"/>
  <c r="O192" i="4" s="1"/>
  <c r="BF192" i="4" s="1"/>
  <c r="BW190" i="4"/>
  <c r="AK190" i="4"/>
  <c r="AJ190" i="4"/>
  <c r="AH190" i="4"/>
  <c r="AG190" i="4"/>
  <c r="AF190" i="4"/>
  <c r="AE190" i="4"/>
  <c r="AD190" i="4"/>
  <c r="Z190" i="4"/>
  <c r="H190" i="4"/>
  <c r="AP190" i="4" s="1"/>
  <c r="G190" i="4"/>
  <c r="BW188" i="4"/>
  <c r="AK188" i="4"/>
  <c r="AJ188" i="4"/>
  <c r="AH188" i="4"/>
  <c r="AG188" i="4"/>
  <c r="AF188" i="4"/>
  <c r="AE188" i="4"/>
  <c r="AD188" i="4"/>
  <c r="Z188" i="4"/>
  <c r="H188" i="4"/>
  <c r="AO188" i="4" s="1"/>
  <c r="G188" i="4"/>
  <c r="O188" i="4" s="1"/>
  <c r="BF188" i="4" s="1"/>
  <c r="BW185" i="4"/>
  <c r="AK185" i="4"/>
  <c r="AJ185" i="4"/>
  <c r="AH185" i="4"/>
  <c r="AG185" i="4"/>
  <c r="AF185" i="4"/>
  <c r="AC185" i="4"/>
  <c r="AB185" i="4"/>
  <c r="Z185" i="4"/>
  <c r="H185" i="4"/>
  <c r="AP185" i="4" s="1"/>
  <c r="G185" i="4"/>
  <c r="O185" i="4" s="1"/>
  <c r="BF185" i="4" s="1"/>
  <c r="BW183" i="4"/>
  <c r="AK183" i="4"/>
  <c r="AJ183" i="4"/>
  <c r="AH183" i="4"/>
  <c r="AG183" i="4"/>
  <c r="AF183" i="4"/>
  <c r="AC183" i="4"/>
  <c r="AB183" i="4"/>
  <c r="Z183" i="4"/>
  <c r="H183" i="4"/>
  <c r="BD183" i="4" s="1"/>
  <c r="G183" i="4"/>
  <c r="O183" i="4" s="1"/>
  <c r="BF183" i="4" s="1"/>
  <c r="BW182" i="4"/>
  <c r="AK182" i="4"/>
  <c r="AJ182" i="4"/>
  <c r="AH182" i="4"/>
  <c r="AG182" i="4"/>
  <c r="AF182" i="4"/>
  <c r="AC182" i="4"/>
  <c r="AB182" i="4"/>
  <c r="Z182" i="4"/>
  <c r="H182" i="4"/>
  <c r="AP182" i="4" s="1"/>
  <c r="G182" i="4"/>
  <c r="BW180" i="4"/>
  <c r="AK180" i="4"/>
  <c r="AJ180" i="4"/>
  <c r="AH180" i="4"/>
  <c r="AG180" i="4"/>
  <c r="AF180" i="4"/>
  <c r="AC180" i="4"/>
  <c r="AB180" i="4"/>
  <c r="Z180" i="4"/>
  <c r="H180" i="4"/>
  <c r="AP180" i="4" s="1"/>
  <c r="G180" i="4"/>
  <c r="BJ180" i="4" s="1"/>
  <c r="BW178" i="4"/>
  <c r="AK178" i="4"/>
  <c r="AJ178" i="4"/>
  <c r="AH178" i="4"/>
  <c r="AG178" i="4"/>
  <c r="AF178" i="4"/>
  <c r="AC178" i="4"/>
  <c r="AB178" i="4"/>
  <c r="Z178" i="4"/>
  <c r="H178" i="4"/>
  <c r="G178" i="4"/>
  <c r="BW176" i="4"/>
  <c r="AK176" i="4"/>
  <c r="AJ176" i="4"/>
  <c r="AH176" i="4"/>
  <c r="AG176" i="4"/>
  <c r="AF176" i="4"/>
  <c r="AC176" i="4"/>
  <c r="AB176" i="4"/>
  <c r="Z176" i="4"/>
  <c r="O176" i="4"/>
  <c r="BF176" i="4" s="1"/>
  <c r="H176" i="4"/>
  <c r="AP176" i="4" s="1"/>
  <c r="G176" i="4"/>
  <c r="BW174" i="4"/>
  <c r="AK174" i="4"/>
  <c r="AJ174" i="4"/>
  <c r="AH174" i="4"/>
  <c r="AG174" i="4"/>
  <c r="AF174" i="4"/>
  <c r="AC174" i="4"/>
  <c r="AB174" i="4"/>
  <c r="Z174" i="4"/>
  <c r="O174" i="4"/>
  <c r="BF174" i="4" s="1"/>
  <c r="H174" i="4"/>
  <c r="AO174" i="4" s="1"/>
  <c r="G174" i="4"/>
  <c r="BW172" i="4"/>
  <c r="AK172" i="4"/>
  <c r="AJ172" i="4"/>
  <c r="AH172" i="4"/>
  <c r="AG172" i="4"/>
  <c r="AF172" i="4"/>
  <c r="AC172" i="4"/>
  <c r="AB172" i="4"/>
  <c r="Z172" i="4"/>
  <c r="H172" i="4"/>
  <c r="BD172" i="4" s="1"/>
  <c r="G172" i="4"/>
  <c r="BW170" i="4"/>
  <c r="AK170" i="4"/>
  <c r="AJ170" i="4"/>
  <c r="AH170" i="4"/>
  <c r="AG170" i="4"/>
  <c r="AF170" i="4"/>
  <c r="AC170" i="4"/>
  <c r="AB170" i="4"/>
  <c r="Z170" i="4"/>
  <c r="H170" i="4"/>
  <c r="BD170" i="4" s="1"/>
  <c r="G170" i="4"/>
  <c r="BW168" i="4"/>
  <c r="AK168" i="4"/>
  <c r="AJ168" i="4"/>
  <c r="AH168" i="4"/>
  <c r="AG168" i="4"/>
  <c r="AF168" i="4"/>
  <c r="AC168" i="4"/>
  <c r="AB168" i="4"/>
  <c r="Z168" i="4"/>
  <c r="H168" i="4"/>
  <c r="BD168" i="4" s="1"/>
  <c r="G168" i="4"/>
  <c r="BW166" i="4"/>
  <c r="AK166" i="4"/>
  <c r="AJ166" i="4"/>
  <c r="AH166" i="4"/>
  <c r="AG166" i="4"/>
  <c r="AF166" i="4"/>
  <c r="AC166" i="4"/>
  <c r="AB166" i="4"/>
  <c r="Z166" i="4"/>
  <c r="H166" i="4"/>
  <c r="AP166" i="4" s="1"/>
  <c r="G166" i="4"/>
  <c r="BW164" i="4"/>
  <c r="AK164" i="4"/>
  <c r="AJ164" i="4"/>
  <c r="AH164" i="4"/>
  <c r="AG164" i="4"/>
  <c r="AF164" i="4"/>
  <c r="AC164" i="4"/>
  <c r="AB164" i="4"/>
  <c r="Z164" i="4"/>
  <c r="H164" i="4"/>
  <c r="AP164" i="4" s="1"/>
  <c r="G164" i="4"/>
  <c r="BW162" i="4"/>
  <c r="AK162" i="4"/>
  <c r="AJ162" i="4"/>
  <c r="AH162" i="4"/>
  <c r="AG162" i="4"/>
  <c r="AF162" i="4"/>
  <c r="AC162" i="4"/>
  <c r="AB162" i="4"/>
  <c r="Z162" i="4"/>
  <c r="H162" i="4"/>
  <c r="AO162" i="4" s="1"/>
  <c r="BH162" i="4" s="1"/>
  <c r="AD162" i="4" s="1"/>
  <c r="G162" i="4"/>
  <c r="BW161" i="4"/>
  <c r="AK161" i="4"/>
  <c r="AJ161" i="4"/>
  <c r="AH161" i="4"/>
  <c r="AG161" i="4"/>
  <c r="AF161" i="4"/>
  <c r="AC161" i="4"/>
  <c r="AB161" i="4"/>
  <c r="Z161" i="4"/>
  <c r="H161" i="4"/>
  <c r="AO161" i="4" s="1"/>
  <c r="G161" i="4"/>
  <c r="BW160" i="4"/>
  <c r="AK160" i="4"/>
  <c r="AJ160" i="4"/>
  <c r="AH160" i="4"/>
  <c r="AG160" i="4"/>
  <c r="AF160" i="4"/>
  <c r="AC160" i="4"/>
  <c r="AB160" i="4"/>
  <c r="Z160" i="4"/>
  <c r="H160" i="4"/>
  <c r="AP160" i="4" s="1"/>
  <c r="G160" i="4"/>
  <c r="O160" i="4" s="1"/>
  <c r="BW157" i="4"/>
  <c r="AK157" i="4"/>
  <c r="AT156" i="4" s="1"/>
  <c r="AJ157" i="4"/>
  <c r="AH157" i="4"/>
  <c r="AG157" i="4"/>
  <c r="AF157" i="4"/>
  <c r="AE157" i="4"/>
  <c r="AD157" i="4"/>
  <c r="Z157" i="4"/>
  <c r="H157" i="4"/>
  <c r="BD157" i="4" s="1"/>
  <c r="G157" i="4"/>
  <c r="L157" i="4" s="1"/>
  <c r="AL157" i="4" s="1"/>
  <c r="AU156" i="4" s="1"/>
  <c r="AS156" i="4"/>
  <c r="BW155" i="4"/>
  <c r="AK155" i="4"/>
  <c r="AT154" i="4" s="1"/>
  <c r="AJ155" i="4"/>
  <c r="AS154" i="4" s="1"/>
  <c r="AH155" i="4"/>
  <c r="AG155" i="4"/>
  <c r="AF155" i="4"/>
  <c r="AE155" i="4"/>
  <c r="AD155" i="4"/>
  <c r="Z155" i="4"/>
  <c r="H155" i="4"/>
  <c r="AP155" i="4" s="1"/>
  <c r="G155" i="4"/>
  <c r="O155" i="4" s="1"/>
  <c r="BF155" i="4" s="1"/>
  <c r="BW153" i="4"/>
  <c r="AK153" i="4"/>
  <c r="AT152" i="4" s="1"/>
  <c r="AJ153" i="4"/>
  <c r="AS152" i="4" s="1"/>
  <c r="AH153" i="4"/>
  <c r="AG153" i="4"/>
  <c r="AF153" i="4"/>
  <c r="AE153" i="4"/>
  <c r="AD153" i="4"/>
  <c r="Z153" i="4"/>
  <c r="H153" i="4"/>
  <c r="G153" i="4"/>
  <c r="O153" i="4" s="1"/>
  <c r="BF153" i="4" s="1"/>
  <c r="BW151" i="4"/>
  <c r="AK151" i="4"/>
  <c r="AJ151" i="4"/>
  <c r="AH151" i="4"/>
  <c r="AG151" i="4"/>
  <c r="AF151" i="4"/>
  <c r="AE151" i="4"/>
  <c r="AD151" i="4"/>
  <c r="Z151" i="4"/>
  <c r="H151" i="4"/>
  <c r="AO151" i="4" s="1"/>
  <c r="G151" i="4"/>
  <c r="BW149" i="4"/>
  <c r="AK149" i="4"/>
  <c r="AJ149" i="4"/>
  <c r="AH149" i="4"/>
  <c r="AG149" i="4"/>
  <c r="AF149" i="4"/>
  <c r="AE149" i="4"/>
  <c r="AD149" i="4"/>
  <c r="Z149" i="4"/>
  <c r="H149" i="4"/>
  <c r="BD149" i="4" s="1"/>
  <c r="G149" i="4"/>
  <c r="O149" i="4" s="1"/>
  <c r="BF149" i="4" s="1"/>
  <c r="BW147" i="4"/>
  <c r="AK147" i="4"/>
  <c r="AJ147" i="4"/>
  <c r="AH147" i="4"/>
  <c r="AG147" i="4"/>
  <c r="AF147" i="4"/>
  <c r="AE147" i="4"/>
  <c r="AD147" i="4"/>
  <c r="Z147" i="4"/>
  <c r="H147" i="4"/>
  <c r="AP147" i="4" s="1"/>
  <c r="BI147" i="4" s="1"/>
  <c r="AC147" i="4" s="1"/>
  <c r="G147" i="4"/>
  <c r="O147" i="4" s="1"/>
  <c r="BF147" i="4" s="1"/>
  <c r="BW145" i="4"/>
  <c r="AK145" i="4"/>
  <c r="AJ145" i="4"/>
  <c r="AH145" i="4"/>
  <c r="AG145" i="4"/>
  <c r="AF145" i="4"/>
  <c r="AE145" i="4"/>
  <c r="AD145" i="4"/>
  <c r="Z145" i="4"/>
  <c r="H145" i="4"/>
  <c r="BD145" i="4" s="1"/>
  <c r="G145" i="4"/>
  <c r="BW143" i="4"/>
  <c r="AK143" i="4"/>
  <c r="AJ143" i="4"/>
  <c r="AH143" i="4"/>
  <c r="AG143" i="4"/>
  <c r="AF143" i="4"/>
  <c r="AE143" i="4"/>
  <c r="AD143" i="4"/>
  <c r="Z143" i="4"/>
  <c r="H143" i="4"/>
  <c r="G143" i="4"/>
  <c r="BW141" i="4"/>
  <c r="AK141" i="4"/>
  <c r="AJ141" i="4"/>
  <c r="AH141" i="4"/>
  <c r="AG141" i="4"/>
  <c r="AF141" i="4"/>
  <c r="AE141" i="4"/>
  <c r="AD141" i="4"/>
  <c r="Z141" i="4"/>
  <c r="H141" i="4"/>
  <c r="BD141" i="4" s="1"/>
  <c r="G141" i="4"/>
  <c r="BW140" i="4"/>
  <c r="AK140" i="4"/>
  <c r="AJ140" i="4"/>
  <c r="AH140" i="4"/>
  <c r="AG140" i="4"/>
  <c r="AF140" i="4"/>
  <c r="AE140" i="4"/>
  <c r="AD140" i="4"/>
  <c r="Z140" i="4"/>
  <c r="H140" i="4"/>
  <c r="BD140" i="4" s="1"/>
  <c r="G140" i="4"/>
  <c r="BW138" i="4"/>
  <c r="AK138" i="4"/>
  <c r="AJ138" i="4"/>
  <c r="AH138" i="4"/>
  <c r="AG138" i="4"/>
  <c r="AF138" i="4"/>
  <c r="AE138" i="4"/>
  <c r="AD138" i="4"/>
  <c r="Z138" i="4"/>
  <c r="H138" i="4"/>
  <c r="BD138" i="4" s="1"/>
  <c r="G138" i="4"/>
  <c r="BW136" i="4"/>
  <c r="AK136" i="4"/>
  <c r="AJ136" i="4"/>
  <c r="AH136" i="4"/>
  <c r="AG136" i="4"/>
  <c r="AF136" i="4"/>
  <c r="AE136" i="4"/>
  <c r="AD136" i="4"/>
  <c r="Z136" i="4"/>
  <c r="H136" i="4"/>
  <c r="G136" i="4"/>
  <c r="BW134" i="4"/>
  <c r="AK134" i="4"/>
  <c r="AJ134" i="4"/>
  <c r="AH134" i="4"/>
  <c r="AG134" i="4"/>
  <c r="AF134" i="4"/>
  <c r="AE134" i="4"/>
  <c r="AD134" i="4"/>
  <c r="Z134" i="4"/>
  <c r="H134" i="4"/>
  <c r="AP134" i="4" s="1"/>
  <c r="G134" i="4"/>
  <c r="BW131" i="4"/>
  <c r="AK131" i="4"/>
  <c r="AT130" i="4" s="1"/>
  <c r="AJ131" i="4"/>
  <c r="AS130" i="4" s="1"/>
  <c r="AH131" i="4"/>
  <c r="AG131" i="4"/>
  <c r="AF131" i="4"/>
  <c r="AC131" i="4"/>
  <c r="AB131" i="4"/>
  <c r="Z131" i="4"/>
  <c r="H131" i="4"/>
  <c r="BD131" i="4" s="1"/>
  <c r="G131" i="4"/>
  <c r="O131" i="4" s="1"/>
  <c r="BF131" i="4" s="1"/>
  <c r="BW129" i="4"/>
  <c r="AK129" i="4"/>
  <c r="AJ129" i="4"/>
  <c r="AH129" i="4"/>
  <c r="AG129" i="4"/>
  <c r="AF129" i="4"/>
  <c r="AC129" i="4"/>
  <c r="AB129" i="4"/>
  <c r="Z129" i="4"/>
  <c r="H129" i="4"/>
  <c r="BD129" i="4" s="1"/>
  <c r="G129" i="4"/>
  <c r="BW128" i="4"/>
  <c r="AK128" i="4"/>
  <c r="AJ128" i="4"/>
  <c r="AH128" i="4"/>
  <c r="AG128" i="4"/>
  <c r="AF128" i="4"/>
  <c r="AC128" i="4"/>
  <c r="AB128" i="4"/>
  <c r="Z128" i="4"/>
  <c r="H128" i="4"/>
  <c r="BD128" i="4" s="1"/>
  <c r="G128" i="4"/>
  <c r="BW127" i="4"/>
  <c r="AK127" i="4"/>
  <c r="AJ127" i="4"/>
  <c r="AH127" i="4"/>
  <c r="AG127" i="4"/>
  <c r="AF127" i="4"/>
  <c r="AC127" i="4"/>
  <c r="AB127" i="4"/>
  <c r="Z127" i="4"/>
  <c r="H127" i="4"/>
  <c r="AO127" i="4" s="1"/>
  <c r="G127" i="4"/>
  <c r="O127" i="4" s="1"/>
  <c r="BF127" i="4" s="1"/>
  <c r="BW126" i="4"/>
  <c r="AK126" i="4"/>
  <c r="AJ126" i="4"/>
  <c r="AH126" i="4"/>
  <c r="AG126" i="4"/>
  <c r="AF126" i="4"/>
  <c r="AC126" i="4"/>
  <c r="AB126" i="4"/>
  <c r="Z126" i="4"/>
  <c r="H126" i="4"/>
  <c r="AO126" i="4" s="1"/>
  <c r="G126" i="4"/>
  <c r="BW125" i="4"/>
  <c r="AK125" i="4"/>
  <c r="AJ125" i="4"/>
  <c r="AH125" i="4"/>
  <c r="AG125" i="4"/>
  <c r="AF125" i="4"/>
  <c r="AC125" i="4"/>
  <c r="AB125" i="4"/>
  <c r="Z125" i="4"/>
  <c r="H125" i="4"/>
  <c r="BD125" i="4" s="1"/>
  <c r="G125" i="4"/>
  <c r="O125" i="4" s="1"/>
  <c r="BF125" i="4" s="1"/>
  <c r="BW123" i="4"/>
  <c r="AK123" i="4"/>
  <c r="AJ123" i="4"/>
  <c r="AH123" i="4"/>
  <c r="AG123" i="4"/>
  <c r="AF123" i="4"/>
  <c r="AC123" i="4"/>
  <c r="AB123" i="4"/>
  <c r="Z123" i="4"/>
  <c r="H123" i="4"/>
  <c r="AP123" i="4" s="1"/>
  <c r="G123" i="4"/>
  <c r="L123" i="4" s="1"/>
  <c r="AL123" i="4" s="1"/>
  <c r="BW122" i="4"/>
  <c r="AK122" i="4"/>
  <c r="AJ122" i="4"/>
  <c r="AH122" i="4"/>
  <c r="AG122" i="4"/>
  <c r="AF122" i="4"/>
  <c r="AC122" i="4"/>
  <c r="AB122" i="4"/>
  <c r="Z122" i="4"/>
  <c r="H122" i="4"/>
  <c r="BD122" i="4" s="1"/>
  <c r="G122" i="4"/>
  <c r="BW121" i="4"/>
  <c r="AK121" i="4"/>
  <c r="AJ121" i="4"/>
  <c r="AH121" i="4"/>
  <c r="AG121" i="4"/>
  <c r="AF121" i="4"/>
  <c r="AC121" i="4"/>
  <c r="AB121" i="4"/>
  <c r="Z121" i="4"/>
  <c r="H121" i="4"/>
  <c r="G121" i="4"/>
  <c r="BJ121" i="4" s="1"/>
  <c r="BW120" i="4"/>
  <c r="AK120" i="4"/>
  <c r="AJ120" i="4"/>
  <c r="AH120" i="4"/>
  <c r="AG120" i="4"/>
  <c r="AF120" i="4"/>
  <c r="AC120" i="4"/>
  <c r="AB120" i="4"/>
  <c r="Z120" i="4"/>
  <c r="H120" i="4"/>
  <c r="AO120" i="4" s="1"/>
  <c r="J120" i="4" s="1"/>
  <c r="G120" i="4"/>
  <c r="BW119" i="4"/>
  <c r="AK119" i="4"/>
  <c r="AJ119" i="4"/>
  <c r="AH119" i="4"/>
  <c r="AG119" i="4"/>
  <c r="AF119" i="4"/>
  <c r="AC119" i="4"/>
  <c r="AB119" i="4"/>
  <c r="Z119" i="4"/>
  <c r="H119" i="4"/>
  <c r="BD119" i="4" s="1"/>
  <c r="G119" i="4"/>
  <c r="O119" i="4" s="1"/>
  <c r="BF119" i="4" s="1"/>
  <c r="BW118" i="4"/>
  <c r="AK118" i="4"/>
  <c r="AJ118" i="4"/>
  <c r="AH118" i="4"/>
  <c r="AG118" i="4"/>
  <c r="AF118" i="4"/>
  <c r="AC118" i="4"/>
  <c r="AB118" i="4"/>
  <c r="Z118" i="4"/>
  <c r="H118" i="4"/>
  <c r="AO118" i="4" s="1"/>
  <c r="G118" i="4"/>
  <c r="O118" i="4" s="1"/>
  <c r="BF118" i="4" s="1"/>
  <c r="BW117" i="4"/>
  <c r="AK117" i="4"/>
  <c r="AJ117" i="4"/>
  <c r="AH117" i="4"/>
  <c r="AG117" i="4"/>
  <c r="AF117" i="4"/>
  <c r="AC117" i="4"/>
  <c r="AB117" i="4"/>
  <c r="Z117" i="4"/>
  <c r="H117" i="4"/>
  <c r="BD117" i="4" s="1"/>
  <c r="G117" i="4"/>
  <c r="O117" i="4" s="1"/>
  <c r="BF117" i="4" s="1"/>
  <c r="BW116" i="4"/>
  <c r="AK116" i="4"/>
  <c r="AJ116" i="4"/>
  <c r="AH116" i="4"/>
  <c r="AG116" i="4"/>
  <c r="AF116" i="4"/>
  <c r="AC116" i="4"/>
  <c r="AB116" i="4"/>
  <c r="Z116" i="4"/>
  <c r="H116" i="4"/>
  <c r="BD116" i="4" s="1"/>
  <c r="G116" i="4"/>
  <c r="BW115" i="4"/>
  <c r="AK115" i="4"/>
  <c r="AJ115" i="4"/>
  <c r="AH115" i="4"/>
  <c r="AG115" i="4"/>
  <c r="AF115" i="4"/>
  <c r="AC115" i="4"/>
  <c r="AB115" i="4"/>
  <c r="Z115" i="4"/>
  <c r="O115" i="4"/>
  <c r="BF115" i="4" s="1"/>
  <c r="H115" i="4"/>
  <c r="AP115" i="4" s="1"/>
  <c r="AX115" i="4" s="1"/>
  <c r="G115" i="4"/>
  <c r="BW114" i="4"/>
  <c r="AK114" i="4"/>
  <c r="AJ114" i="4"/>
  <c r="AH114" i="4"/>
  <c r="AG114" i="4"/>
  <c r="AF114" i="4"/>
  <c r="AC114" i="4"/>
  <c r="AB114" i="4"/>
  <c r="Z114" i="4"/>
  <c r="H114" i="4"/>
  <c r="BD114" i="4" s="1"/>
  <c r="G114" i="4"/>
  <c r="BW113" i="4"/>
  <c r="AK113" i="4"/>
  <c r="AJ113" i="4"/>
  <c r="AH113" i="4"/>
  <c r="AG113" i="4"/>
  <c r="AF113" i="4"/>
  <c r="AC113" i="4"/>
  <c r="AB113" i="4"/>
  <c r="Z113" i="4"/>
  <c r="H113" i="4"/>
  <c r="BD113" i="4" s="1"/>
  <c r="G113" i="4"/>
  <c r="BW111" i="4"/>
  <c r="AK111" i="4"/>
  <c r="AJ111" i="4"/>
  <c r="AH111" i="4"/>
  <c r="AG111" i="4"/>
  <c r="AF111" i="4"/>
  <c r="AC111" i="4"/>
  <c r="AB111" i="4"/>
  <c r="Z111" i="4"/>
  <c r="H111" i="4"/>
  <c r="BD111" i="4" s="1"/>
  <c r="G111" i="4"/>
  <c r="BW109" i="4"/>
  <c r="AK109" i="4"/>
  <c r="AJ109" i="4"/>
  <c r="AH109" i="4"/>
  <c r="AG109" i="4"/>
  <c r="AF109" i="4"/>
  <c r="AC109" i="4"/>
  <c r="AB109" i="4"/>
  <c r="Z109" i="4"/>
  <c r="O109" i="4"/>
  <c r="BF109" i="4" s="1"/>
  <c r="H109" i="4"/>
  <c r="G109" i="4"/>
  <c r="BW107" i="4"/>
  <c r="AK107" i="4"/>
  <c r="AJ107" i="4"/>
  <c r="AH107" i="4"/>
  <c r="AG107" i="4"/>
  <c r="AF107" i="4"/>
  <c r="AC107" i="4"/>
  <c r="AB107" i="4"/>
  <c r="Z107" i="4"/>
  <c r="H107" i="4"/>
  <c r="AO107" i="4" s="1"/>
  <c r="G107" i="4"/>
  <c r="BW106" i="4"/>
  <c r="AK106" i="4"/>
  <c r="AJ106" i="4"/>
  <c r="AH106" i="4"/>
  <c r="AG106" i="4"/>
  <c r="AF106" i="4"/>
  <c r="AC106" i="4"/>
  <c r="AB106" i="4"/>
  <c r="Z106" i="4"/>
  <c r="H106" i="4"/>
  <c r="BD106" i="4" s="1"/>
  <c r="G106" i="4"/>
  <c r="O106" i="4" s="1"/>
  <c r="BF106" i="4" s="1"/>
  <c r="BW103" i="4"/>
  <c r="AK103" i="4"/>
  <c r="AJ103" i="4"/>
  <c r="AH103" i="4"/>
  <c r="AG103" i="4"/>
  <c r="AF103" i="4"/>
  <c r="AC103" i="4"/>
  <c r="AB103" i="4"/>
  <c r="Z103" i="4"/>
  <c r="H103" i="4"/>
  <c r="G103" i="4"/>
  <c r="BW102" i="4"/>
  <c r="AK102" i="4"/>
  <c r="AJ102" i="4"/>
  <c r="AH102" i="4"/>
  <c r="AG102" i="4"/>
  <c r="AF102" i="4"/>
  <c r="AC102" i="4"/>
  <c r="AB102" i="4"/>
  <c r="Z102" i="4"/>
  <c r="H102" i="4"/>
  <c r="AP102" i="4" s="1"/>
  <c r="G102" i="4"/>
  <c r="O102" i="4" s="1"/>
  <c r="BF102" i="4" s="1"/>
  <c r="BW101" i="4"/>
  <c r="AK101" i="4"/>
  <c r="AJ101" i="4"/>
  <c r="AH101" i="4"/>
  <c r="AG101" i="4"/>
  <c r="AF101" i="4"/>
  <c r="AC101" i="4"/>
  <c r="AB101" i="4"/>
  <c r="Z101" i="4"/>
  <c r="H101" i="4"/>
  <c r="AO101" i="4" s="1"/>
  <c r="G101" i="4"/>
  <c r="BW100" i="4"/>
  <c r="AK100" i="4"/>
  <c r="AJ100" i="4"/>
  <c r="AH100" i="4"/>
  <c r="AG100" i="4"/>
  <c r="AF100" i="4"/>
  <c r="AC100" i="4"/>
  <c r="AB100" i="4"/>
  <c r="Z100" i="4"/>
  <c r="H100" i="4"/>
  <c r="BD100" i="4" s="1"/>
  <c r="G100" i="4"/>
  <c r="O100" i="4" s="1"/>
  <c r="BF100" i="4" s="1"/>
  <c r="BW99" i="4"/>
  <c r="AK99" i="4"/>
  <c r="AJ99" i="4"/>
  <c r="AH99" i="4"/>
  <c r="AG99" i="4"/>
  <c r="AF99" i="4"/>
  <c r="AC99" i="4"/>
  <c r="AB99" i="4"/>
  <c r="Z99" i="4"/>
  <c r="H99" i="4"/>
  <c r="G99" i="4"/>
  <c r="BW98" i="4"/>
  <c r="AK98" i="4"/>
  <c r="AJ98" i="4"/>
  <c r="AH98" i="4"/>
  <c r="AG98" i="4"/>
  <c r="AF98" i="4"/>
  <c r="AC98" i="4"/>
  <c r="AB98" i="4"/>
  <c r="Z98" i="4"/>
  <c r="H98" i="4"/>
  <c r="AO98" i="4" s="1"/>
  <c r="G98" i="4"/>
  <c r="O98" i="4" s="1"/>
  <c r="BW96" i="4"/>
  <c r="AK96" i="4"/>
  <c r="AJ96" i="4"/>
  <c r="AH96" i="4"/>
  <c r="AG96" i="4"/>
  <c r="AF96" i="4"/>
  <c r="AC96" i="4"/>
  <c r="AB96" i="4"/>
  <c r="Z96" i="4"/>
  <c r="H96" i="4"/>
  <c r="AO96" i="4" s="1"/>
  <c r="G96" i="4"/>
  <c r="O96" i="4" s="1"/>
  <c r="BF96" i="4" s="1"/>
  <c r="BW95" i="4"/>
  <c r="AK95" i="4"/>
  <c r="AJ95" i="4"/>
  <c r="AH95" i="4"/>
  <c r="AG95" i="4"/>
  <c r="AF95" i="4"/>
  <c r="AC95" i="4"/>
  <c r="AB95" i="4"/>
  <c r="Z95" i="4"/>
  <c r="H95" i="4"/>
  <c r="G95" i="4"/>
  <c r="O95" i="4" s="1"/>
  <c r="O94" i="4" s="1"/>
  <c r="BW93" i="4"/>
  <c r="AK93" i="4"/>
  <c r="AT92" i="4" s="1"/>
  <c r="AJ93" i="4"/>
  <c r="AS92" i="4" s="1"/>
  <c r="AH93" i="4"/>
  <c r="AG93" i="4"/>
  <c r="AF93" i="4"/>
  <c r="AC93" i="4"/>
  <c r="AB93" i="4"/>
  <c r="Z93" i="4"/>
  <c r="H93" i="4"/>
  <c r="AO93" i="4" s="1"/>
  <c r="G93" i="4"/>
  <c r="BW90" i="4"/>
  <c r="AK90" i="4"/>
  <c r="AJ90" i="4"/>
  <c r="AH90" i="4"/>
  <c r="AG90" i="4"/>
  <c r="AF90" i="4"/>
  <c r="AC90" i="4"/>
  <c r="AB90" i="4"/>
  <c r="Z90" i="4"/>
  <c r="H90" i="4"/>
  <c r="AP90" i="4" s="1"/>
  <c r="G90" i="4"/>
  <c r="O90" i="4" s="1"/>
  <c r="BF90" i="4" s="1"/>
  <c r="BW89" i="4"/>
  <c r="AK89" i="4"/>
  <c r="AJ89" i="4"/>
  <c r="AH89" i="4"/>
  <c r="AG89" i="4"/>
  <c r="AF89" i="4"/>
  <c r="AC89" i="4"/>
  <c r="AB89" i="4"/>
  <c r="Z89" i="4"/>
  <c r="H89" i="4"/>
  <c r="BD89" i="4" s="1"/>
  <c r="G89" i="4"/>
  <c r="BW88" i="4"/>
  <c r="AK88" i="4"/>
  <c r="AJ88" i="4"/>
  <c r="AH88" i="4"/>
  <c r="AG88" i="4"/>
  <c r="AF88" i="4"/>
  <c r="AC88" i="4"/>
  <c r="AB88" i="4"/>
  <c r="Z88" i="4"/>
  <c r="H88" i="4"/>
  <c r="BD88" i="4" s="1"/>
  <c r="G88" i="4"/>
  <c r="BW87" i="4"/>
  <c r="AK87" i="4"/>
  <c r="AJ87" i="4"/>
  <c r="AH87" i="4"/>
  <c r="AG87" i="4"/>
  <c r="AF87" i="4"/>
  <c r="AC87" i="4"/>
  <c r="AB87" i="4"/>
  <c r="Z87" i="4"/>
  <c r="H87" i="4"/>
  <c r="BD87" i="4" s="1"/>
  <c r="G87" i="4"/>
  <c r="BW86" i="4"/>
  <c r="AK86" i="4"/>
  <c r="AJ86" i="4"/>
  <c r="AH86" i="4"/>
  <c r="AG86" i="4"/>
  <c r="AF86" i="4"/>
  <c r="AC86" i="4"/>
  <c r="AB86" i="4"/>
  <c r="Z86" i="4"/>
  <c r="H86" i="4"/>
  <c r="AO86" i="4" s="1"/>
  <c r="G86" i="4"/>
  <c r="BW85" i="4"/>
  <c r="AK85" i="4"/>
  <c r="AJ85" i="4"/>
  <c r="AH85" i="4"/>
  <c r="AG85" i="4"/>
  <c r="AF85" i="4"/>
  <c r="AC85" i="4"/>
  <c r="AB85" i="4"/>
  <c r="Z85" i="4"/>
  <c r="H85" i="4"/>
  <c r="AO85" i="4" s="1"/>
  <c r="G85" i="4"/>
  <c r="O85" i="4" s="1"/>
  <c r="BF85" i="4" s="1"/>
  <c r="BW84" i="4"/>
  <c r="AK84" i="4"/>
  <c r="AJ84" i="4"/>
  <c r="AH84" i="4"/>
  <c r="AG84" i="4"/>
  <c r="AF84" i="4"/>
  <c r="AC84" i="4"/>
  <c r="AB84" i="4"/>
  <c r="Z84" i="4"/>
  <c r="H84" i="4"/>
  <c r="BD84" i="4" s="1"/>
  <c r="G84" i="4"/>
  <c r="O84" i="4" s="1"/>
  <c r="BF84" i="4" s="1"/>
  <c r="BW83" i="4"/>
  <c r="AK83" i="4"/>
  <c r="AJ83" i="4"/>
  <c r="AH83" i="4"/>
  <c r="AG83" i="4"/>
  <c r="AF83" i="4"/>
  <c r="AC83" i="4"/>
  <c r="AB83" i="4"/>
  <c r="Z83" i="4"/>
  <c r="H83" i="4"/>
  <c r="BD83" i="4" s="1"/>
  <c r="G83" i="4"/>
  <c r="BW82" i="4"/>
  <c r="AK82" i="4"/>
  <c r="AJ82" i="4"/>
  <c r="AH82" i="4"/>
  <c r="AG82" i="4"/>
  <c r="AF82" i="4"/>
  <c r="AC82" i="4"/>
  <c r="AB82" i="4"/>
  <c r="Z82" i="4"/>
  <c r="H82" i="4"/>
  <c r="G82" i="4"/>
  <c r="BW80" i="4"/>
  <c r="AK80" i="4"/>
  <c r="AJ80" i="4"/>
  <c r="AH80" i="4"/>
  <c r="AG80" i="4"/>
  <c r="AF80" i="4"/>
  <c r="AC80" i="4"/>
  <c r="AB80" i="4"/>
  <c r="Z80" i="4"/>
  <c r="H80" i="4"/>
  <c r="AP80" i="4" s="1"/>
  <c r="G80" i="4"/>
  <c r="O80" i="4" s="1"/>
  <c r="BF80" i="4" s="1"/>
  <c r="BW79" i="4"/>
  <c r="AK79" i="4"/>
  <c r="AJ79" i="4"/>
  <c r="AH79" i="4"/>
  <c r="AG79" i="4"/>
  <c r="AF79" i="4"/>
  <c r="AC79" i="4"/>
  <c r="AB79" i="4"/>
  <c r="Z79" i="4"/>
  <c r="H79" i="4"/>
  <c r="G79" i="4"/>
  <c r="O79" i="4" s="1"/>
  <c r="BF79" i="4" s="1"/>
  <c r="BW78" i="4"/>
  <c r="AK78" i="4"/>
  <c r="AJ78" i="4"/>
  <c r="AH78" i="4"/>
  <c r="AG78" i="4"/>
  <c r="AF78" i="4"/>
  <c r="AC78" i="4"/>
  <c r="AB78" i="4"/>
  <c r="Z78" i="4"/>
  <c r="H78" i="4"/>
  <c r="BD78" i="4" s="1"/>
  <c r="G78" i="4"/>
  <c r="BW76" i="4"/>
  <c r="AK76" i="4"/>
  <c r="AJ76" i="4"/>
  <c r="AH76" i="4"/>
  <c r="AG76" i="4"/>
  <c r="AF76" i="4"/>
  <c r="AC76" i="4"/>
  <c r="AB76" i="4"/>
  <c r="Z76" i="4"/>
  <c r="H76" i="4"/>
  <c r="BD76" i="4" s="1"/>
  <c r="G76" i="4"/>
  <c r="BW74" i="4"/>
  <c r="AK74" i="4"/>
  <c r="AJ74" i="4"/>
  <c r="AH74" i="4"/>
  <c r="AG74" i="4"/>
  <c r="AF74" i="4"/>
  <c r="AC74" i="4"/>
  <c r="AB74" i="4"/>
  <c r="Z74" i="4"/>
  <c r="H74" i="4"/>
  <c r="BD74" i="4" s="1"/>
  <c r="G74" i="4"/>
  <c r="BW72" i="4"/>
  <c r="AK72" i="4"/>
  <c r="AJ72" i="4"/>
  <c r="AH72" i="4"/>
  <c r="AG72" i="4"/>
  <c r="AF72" i="4"/>
  <c r="AC72" i="4"/>
  <c r="AB72" i="4"/>
  <c r="Z72" i="4"/>
  <c r="H72" i="4"/>
  <c r="BD72" i="4" s="1"/>
  <c r="G72" i="4"/>
  <c r="BW70" i="4"/>
  <c r="AK70" i="4"/>
  <c r="AJ70" i="4"/>
  <c r="AH70" i="4"/>
  <c r="AG70" i="4"/>
  <c r="AF70" i="4"/>
  <c r="AC70" i="4"/>
  <c r="AB70" i="4"/>
  <c r="Z70" i="4"/>
  <c r="H70" i="4"/>
  <c r="BD70" i="4" s="1"/>
  <c r="G70" i="4"/>
  <c r="BW69" i="4"/>
  <c r="AK69" i="4"/>
  <c r="AJ69" i="4"/>
  <c r="AH69" i="4"/>
  <c r="AG69" i="4"/>
  <c r="AF69" i="4"/>
  <c r="AC69" i="4"/>
  <c r="AB69" i="4"/>
  <c r="Z69" i="4"/>
  <c r="H69" i="4"/>
  <c r="AP69" i="4" s="1"/>
  <c r="G69" i="4"/>
  <c r="BW68" i="4"/>
  <c r="AK68" i="4"/>
  <c r="AJ68" i="4"/>
  <c r="AH68" i="4"/>
  <c r="AG68" i="4"/>
  <c r="AF68" i="4"/>
  <c r="AC68" i="4"/>
  <c r="AB68" i="4"/>
  <c r="Z68" i="4"/>
  <c r="H68" i="4"/>
  <c r="AO68" i="4" s="1"/>
  <c r="G68" i="4"/>
  <c r="O68" i="4" s="1"/>
  <c r="BF68" i="4" s="1"/>
  <c r="BW67" i="4"/>
  <c r="AK67" i="4"/>
  <c r="AJ67" i="4"/>
  <c r="AH67" i="4"/>
  <c r="AG67" i="4"/>
  <c r="AF67" i="4"/>
  <c r="AC67" i="4"/>
  <c r="AB67" i="4"/>
  <c r="Z67" i="4"/>
  <c r="H67" i="4"/>
  <c r="G67" i="4"/>
  <c r="O67" i="4" s="1"/>
  <c r="BF67" i="4" s="1"/>
  <c r="BW66" i="4"/>
  <c r="AK66" i="4"/>
  <c r="AJ66" i="4"/>
  <c r="AH66" i="4"/>
  <c r="AG66" i="4"/>
  <c r="AF66" i="4"/>
  <c r="AC66" i="4"/>
  <c r="AB66" i="4"/>
  <c r="Z66" i="4"/>
  <c r="H66" i="4"/>
  <c r="BD66" i="4" s="1"/>
  <c r="G66" i="4"/>
  <c r="BW65" i="4"/>
  <c r="AK65" i="4"/>
  <c r="AJ65" i="4"/>
  <c r="AH65" i="4"/>
  <c r="AG65" i="4"/>
  <c r="AF65" i="4"/>
  <c r="AC65" i="4"/>
  <c r="AB65" i="4"/>
  <c r="Z65" i="4"/>
  <c r="H65" i="4"/>
  <c r="BD65" i="4" s="1"/>
  <c r="G65" i="4"/>
  <c r="BW64" i="4"/>
  <c r="AK64" i="4"/>
  <c r="AJ64" i="4"/>
  <c r="AH64" i="4"/>
  <c r="AG64" i="4"/>
  <c r="AF64" i="4"/>
  <c r="AC64" i="4"/>
  <c r="AB64" i="4"/>
  <c r="Z64" i="4"/>
  <c r="H64" i="4"/>
  <c r="BD64" i="4" s="1"/>
  <c r="G64" i="4"/>
  <c r="BW62" i="4"/>
  <c r="AK62" i="4"/>
  <c r="AJ62" i="4"/>
  <c r="AH62" i="4"/>
  <c r="AG62" i="4"/>
  <c r="AF62" i="4"/>
  <c r="AE62" i="4"/>
  <c r="AD62" i="4"/>
  <c r="AC62" i="4"/>
  <c r="AB62" i="4"/>
  <c r="H62" i="4"/>
  <c r="G62" i="4"/>
  <c r="O62" i="4" s="1"/>
  <c r="BF62" i="4" s="1"/>
  <c r="BW61" i="4"/>
  <c r="AK61" i="4"/>
  <c r="AJ61" i="4"/>
  <c r="AH61" i="4"/>
  <c r="AG61" i="4"/>
  <c r="AF61" i="4"/>
  <c r="AE61" i="4"/>
  <c r="AD61" i="4"/>
  <c r="AC61" i="4"/>
  <c r="AB61" i="4"/>
  <c r="H61" i="4"/>
  <c r="BD61" i="4" s="1"/>
  <c r="G61" i="4"/>
  <c r="BW60" i="4"/>
  <c r="AK60" i="4"/>
  <c r="AJ60" i="4"/>
  <c r="AH60" i="4"/>
  <c r="AG60" i="4"/>
  <c r="AF60" i="4"/>
  <c r="AE60" i="4"/>
  <c r="AD60" i="4"/>
  <c r="Z60" i="4"/>
  <c r="H60" i="4"/>
  <c r="BD60" i="4" s="1"/>
  <c r="G60" i="4"/>
  <c r="BW58" i="4"/>
  <c r="AK58" i="4"/>
  <c r="AJ58" i="4"/>
  <c r="AH58" i="4"/>
  <c r="AG58" i="4"/>
  <c r="AF58" i="4"/>
  <c r="AE58" i="4"/>
  <c r="AD58" i="4"/>
  <c r="Z58" i="4"/>
  <c r="H58" i="4"/>
  <c r="BD58" i="4" s="1"/>
  <c r="G58" i="4"/>
  <c r="BW57" i="4"/>
  <c r="AK57" i="4"/>
  <c r="AJ57" i="4"/>
  <c r="AH57" i="4"/>
  <c r="AG57" i="4"/>
  <c r="AF57" i="4"/>
  <c r="AE57" i="4"/>
  <c r="AD57" i="4"/>
  <c r="Z57" i="4"/>
  <c r="H57" i="4"/>
  <c r="BD57" i="4" s="1"/>
  <c r="G57" i="4"/>
  <c r="BW56" i="4"/>
  <c r="AK56" i="4"/>
  <c r="AJ56" i="4"/>
  <c r="AH56" i="4"/>
  <c r="AG56" i="4"/>
  <c r="AF56" i="4"/>
  <c r="AE56" i="4"/>
  <c r="AD56" i="4"/>
  <c r="Z56" i="4"/>
  <c r="H56" i="4"/>
  <c r="G56" i="4"/>
  <c r="BW55" i="4"/>
  <c r="AK55" i="4"/>
  <c r="AJ55" i="4"/>
  <c r="AH55" i="4"/>
  <c r="AG55" i="4"/>
  <c r="AF55" i="4"/>
  <c r="AE55" i="4"/>
  <c r="AD55" i="4"/>
  <c r="Z55" i="4"/>
  <c r="H55" i="4"/>
  <c r="AP55" i="4" s="1"/>
  <c r="G55" i="4"/>
  <c r="O55" i="4" s="1"/>
  <c r="BW52" i="4"/>
  <c r="AK52" i="4"/>
  <c r="AT51" i="4" s="1"/>
  <c r="AJ52" i="4"/>
  <c r="AS51" i="4" s="1"/>
  <c r="AH52" i="4"/>
  <c r="AG52" i="4"/>
  <c r="AF52" i="4"/>
  <c r="AC52" i="4"/>
  <c r="AB52" i="4"/>
  <c r="Z52" i="4"/>
  <c r="H52" i="4"/>
  <c r="BD52" i="4" s="1"/>
  <c r="G52" i="4"/>
  <c r="BW50" i="4"/>
  <c r="AK50" i="4"/>
  <c r="AJ50" i="4"/>
  <c r="AH50" i="4"/>
  <c r="AG50" i="4"/>
  <c r="AF50" i="4"/>
  <c r="AC50" i="4"/>
  <c r="AB50" i="4"/>
  <c r="Z50" i="4"/>
  <c r="H50" i="4"/>
  <c r="AO50" i="4" s="1"/>
  <c r="G50" i="4"/>
  <c r="O50" i="4" s="1"/>
  <c r="BF50" i="4" s="1"/>
  <c r="BW49" i="4"/>
  <c r="AK49" i="4"/>
  <c r="AT48" i="4" s="1"/>
  <c r="AJ49" i="4"/>
  <c r="AS48" i="4" s="1"/>
  <c r="AH49" i="4"/>
  <c r="AG49" i="4"/>
  <c r="AF49" i="4"/>
  <c r="AC49" i="4"/>
  <c r="AB49" i="4"/>
  <c r="Z49" i="4"/>
  <c r="H49" i="4"/>
  <c r="AP49" i="4" s="1"/>
  <c r="G49" i="4"/>
  <c r="O49" i="4" s="1"/>
  <c r="BF49" i="4" s="1"/>
  <c r="BW47" i="4"/>
  <c r="AK47" i="4"/>
  <c r="AJ47" i="4"/>
  <c r="AH47" i="4"/>
  <c r="AG47" i="4"/>
  <c r="AF47" i="4"/>
  <c r="AC47" i="4"/>
  <c r="AB47" i="4"/>
  <c r="Z47" i="4"/>
  <c r="H47" i="4"/>
  <c r="BD47" i="4" s="1"/>
  <c r="G47" i="4"/>
  <c r="BW46" i="4"/>
  <c r="AK46" i="4"/>
  <c r="AJ46" i="4"/>
  <c r="AH46" i="4"/>
  <c r="AG46" i="4"/>
  <c r="AF46" i="4"/>
  <c r="AC46" i="4"/>
  <c r="AB46" i="4"/>
  <c r="Z46" i="4"/>
  <c r="H46" i="4"/>
  <c r="AP46" i="4" s="1"/>
  <c r="G46" i="4"/>
  <c r="BW45" i="4"/>
  <c r="AK45" i="4"/>
  <c r="AJ45" i="4"/>
  <c r="AH45" i="4"/>
  <c r="AG45" i="4"/>
  <c r="AF45" i="4"/>
  <c r="AC45" i="4"/>
  <c r="AB45" i="4"/>
  <c r="Z45" i="4"/>
  <c r="H45" i="4"/>
  <c r="AO45" i="4" s="1"/>
  <c r="G45" i="4"/>
  <c r="O45" i="4" s="1"/>
  <c r="BF45" i="4" s="1"/>
  <c r="BW44" i="4"/>
  <c r="AK44" i="4"/>
  <c r="AJ44" i="4"/>
  <c r="AH44" i="4"/>
  <c r="AG44" i="4"/>
  <c r="AF44" i="4"/>
  <c r="AC44" i="4"/>
  <c r="AB44" i="4"/>
  <c r="Z44" i="4"/>
  <c r="H44" i="4"/>
  <c r="AP44" i="4" s="1"/>
  <c r="G44" i="4"/>
  <c r="O44" i="4" s="1"/>
  <c r="BF44" i="4" s="1"/>
  <c r="BW42" i="4"/>
  <c r="AK42" i="4"/>
  <c r="AJ42" i="4"/>
  <c r="AH42" i="4"/>
  <c r="AG42" i="4"/>
  <c r="AF42" i="4"/>
  <c r="AC42" i="4"/>
  <c r="AB42" i="4"/>
  <c r="Z42" i="4"/>
  <c r="H42" i="4"/>
  <c r="BD42" i="4" s="1"/>
  <c r="G42" i="4"/>
  <c r="BW41" i="4"/>
  <c r="AK41" i="4"/>
  <c r="AJ41" i="4"/>
  <c r="AH41" i="4"/>
  <c r="AG41" i="4"/>
  <c r="AF41" i="4"/>
  <c r="AC41" i="4"/>
  <c r="AB41" i="4"/>
  <c r="Z41" i="4"/>
  <c r="H41" i="4"/>
  <c r="AP41" i="4" s="1"/>
  <c r="G41" i="4"/>
  <c r="BW40" i="4"/>
  <c r="AK40" i="4"/>
  <c r="AJ40" i="4"/>
  <c r="AH40" i="4"/>
  <c r="AG40" i="4"/>
  <c r="AF40" i="4"/>
  <c r="AC40" i="4"/>
  <c r="AB40" i="4"/>
  <c r="Z40" i="4"/>
  <c r="H40" i="4"/>
  <c r="BD40" i="4" s="1"/>
  <c r="G40" i="4"/>
  <c r="O40" i="4" s="1"/>
  <c r="BF40" i="4" s="1"/>
  <c r="BW39" i="4"/>
  <c r="AK39" i="4"/>
  <c r="AJ39" i="4"/>
  <c r="AH39" i="4"/>
  <c r="AG39" i="4"/>
  <c r="AF39" i="4"/>
  <c r="AC39" i="4"/>
  <c r="AB39" i="4"/>
  <c r="Z39" i="4"/>
  <c r="H39" i="4"/>
  <c r="AP39" i="4" s="1"/>
  <c r="G39" i="4"/>
  <c r="O39" i="4" s="1"/>
  <c r="BF39" i="4" s="1"/>
  <c r="BW38" i="4"/>
  <c r="AK38" i="4"/>
  <c r="AJ38" i="4"/>
  <c r="AH38" i="4"/>
  <c r="AG38" i="4"/>
  <c r="AF38" i="4"/>
  <c r="AC38" i="4"/>
  <c r="AB38" i="4"/>
  <c r="Z38" i="4"/>
  <c r="H38" i="4"/>
  <c r="BD38" i="4" s="1"/>
  <c r="G38" i="4"/>
  <c r="O38" i="4" s="1"/>
  <c r="BF38" i="4" s="1"/>
  <c r="BW37" i="4"/>
  <c r="AK37" i="4"/>
  <c r="AJ37" i="4"/>
  <c r="AH37" i="4"/>
  <c r="AG37" i="4"/>
  <c r="AF37" i="4"/>
  <c r="AC37" i="4"/>
  <c r="AB37" i="4"/>
  <c r="Z37" i="4"/>
  <c r="H37" i="4"/>
  <c r="BD37" i="4" s="1"/>
  <c r="G37" i="4"/>
  <c r="BW36" i="4"/>
  <c r="AK36" i="4"/>
  <c r="AJ36" i="4"/>
  <c r="AH36" i="4"/>
  <c r="AG36" i="4"/>
  <c r="AF36" i="4"/>
  <c r="AC36" i="4"/>
  <c r="AB36" i="4"/>
  <c r="Z36" i="4"/>
  <c r="H36" i="4"/>
  <c r="BD36" i="4" s="1"/>
  <c r="G36" i="4"/>
  <c r="BW35" i="4"/>
  <c r="AK35" i="4"/>
  <c r="AJ35" i="4"/>
  <c r="AH35" i="4"/>
  <c r="AG35" i="4"/>
  <c r="AF35" i="4"/>
  <c r="AC35" i="4"/>
  <c r="AB35" i="4"/>
  <c r="Z35" i="4"/>
  <c r="H35" i="4"/>
  <c r="BD35" i="4" s="1"/>
  <c r="G35" i="4"/>
  <c r="O35" i="4" s="1"/>
  <c r="BF35" i="4" s="1"/>
  <c r="BW34" i="4"/>
  <c r="AK34" i="4"/>
  <c r="AJ34" i="4"/>
  <c r="AH34" i="4"/>
  <c r="AG34" i="4"/>
  <c r="AF34" i="4"/>
  <c r="AC34" i="4"/>
  <c r="AB34" i="4"/>
  <c r="Z34" i="4"/>
  <c r="H34" i="4"/>
  <c r="BD34" i="4" s="1"/>
  <c r="G34" i="4"/>
  <c r="BW32" i="4"/>
  <c r="AK32" i="4"/>
  <c r="AT31" i="4" s="1"/>
  <c r="AJ32" i="4"/>
  <c r="AS31" i="4" s="1"/>
  <c r="AH32" i="4"/>
  <c r="AG32" i="4"/>
  <c r="AF32" i="4"/>
  <c r="AC32" i="4"/>
  <c r="AB32" i="4"/>
  <c r="Z32" i="4"/>
  <c r="H32" i="4"/>
  <c r="BD32" i="4" s="1"/>
  <c r="G32" i="4"/>
  <c r="BW30" i="4"/>
  <c r="AK30" i="4"/>
  <c r="AT29" i="4" s="1"/>
  <c r="AJ30" i="4"/>
  <c r="AS29" i="4" s="1"/>
  <c r="AH30" i="4"/>
  <c r="AG30" i="4"/>
  <c r="AF30" i="4"/>
  <c r="AE30" i="4"/>
  <c r="AD30" i="4"/>
  <c r="Z30" i="4"/>
  <c r="H30" i="4"/>
  <c r="BD30" i="4" s="1"/>
  <c r="G30" i="4"/>
  <c r="O30" i="4" s="1"/>
  <c r="BW27" i="4"/>
  <c r="AK27" i="4"/>
  <c r="AT26" i="4" s="1"/>
  <c r="AJ27" i="4"/>
  <c r="AS26" i="4" s="1"/>
  <c r="AH27" i="4"/>
  <c r="AG27" i="4"/>
  <c r="AF27" i="4"/>
  <c r="AE27" i="4"/>
  <c r="AD27" i="4"/>
  <c r="AC27" i="4"/>
  <c r="AB27" i="4"/>
  <c r="Z27" i="4"/>
  <c r="O27" i="4"/>
  <c r="BF27" i="4" s="1"/>
  <c r="H27" i="4"/>
  <c r="AP27" i="4" s="1"/>
  <c r="AX27" i="4" s="1"/>
  <c r="G27" i="4"/>
  <c r="BW25" i="4"/>
  <c r="AK25" i="4"/>
  <c r="AJ25" i="4"/>
  <c r="AH25" i="4"/>
  <c r="AG25" i="4"/>
  <c r="AF25" i="4"/>
  <c r="AE25" i="4"/>
  <c r="AD25" i="4"/>
  <c r="AC25" i="4"/>
  <c r="AB25" i="4"/>
  <c r="Z25" i="4"/>
  <c r="H25" i="4"/>
  <c r="BD25" i="4" s="1"/>
  <c r="G25" i="4"/>
  <c r="BW24" i="4"/>
  <c r="AK24" i="4"/>
  <c r="AJ24" i="4"/>
  <c r="AS23" i="4" s="1"/>
  <c r="AH24" i="4"/>
  <c r="AG24" i="4"/>
  <c r="AF24" i="4"/>
  <c r="AE24" i="4"/>
  <c r="AD24" i="4"/>
  <c r="AC24" i="4"/>
  <c r="AB24" i="4"/>
  <c r="Z24" i="4"/>
  <c r="H24" i="4"/>
  <c r="AP24" i="4" s="1"/>
  <c r="G24" i="4"/>
  <c r="BW22" i="4"/>
  <c r="AK22" i="4"/>
  <c r="AT21" i="4" s="1"/>
  <c r="AJ22" i="4"/>
  <c r="AS21" i="4" s="1"/>
  <c r="AH22" i="4"/>
  <c r="AG22" i="4"/>
  <c r="AF22" i="4"/>
  <c r="AE22" i="4"/>
  <c r="AD22" i="4"/>
  <c r="AC22" i="4"/>
  <c r="AB22" i="4"/>
  <c r="Z22" i="4"/>
  <c r="H22" i="4"/>
  <c r="BD22" i="4" s="1"/>
  <c r="G22" i="4"/>
  <c r="BW20" i="4"/>
  <c r="AK20" i="4"/>
  <c r="AJ20" i="4"/>
  <c r="AH20" i="4"/>
  <c r="AG20" i="4"/>
  <c r="AF20" i="4"/>
  <c r="AE20" i="4"/>
  <c r="AD20" i="4"/>
  <c r="AC20" i="4"/>
  <c r="AB20" i="4"/>
  <c r="Z20" i="4"/>
  <c r="H20" i="4"/>
  <c r="AP20" i="4" s="1"/>
  <c r="G20" i="4"/>
  <c r="BW19" i="4"/>
  <c r="AK19" i="4"/>
  <c r="AJ19" i="4"/>
  <c r="AH19" i="4"/>
  <c r="AG19" i="4"/>
  <c r="AF19" i="4"/>
  <c r="AE19" i="4"/>
  <c r="AD19" i="4"/>
  <c r="AC19" i="4"/>
  <c r="AB19" i="4"/>
  <c r="Z19" i="4"/>
  <c r="H19" i="4"/>
  <c r="AP19" i="4" s="1"/>
  <c r="G19" i="4"/>
  <c r="O19" i="4" s="1"/>
  <c r="BF19" i="4" s="1"/>
  <c r="BW18" i="4"/>
  <c r="AK18" i="4"/>
  <c r="AJ18" i="4"/>
  <c r="AH18" i="4"/>
  <c r="AG18" i="4"/>
  <c r="AF18" i="4"/>
  <c r="AE18" i="4"/>
  <c r="AD18" i="4"/>
  <c r="AC18" i="4"/>
  <c r="AB18" i="4"/>
  <c r="Z18" i="4"/>
  <c r="H18" i="4"/>
  <c r="AP18" i="4" s="1"/>
  <c r="G18" i="4"/>
  <c r="O18" i="4" s="1"/>
  <c r="BF18" i="4" s="1"/>
  <c r="BW16" i="4"/>
  <c r="AK16" i="4"/>
  <c r="AJ16" i="4"/>
  <c r="AH16" i="4"/>
  <c r="AG16" i="4"/>
  <c r="AF16" i="4"/>
  <c r="AE16" i="4"/>
  <c r="AD16" i="4"/>
  <c r="AC16" i="4"/>
  <c r="AB16" i="4"/>
  <c r="Z16" i="4"/>
  <c r="H16" i="4"/>
  <c r="BD16" i="4" s="1"/>
  <c r="G16" i="4"/>
  <c r="BW15" i="4"/>
  <c r="AK15" i="4"/>
  <c r="AJ15" i="4"/>
  <c r="AH15" i="4"/>
  <c r="AG15" i="4"/>
  <c r="AF15" i="4"/>
  <c r="AE15" i="4"/>
  <c r="AD15" i="4"/>
  <c r="AC15" i="4"/>
  <c r="AB15" i="4"/>
  <c r="Z15" i="4"/>
  <c r="H15" i="4"/>
  <c r="G15" i="4"/>
  <c r="AU1" i="4"/>
  <c r="AT1" i="4"/>
  <c r="AS1" i="4"/>
  <c r="F44" i="3"/>
  <c r="I44" i="3" s="1"/>
  <c r="F42" i="3"/>
  <c r="I42" i="3" s="1"/>
  <c r="F41" i="3"/>
  <c r="I41" i="3" s="1"/>
  <c r="F39" i="3"/>
  <c r="I39" i="3" s="1"/>
  <c r="I26" i="3"/>
  <c r="I25" i="3"/>
  <c r="I24" i="3"/>
  <c r="I23" i="3"/>
  <c r="I22" i="3"/>
  <c r="I21" i="3"/>
  <c r="I17" i="3"/>
  <c r="I16" i="3"/>
  <c r="I15" i="3"/>
  <c r="I18" i="3" s="1"/>
  <c r="I10" i="3"/>
  <c r="F10" i="3"/>
  <c r="C10" i="3"/>
  <c r="F8" i="3"/>
  <c r="C8" i="3"/>
  <c r="F6" i="3"/>
  <c r="C6" i="3"/>
  <c r="F4" i="3"/>
  <c r="C4" i="3"/>
  <c r="F2" i="3"/>
  <c r="C2" i="3"/>
  <c r="AF557" i="8" l="1"/>
  <c r="AB557" i="8"/>
  <c r="AD557" i="8"/>
  <c r="AV562" i="8"/>
  <c r="BC562" i="8"/>
  <c r="BC538" i="8"/>
  <c r="AV538" i="8"/>
  <c r="AV524" i="8"/>
  <c r="BC524" i="8"/>
  <c r="AF522" i="8"/>
  <c r="AB522" i="8"/>
  <c r="AD522" i="8"/>
  <c r="AF431" i="8"/>
  <c r="AB431" i="8"/>
  <c r="AD431" i="8"/>
  <c r="AF549" i="8"/>
  <c r="AB549" i="8"/>
  <c r="AD549" i="8"/>
  <c r="AF455" i="8"/>
  <c r="AB455" i="8"/>
  <c r="AD455" i="8"/>
  <c r="AV470" i="8"/>
  <c r="BC470" i="8"/>
  <c r="AF465" i="8"/>
  <c r="AB465" i="8"/>
  <c r="AD465" i="8"/>
  <c r="AF336" i="8"/>
  <c r="AD336" i="8"/>
  <c r="AB336" i="8"/>
  <c r="AD315" i="8"/>
  <c r="AB315" i="8"/>
  <c r="AF315" i="8"/>
  <c r="AE300" i="8"/>
  <c r="AC300" i="8"/>
  <c r="AG300" i="8"/>
  <c r="AF297" i="8"/>
  <c r="AD297" i="8"/>
  <c r="AB297" i="8"/>
  <c r="AV467" i="8"/>
  <c r="BC467" i="8"/>
  <c r="AG423" i="8"/>
  <c r="AC423" i="8"/>
  <c r="AE423" i="8"/>
  <c r="AV413" i="8"/>
  <c r="BC413" i="8"/>
  <c r="AV414" i="8"/>
  <c r="BC414" i="8"/>
  <c r="AD389" i="8"/>
  <c r="AF389" i="8"/>
  <c r="AB389" i="8"/>
  <c r="AD374" i="8"/>
  <c r="AB374" i="8"/>
  <c r="AF374" i="8"/>
  <c r="AV365" i="8"/>
  <c r="BC365" i="8"/>
  <c r="AV244" i="8"/>
  <c r="BC244" i="8"/>
  <c r="AB75" i="8"/>
  <c r="AD75" i="8"/>
  <c r="AF75" i="8"/>
  <c r="AG18" i="8"/>
  <c r="AE18" i="8"/>
  <c r="AC18" i="8"/>
  <c r="AV402" i="8"/>
  <c r="BC402" i="8"/>
  <c r="AF408" i="8"/>
  <c r="AB408" i="8"/>
  <c r="AD408" i="8"/>
  <c r="AG279" i="8"/>
  <c r="AE279" i="8"/>
  <c r="AC279" i="8"/>
  <c r="AV423" i="8"/>
  <c r="BC423" i="8"/>
  <c r="AG316" i="8"/>
  <c r="AE316" i="8"/>
  <c r="AC316" i="8"/>
  <c r="AG245" i="8"/>
  <c r="AC245" i="8"/>
  <c r="AE245" i="8"/>
  <c r="AV188" i="8"/>
  <c r="BC188" i="8"/>
  <c r="AG149" i="8"/>
  <c r="AC149" i="8"/>
  <c r="AE149" i="8"/>
  <c r="AS220" i="8"/>
  <c r="AV511" i="8"/>
  <c r="BC511" i="8"/>
  <c r="AG404" i="8"/>
  <c r="AC404" i="8"/>
  <c r="AE404" i="8"/>
  <c r="AV364" i="8"/>
  <c r="BC364" i="8"/>
  <c r="AF277" i="8"/>
  <c r="AB277" i="8"/>
  <c r="AD277" i="8"/>
  <c r="AE587" i="8"/>
  <c r="AG587" i="8"/>
  <c r="AC587" i="8"/>
  <c r="BC577" i="8"/>
  <c r="AU561" i="8"/>
  <c r="AV586" i="8"/>
  <c r="BC586" i="8"/>
  <c r="AG577" i="8"/>
  <c r="AE577" i="8"/>
  <c r="AC577" i="8"/>
  <c r="AG562" i="8"/>
  <c r="AC562" i="8"/>
  <c r="AE562" i="8"/>
  <c r="AV557" i="8"/>
  <c r="BC557" i="8"/>
  <c r="AT553" i="8"/>
  <c r="AU532" i="8"/>
  <c r="AV512" i="8"/>
  <c r="BC512" i="8"/>
  <c r="AG567" i="8"/>
  <c r="AC567" i="8"/>
  <c r="AE567" i="8"/>
  <c r="AV554" i="8"/>
  <c r="BC554" i="8"/>
  <c r="AF536" i="8"/>
  <c r="AB536" i="8"/>
  <c r="AD536" i="8"/>
  <c r="AG527" i="8"/>
  <c r="AC527" i="8"/>
  <c r="AE527" i="8"/>
  <c r="AV560" i="8"/>
  <c r="BC560" i="8"/>
  <c r="AG541" i="8"/>
  <c r="AC541" i="8"/>
  <c r="AE541" i="8"/>
  <c r="AV533" i="8"/>
  <c r="BC533" i="8"/>
  <c r="AV526" i="8"/>
  <c r="BC526" i="8"/>
  <c r="I519" i="8"/>
  <c r="AG570" i="8"/>
  <c r="AC570" i="8"/>
  <c r="AE570" i="8"/>
  <c r="AF541" i="8"/>
  <c r="AB541" i="8"/>
  <c r="AD541" i="8"/>
  <c r="AV487" i="8"/>
  <c r="BC487" i="8"/>
  <c r="AS427" i="8"/>
  <c r="AG508" i="8"/>
  <c r="AC508" i="8"/>
  <c r="AE508" i="8"/>
  <c r="AG481" i="8"/>
  <c r="AC481" i="8"/>
  <c r="AE481" i="8"/>
  <c r="AV479" i="8"/>
  <c r="BC479" i="8"/>
  <c r="AF444" i="8"/>
  <c r="AB444" i="8"/>
  <c r="AD444" i="8"/>
  <c r="AV549" i="8"/>
  <c r="BC549" i="8"/>
  <c r="AV498" i="8"/>
  <c r="BC498" i="8"/>
  <c r="AG476" i="8"/>
  <c r="AC476" i="8"/>
  <c r="AE476" i="8"/>
  <c r="AG457" i="8"/>
  <c r="AC457" i="8"/>
  <c r="AE457" i="8"/>
  <c r="AG436" i="8"/>
  <c r="AC436" i="8"/>
  <c r="AE436" i="8"/>
  <c r="AV428" i="8"/>
  <c r="BC428" i="8"/>
  <c r="BC353" i="8"/>
  <c r="AV353" i="8"/>
  <c r="BC339" i="8"/>
  <c r="AV339" i="8"/>
  <c r="AG334" i="8"/>
  <c r="AC334" i="8"/>
  <c r="AE334" i="8"/>
  <c r="BC315" i="8"/>
  <c r="AV315" i="8"/>
  <c r="AS310" i="8"/>
  <c r="AE290" i="8"/>
  <c r="AG290" i="8"/>
  <c r="AC290" i="8"/>
  <c r="AS450" i="8"/>
  <c r="AF436" i="8"/>
  <c r="AB436" i="8"/>
  <c r="AD436" i="8"/>
  <c r="AT392" i="8"/>
  <c r="AG389" i="8"/>
  <c r="AC389" i="8"/>
  <c r="AE389" i="8"/>
  <c r="AV389" i="8"/>
  <c r="BC389" i="8"/>
  <c r="AT380" i="8"/>
  <c r="AV374" i="8"/>
  <c r="BC374" i="8"/>
  <c r="AG361" i="8"/>
  <c r="AC361" i="8"/>
  <c r="AE361" i="8"/>
  <c r="AV332" i="8"/>
  <c r="BC332" i="8"/>
  <c r="AD325" i="8"/>
  <c r="AB325" i="8"/>
  <c r="AF325" i="8"/>
  <c r="BC293" i="8"/>
  <c r="AV293" i="8"/>
  <c r="AT275" i="8"/>
  <c r="AG269" i="8"/>
  <c r="AC269" i="8"/>
  <c r="AE269" i="8"/>
  <c r="AG262" i="8"/>
  <c r="AE262" i="8"/>
  <c r="AC262" i="8"/>
  <c r="AG260" i="8"/>
  <c r="AC260" i="8"/>
  <c r="AE260" i="8"/>
  <c r="AG246" i="8"/>
  <c r="AC246" i="8"/>
  <c r="AE246" i="8"/>
  <c r="BC238" i="8"/>
  <c r="AG150" i="8"/>
  <c r="AC150" i="8"/>
  <c r="AE150" i="8"/>
  <c r="AF145" i="8"/>
  <c r="AB145" i="8"/>
  <c r="AD145" i="8"/>
  <c r="AS97" i="8"/>
  <c r="AE76" i="8"/>
  <c r="AC76" i="8"/>
  <c r="AG76" i="8"/>
  <c r="BC66" i="8"/>
  <c r="BC56" i="8"/>
  <c r="AV56" i="8"/>
  <c r="AG25" i="8"/>
  <c r="AE25" i="8"/>
  <c r="AC25" i="8"/>
  <c r="AC19" i="8"/>
  <c r="AE19" i="8"/>
  <c r="AG19" i="8"/>
  <c r="AF531" i="8"/>
  <c r="AB531" i="8"/>
  <c r="AD531" i="8"/>
  <c r="AF402" i="8"/>
  <c r="AB402" i="8"/>
  <c r="AD402" i="8"/>
  <c r="AG340" i="8"/>
  <c r="AE340" i="8"/>
  <c r="AC340" i="8"/>
  <c r="AF328" i="8"/>
  <c r="AB328" i="8"/>
  <c r="AD328" i="8"/>
  <c r="BC323" i="8"/>
  <c r="AV323" i="8"/>
  <c r="AE277" i="8"/>
  <c r="AC277" i="8"/>
  <c r="AG277" i="8"/>
  <c r="AT130" i="8"/>
  <c r="AF347" i="8"/>
  <c r="AB347" i="8"/>
  <c r="AD347" i="8"/>
  <c r="AF329" i="8"/>
  <c r="AD329" i="8"/>
  <c r="AB329" i="8"/>
  <c r="AV295" i="8"/>
  <c r="BC295" i="8"/>
  <c r="AS485" i="8"/>
  <c r="AG474" i="8"/>
  <c r="AC474" i="8"/>
  <c r="AE474" i="8"/>
  <c r="AG420" i="8"/>
  <c r="AC420" i="8"/>
  <c r="AE420" i="8"/>
  <c r="AV385" i="8"/>
  <c r="BC385" i="8"/>
  <c r="BC367" i="8"/>
  <c r="AV367" i="8"/>
  <c r="AE342" i="8"/>
  <c r="AC342" i="8"/>
  <c r="AG342" i="8"/>
  <c r="BC316" i="8"/>
  <c r="AV316" i="8"/>
  <c r="AG305" i="8"/>
  <c r="AE305" i="8"/>
  <c r="AC305" i="8"/>
  <c r="AV268" i="8"/>
  <c r="BC268" i="8"/>
  <c r="AF233" i="8"/>
  <c r="AB233" i="8"/>
  <c r="AD233" i="8"/>
  <c r="AG230" i="8"/>
  <c r="AC230" i="8"/>
  <c r="AE230" i="8"/>
  <c r="AF225" i="8"/>
  <c r="AB225" i="8"/>
  <c r="AD225" i="8"/>
  <c r="AG222" i="8"/>
  <c r="AC222" i="8"/>
  <c r="AE222" i="8"/>
  <c r="AG217" i="8"/>
  <c r="AC217" i="8"/>
  <c r="AE217" i="8"/>
  <c r="AF212" i="8"/>
  <c r="AB212" i="8"/>
  <c r="AD212" i="8"/>
  <c r="AV202" i="8"/>
  <c r="BC202" i="8"/>
  <c r="AV196" i="8"/>
  <c r="BC196" i="8"/>
  <c r="AG176" i="8"/>
  <c r="AC176" i="8"/>
  <c r="AE176" i="8"/>
  <c r="AF171" i="8"/>
  <c r="AB171" i="8"/>
  <c r="AD171" i="8"/>
  <c r="AG124" i="8"/>
  <c r="AC124" i="8"/>
  <c r="AE124" i="8"/>
  <c r="AG112" i="8"/>
  <c r="AC112" i="8"/>
  <c r="AE112" i="8"/>
  <c r="AF89" i="8"/>
  <c r="AB89" i="8"/>
  <c r="AD89" i="8"/>
  <c r="AV88" i="8"/>
  <c r="BC88" i="8"/>
  <c r="AF79" i="8"/>
  <c r="AD79" i="8"/>
  <c r="AB79" i="8"/>
  <c r="AV39" i="8"/>
  <c r="BC39" i="8"/>
  <c r="BC34" i="8"/>
  <c r="AV34" i="8"/>
  <c r="AC302" i="8"/>
  <c r="AE302" i="8"/>
  <c r="AG302" i="8"/>
  <c r="AG273" i="8"/>
  <c r="AC273" i="8"/>
  <c r="AE273" i="8"/>
  <c r="AS121" i="8"/>
  <c r="AV506" i="8"/>
  <c r="BC506" i="8"/>
  <c r="AV404" i="8"/>
  <c r="BC404" i="8"/>
  <c r="AE378" i="8"/>
  <c r="AC378" i="8"/>
  <c r="AG378" i="8"/>
  <c r="BC276" i="8"/>
  <c r="AV276" i="8"/>
  <c r="BC262" i="8"/>
  <c r="AT220" i="8"/>
  <c r="AD586" i="8"/>
  <c r="AF586" i="8"/>
  <c r="AB586" i="8"/>
  <c r="AT532" i="8"/>
  <c r="AV536" i="8"/>
  <c r="BC536" i="8"/>
  <c r="BC527" i="8"/>
  <c r="BC546" i="8"/>
  <c r="AV546" i="8"/>
  <c r="AG549" i="8"/>
  <c r="AC549" i="8"/>
  <c r="AE549" i="8"/>
  <c r="AF473" i="8"/>
  <c r="AB473" i="8"/>
  <c r="AD473" i="8"/>
  <c r="AV495" i="8"/>
  <c r="BC495" i="8"/>
  <c r="AT415" i="8"/>
  <c r="AD339" i="8"/>
  <c r="AB339" i="8"/>
  <c r="AF339" i="8"/>
  <c r="AG329" i="8"/>
  <c r="AC329" i="8"/>
  <c r="AE329" i="8"/>
  <c r="AU450" i="8"/>
  <c r="AV330" i="8"/>
  <c r="BC330" i="8"/>
  <c r="AG368" i="8"/>
  <c r="AE368" i="8"/>
  <c r="AC368" i="8"/>
  <c r="AT337" i="8"/>
  <c r="AE318" i="8"/>
  <c r="AC318" i="8"/>
  <c r="AG318" i="8"/>
  <c r="AU240" i="8"/>
  <c r="AV531" i="8"/>
  <c r="BC531" i="8"/>
  <c r="I239" i="8"/>
  <c r="AV347" i="8"/>
  <c r="BC347" i="8"/>
  <c r="AD385" i="8"/>
  <c r="AB385" i="8"/>
  <c r="AF385" i="8"/>
  <c r="AV361" i="8"/>
  <c r="BC361" i="8"/>
  <c r="AG294" i="8"/>
  <c r="AC294" i="8"/>
  <c r="AE294" i="8"/>
  <c r="AS140" i="8"/>
  <c r="AG129" i="8"/>
  <c r="AC129" i="8"/>
  <c r="AE129" i="8"/>
  <c r="AV110" i="8"/>
  <c r="BC110" i="8"/>
  <c r="AG52" i="8"/>
  <c r="AE52" i="8"/>
  <c r="AC52" i="8"/>
  <c r="AV207" i="8"/>
  <c r="AT573" i="8"/>
  <c r="AG574" i="8"/>
  <c r="AC574" i="8"/>
  <c r="AE574" i="8"/>
  <c r="BC555" i="8"/>
  <c r="AV555" i="8"/>
  <c r="AV565" i="8"/>
  <c r="BC565" i="8"/>
  <c r="BC567" i="8"/>
  <c r="AV567" i="8"/>
  <c r="AF554" i="8"/>
  <c r="AB554" i="8"/>
  <c r="AD554" i="8"/>
  <c r="AG528" i="8"/>
  <c r="AE528" i="8"/>
  <c r="AC528" i="8"/>
  <c r="AE526" i="8"/>
  <c r="AG526" i="8"/>
  <c r="AC526" i="8"/>
  <c r="AF523" i="8"/>
  <c r="AB523" i="8"/>
  <c r="AD523" i="8"/>
  <c r="AG512" i="8"/>
  <c r="AC512" i="8"/>
  <c r="AE512" i="8"/>
  <c r="AV587" i="8"/>
  <c r="AF560" i="8"/>
  <c r="AB560" i="8"/>
  <c r="AD560" i="8"/>
  <c r="AV544" i="8"/>
  <c r="BC544" i="8"/>
  <c r="AF526" i="8"/>
  <c r="AB526" i="8"/>
  <c r="AD526" i="8"/>
  <c r="AT497" i="8"/>
  <c r="AF572" i="8"/>
  <c r="AB572" i="8"/>
  <c r="AD572" i="8"/>
  <c r="AV541" i="8"/>
  <c r="BC541" i="8"/>
  <c r="AF490" i="8"/>
  <c r="AB490" i="8"/>
  <c r="AD490" i="8"/>
  <c r="AV474" i="8"/>
  <c r="AV570" i="8"/>
  <c r="BC570" i="8"/>
  <c r="AV515" i="8"/>
  <c r="BC515" i="8"/>
  <c r="AT477" i="8"/>
  <c r="AT427" i="8"/>
  <c r="AV508" i="8"/>
  <c r="BC508" i="8"/>
  <c r="AV481" i="8"/>
  <c r="BC481" i="8"/>
  <c r="AF479" i="8"/>
  <c r="AB479" i="8"/>
  <c r="AD479" i="8"/>
  <c r="AG428" i="8"/>
  <c r="AC428" i="8"/>
  <c r="AE428" i="8"/>
  <c r="AF498" i="8"/>
  <c r="AB498" i="8"/>
  <c r="AD498" i="8"/>
  <c r="AV476" i="8"/>
  <c r="BC476" i="8"/>
  <c r="AV457" i="8"/>
  <c r="BC457" i="8"/>
  <c r="AV439" i="8"/>
  <c r="BC439" i="8"/>
  <c r="AS357" i="8"/>
  <c r="AV426" i="8"/>
  <c r="BC426" i="8"/>
  <c r="AG410" i="8"/>
  <c r="AC410" i="8"/>
  <c r="AE410" i="8"/>
  <c r="AS407" i="8"/>
  <c r="AU392" i="8"/>
  <c r="BC383" i="8"/>
  <c r="AV383" i="8"/>
  <c r="AG365" i="8"/>
  <c r="AC365" i="8"/>
  <c r="AE365" i="8"/>
  <c r="AU310" i="8"/>
  <c r="AG500" i="8"/>
  <c r="AC500" i="8"/>
  <c r="AE500" i="8"/>
  <c r="AT450" i="8"/>
  <c r="AV436" i="8"/>
  <c r="BC436" i="8"/>
  <c r="AS392" i="8"/>
  <c r="AC366" i="8"/>
  <c r="AG366" i="8"/>
  <c r="AE366" i="8"/>
  <c r="AF352" i="8"/>
  <c r="AD352" i="8"/>
  <c r="AB352" i="8"/>
  <c r="AC288" i="8"/>
  <c r="AG288" i="8"/>
  <c r="AE288" i="8"/>
  <c r="BC284" i="8"/>
  <c r="AV284" i="8"/>
  <c r="I379" i="8"/>
  <c r="AT357" i="8"/>
  <c r="AE349" i="8"/>
  <c r="AG349" i="8"/>
  <c r="AC349" i="8"/>
  <c r="AU337" i="8"/>
  <c r="AF332" i="8"/>
  <c r="AB332" i="8"/>
  <c r="AD332" i="8"/>
  <c r="AV325" i="8"/>
  <c r="BC325" i="8"/>
  <c r="AD293" i="8"/>
  <c r="AB293" i="8"/>
  <c r="AF293" i="8"/>
  <c r="AU275" i="8"/>
  <c r="AG270" i="8"/>
  <c r="AE270" i="8"/>
  <c r="AC270" i="8"/>
  <c r="AE268" i="8"/>
  <c r="AG268" i="8"/>
  <c r="AC268" i="8"/>
  <c r="AF255" i="8"/>
  <c r="AB255" i="8"/>
  <c r="AD255" i="8"/>
  <c r="AF249" i="8"/>
  <c r="AB249" i="8"/>
  <c r="AD249" i="8"/>
  <c r="AF241" i="8"/>
  <c r="AB241" i="8"/>
  <c r="AD241" i="8"/>
  <c r="BC193" i="8"/>
  <c r="AG167" i="8"/>
  <c r="AC167" i="8"/>
  <c r="AE167" i="8"/>
  <c r="AF158" i="8"/>
  <c r="AB158" i="8"/>
  <c r="AD158" i="8"/>
  <c r="AF153" i="8"/>
  <c r="AB153" i="8"/>
  <c r="AD153" i="8"/>
  <c r="AT97" i="8"/>
  <c r="BC94" i="8"/>
  <c r="AU87" i="8"/>
  <c r="AS62" i="8"/>
  <c r="AC27" i="8"/>
  <c r="AG27" i="8"/>
  <c r="AE27" i="8"/>
  <c r="AG20" i="8"/>
  <c r="AE20" i="8"/>
  <c r="AC20" i="8"/>
  <c r="AE15" i="8"/>
  <c r="AC15" i="8"/>
  <c r="AG15" i="8"/>
  <c r="AF503" i="8"/>
  <c r="AB503" i="8"/>
  <c r="AD503" i="8"/>
  <c r="AF399" i="8"/>
  <c r="AB399" i="8"/>
  <c r="AD399" i="8"/>
  <c r="BC393" i="8"/>
  <c r="AV393" i="8"/>
  <c r="BC340" i="8"/>
  <c r="AV340" i="8"/>
  <c r="AV328" i="8"/>
  <c r="BC328" i="8"/>
  <c r="AF323" i="8"/>
  <c r="AB323" i="8"/>
  <c r="AD323" i="8"/>
  <c r="AV290" i="8"/>
  <c r="BC290" i="8"/>
  <c r="BC359" i="8"/>
  <c r="AV359" i="8"/>
  <c r="AD348" i="8"/>
  <c r="AF348" i="8"/>
  <c r="AB348" i="8"/>
  <c r="AG339" i="8"/>
  <c r="AC339" i="8"/>
  <c r="AE339" i="8"/>
  <c r="AV329" i="8"/>
  <c r="BC329" i="8"/>
  <c r="AG325" i="8"/>
  <c r="AC325" i="8"/>
  <c r="AE325" i="8"/>
  <c r="AF302" i="8"/>
  <c r="AB302" i="8"/>
  <c r="AD302" i="8"/>
  <c r="AD273" i="8"/>
  <c r="AB273" i="8"/>
  <c r="AF273" i="8"/>
  <c r="AV493" i="8"/>
  <c r="BC493" i="8"/>
  <c r="AT485" i="8"/>
  <c r="BC420" i="8"/>
  <c r="AV420" i="8"/>
  <c r="AG396" i="8"/>
  <c r="AC396" i="8"/>
  <c r="AE396" i="8"/>
  <c r="BC346" i="8"/>
  <c r="AV346" i="8"/>
  <c r="BC271" i="8"/>
  <c r="AV271" i="8"/>
  <c r="AF268" i="8"/>
  <c r="AB268" i="8"/>
  <c r="AD268" i="8"/>
  <c r="AG209" i="8"/>
  <c r="AC209" i="8"/>
  <c r="AE209" i="8"/>
  <c r="AG204" i="8"/>
  <c r="AC204" i="8"/>
  <c r="AE204" i="8"/>
  <c r="AG190" i="8"/>
  <c r="AC190" i="8"/>
  <c r="AE190" i="8"/>
  <c r="AF185" i="8"/>
  <c r="AB185" i="8"/>
  <c r="AD185" i="8"/>
  <c r="AF179" i="8"/>
  <c r="AB179" i="8"/>
  <c r="AD179" i="8"/>
  <c r="AV132" i="8"/>
  <c r="BC132" i="8"/>
  <c r="AF115" i="8"/>
  <c r="AB115" i="8"/>
  <c r="AD115" i="8"/>
  <c r="AF107" i="8"/>
  <c r="AB107" i="8"/>
  <c r="AD107" i="8"/>
  <c r="AG104" i="8"/>
  <c r="AC104" i="8"/>
  <c r="AE104" i="8"/>
  <c r="AF99" i="8"/>
  <c r="AB99" i="8"/>
  <c r="AD99" i="8"/>
  <c r="AG80" i="8"/>
  <c r="AC80" i="8"/>
  <c r="AE80" i="8"/>
  <c r="AF63" i="8"/>
  <c r="AD63" i="8"/>
  <c r="AB63" i="8"/>
  <c r="BC60" i="8"/>
  <c r="AV60" i="8"/>
  <c r="AV49" i="8"/>
  <c r="BC49" i="8"/>
  <c r="AF40" i="8"/>
  <c r="AD40" i="8"/>
  <c r="AB40" i="8"/>
  <c r="AU33" i="8"/>
  <c r="I28" i="8"/>
  <c r="AT287" i="8"/>
  <c r="BC270" i="8"/>
  <c r="AT140" i="8"/>
  <c r="AT121" i="8"/>
  <c r="AU43" i="8"/>
  <c r="AF506" i="8"/>
  <c r="AB506" i="8"/>
  <c r="AD506" i="8"/>
  <c r="AV378" i="8"/>
  <c r="BC378" i="8"/>
  <c r="AG281" i="8"/>
  <c r="AE281" i="8"/>
  <c r="AC281" i="8"/>
  <c r="AD276" i="8"/>
  <c r="AB276" i="8"/>
  <c r="AF276" i="8"/>
  <c r="AU220" i="8"/>
  <c r="BC40" i="8"/>
  <c r="AF590" i="8"/>
  <c r="AB590" i="8"/>
  <c r="AD590" i="8"/>
  <c r="AF533" i="8"/>
  <c r="AB533" i="8"/>
  <c r="AD533" i="8"/>
  <c r="AG487" i="8"/>
  <c r="AC487" i="8"/>
  <c r="AE487" i="8"/>
  <c r="AF484" i="8"/>
  <c r="AB484" i="8"/>
  <c r="AD484" i="8"/>
  <c r="AV444" i="8"/>
  <c r="BC444" i="8"/>
  <c r="BC433" i="8"/>
  <c r="AV433" i="8"/>
  <c r="AF428" i="8"/>
  <c r="AB428" i="8"/>
  <c r="AD428" i="8"/>
  <c r="AF418" i="8"/>
  <c r="AB418" i="8"/>
  <c r="AD418" i="8"/>
  <c r="AG413" i="8"/>
  <c r="AC413" i="8"/>
  <c r="AE413" i="8"/>
  <c r="AV391" i="8"/>
  <c r="BC391" i="8"/>
  <c r="AV375" i="8"/>
  <c r="BC375" i="8"/>
  <c r="AG353" i="8"/>
  <c r="AE353" i="8"/>
  <c r="AC353" i="8"/>
  <c r="AG456" i="8"/>
  <c r="AC456" i="8"/>
  <c r="AE456" i="8"/>
  <c r="BC441" i="8"/>
  <c r="AV441" i="8"/>
  <c r="AV258" i="8"/>
  <c r="BC258" i="8"/>
  <c r="AV148" i="8"/>
  <c r="BC148" i="8"/>
  <c r="AG142" i="8"/>
  <c r="AC142" i="8"/>
  <c r="AE142" i="8"/>
  <c r="AC37" i="8"/>
  <c r="AE37" i="8"/>
  <c r="AG37" i="8"/>
  <c r="AC24" i="8"/>
  <c r="AG24" i="8"/>
  <c r="AE24" i="8"/>
  <c r="AF371" i="8"/>
  <c r="AD371" i="8"/>
  <c r="AB371" i="8"/>
  <c r="AF580" i="8"/>
  <c r="AD580" i="8"/>
  <c r="AB580" i="8"/>
  <c r="AT322" i="8"/>
  <c r="AB295" i="8"/>
  <c r="AD295" i="8"/>
  <c r="AF295" i="8"/>
  <c r="AV452" i="8"/>
  <c r="BC452" i="8"/>
  <c r="BC269" i="8"/>
  <c r="AU170" i="8"/>
  <c r="AV122" i="8"/>
  <c r="BC122" i="8"/>
  <c r="AV102" i="8"/>
  <c r="BC102" i="8"/>
  <c r="AG91" i="8"/>
  <c r="AC91" i="8"/>
  <c r="AE91" i="8"/>
  <c r="AV78" i="8"/>
  <c r="BC78" i="8"/>
  <c r="BC73" i="8"/>
  <c r="AV73" i="8"/>
  <c r="BC47" i="8"/>
  <c r="AV47" i="8"/>
  <c r="AV591" i="8"/>
  <c r="BC584" i="8"/>
  <c r="AV584" i="8"/>
  <c r="AV590" i="8"/>
  <c r="BC590" i="8"/>
  <c r="AS561" i="8"/>
  <c r="AG575" i="8"/>
  <c r="AC575" i="8"/>
  <c r="AE575" i="8"/>
  <c r="AF555" i="8"/>
  <c r="AB555" i="8"/>
  <c r="AD555" i="8"/>
  <c r="AG586" i="8"/>
  <c r="AC586" i="8"/>
  <c r="AE586" i="8"/>
  <c r="BC575" i="8"/>
  <c r="AF565" i="8"/>
  <c r="AB565" i="8"/>
  <c r="AD565" i="8"/>
  <c r="AF562" i="8"/>
  <c r="AB562" i="8"/>
  <c r="AD562" i="8"/>
  <c r="AG533" i="8"/>
  <c r="AC533" i="8"/>
  <c r="AE533" i="8"/>
  <c r="BC528" i="8"/>
  <c r="AV528" i="8"/>
  <c r="AV523" i="8"/>
  <c r="BC523" i="8"/>
  <c r="AF544" i="8"/>
  <c r="AB544" i="8"/>
  <c r="AD544" i="8"/>
  <c r="AG538" i="8"/>
  <c r="AC538" i="8"/>
  <c r="AE538" i="8"/>
  <c r="AE524" i="8"/>
  <c r="AC524" i="8"/>
  <c r="AG524" i="8"/>
  <c r="AV572" i="8"/>
  <c r="BC572" i="8"/>
  <c r="AG546" i="8"/>
  <c r="AC546" i="8"/>
  <c r="AE546" i="8"/>
  <c r="AV490" i="8"/>
  <c r="BC490" i="8"/>
  <c r="AF570" i="8"/>
  <c r="AB570" i="8"/>
  <c r="AD570" i="8"/>
  <c r="AV522" i="8"/>
  <c r="BC522" i="8"/>
  <c r="AF515" i="8"/>
  <c r="AB515" i="8"/>
  <c r="AD515" i="8"/>
  <c r="AU497" i="8"/>
  <c r="AG484" i="8"/>
  <c r="AC484" i="8"/>
  <c r="AE484" i="8"/>
  <c r="AU427" i="8"/>
  <c r="AV484" i="8"/>
  <c r="BC484" i="8"/>
  <c r="AV431" i="8"/>
  <c r="BC431" i="8"/>
  <c r="AV473" i="8"/>
  <c r="BC473" i="8"/>
  <c r="AV455" i="8"/>
  <c r="BC455" i="8"/>
  <c r="AF439" i="8"/>
  <c r="AB439" i="8"/>
  <c r="AD439" i="8"/>
  <c r="AG433" i="8"/>
  <c r="AC433" i="8"/>
  <c r="AE433" i="8"/>
  <c r="AV418" i="8"/>
  <c r="BC418" i="8"/>
  <c r="AG495" i="8"/>
  <c r="AC495" i="8"/>
  <c r="AE495" i="8"/>
  <c r="AF470" i="8"/>
  <c r="AB470" i="8"/>
  <c r="AD470" i="8"/>
  <c r="AV465" i="8"/>
  <c r="BC465" i="8"/>
  <c r="AF426" i="8"/>
  <c r="AB426" i="8"/>
  <c r="AD426" i="8"/>
  <c r="BC410" i="8"/>
  <c r="AV410" i="8"/>
  <c r="AT407" i="8"/>
  <c r="AG394" i="8"/>
  <c r="AE394" i="8"/>
  <c r="AC394" i="8"/>
  <c r="AE391" i="8"/>
  <c r="AG391" i="8"/>
  <c r="AC391" i="8"/>
  <c r="AF383" i="8"/>
  <c r="AD383" i="8"/>
  <c r="AB383" i="8"/>
  <c r="AE375" i="8"/>
  <c r="AG375" i="8"/>
  <c r="AC375" i="8"/>
  <c r="BC336" i="8"/>
  <c r="AV336" i="8"/>
  <c r="AE332" i="8"/>
  <c r="AG332" i="8"/>
  <c r="AC332" i="8"/>
  <c r="BC308" i="8"/>
  <c r="BC297" i="8"/>
  <c r="AV297" i="8"/>
  <c r="AG292" i="8"/>
  <c r="AC292" i="8"/>
  <c r="AE292" i="8"/>
  <c r="AU267" i="8"/>
  <c r="AV500" i="8"/>
  <c r="BC500" i="8"/>
  <c r="AG467" i="8"/>
  <c r="AC467" i="8"/>
  <c r="AE467" i="8"/>
  <c r="I449" i="8"/>
  <c r="AG441" i="8"/>
  <c r="AC441" i="8"/>
  <c r="AE441" i="8"/>
  <c r="AF413" i="8"/>
  <c r="AB413" i="8"/>
  <c r="AD413" i="8"/>
  <c r="AV366" i="8"/>
  <c r="BC366" i="8"/>
  <c r="AV352" i="8"/>
  <c r="BC352" i="8"/>
  <c r="AC330" i="8"/>
  <c r="AE330" i="8"/>
  <c r="AG330" i="8"/>
  <c r="AV288" i="8"/>
  <c r="BC288" i="8"/>
  <c r="AF284" i="8"/>
  <c r="AD284" i="8"/>
  <c r="AB284" i="8"/>
  <c r="AD414" i="8"/>
  <c r="AB414" i="8"/>
  <c r="AF414" i="8"/>
  <c r="AU380" i="8"/>
  <c r="AG374" i="8"/>
  <c r="AC374" i="8"/>
  <c r="AE374" i="8"/>
  <c r="AF365" i="8"/>
  <c r="AD365" i="8"/>
  <c r="AB365" i="8"/>
  <c r="BC331" i="8"/>
  <c r="AV331" i="8"/>
  <c r="AS275" i="8"/>
  <c r="AT240" i="8"/>
  <c r="AS236" i="8"/>
  <c r="AF163" i="8"/>
  <c r="AB163" i="8"/>
  <c r="AD163" i="8"/>
  <c r="BC69" i="8"/>
  <c r="AV69" i="8"/>
  <c r="I53" i="8"/>
  <c r="AB36" i="8"/>
  <c r="AD36" i="8"/>
  <c r="AF36" i="8"/>
  <c r="AG22" i="8"/>
  <c r="AE22" i="8"/>
  <c r="AC22" i="8"/>
  <c r="AC16" i="8"/>
  <c r="AG16" i="8"/>
  <c r="AE16" i="8"/>
  <c r="AV503" i="8"/>
  <c r="BC503" i="8"/>
  <c r="AV399" i="8"/>
  <c r="BC399" i="8"/>
  <c r="AD393" i="8"/>
  <c r="AB393" i="8"/>
  <c r="AF393" i="8"/>
  <c r="BC371" i="8"/>
  <c r="AV371" i="8"/>
  <c r="AG315" i="8"/>
  <c r="AC315" i="8"/>
  <c r="AE315" i="8"/>
  <c r="AE312" i="8"/>
  <c r="AC312" i="8"/>
  <c r="AG312" i="8"/>
  <c r="AF290" i="8"/>
  <c r="AB290" i="8"/>
  <c r="AD290" i="8"/>
  <c r="BC580" i="8"/>
  <c r="AV580" i="8"/>
  <c r="AV408" i="8"/>
  <c r="BC408" i="8"/>
  <c r="AF359" i="8"/>
  <c r="AB359" i="8"/>
  <c r="AD359" i="8"/>
  <c r="AV348" i="8"/>
  <c r="BC348" i="8"/>
  <c r="AV302" i="8"/>
  <c r="BC302" i="8"/>
  <c r="AV273" i="8"/>
  <c r="BC273" i="8"/>
  <c r="AT160" i="8"/>
  <c r="AT156" i="8"/>
  <c r="AF493" i="8"/>
  <c r="AB493" i="8"/>
  <c r="AD493" i="8"/>
  <c r="AU485" i="8"/>
  <c r="AF452" i="8"/>
  <c r="AB452" i="8"/>
  <c r="AD452" i="8"/>
  <c r="AF423" i="8"/>
  <c r="AB423" i="8"/>
  <c r="AD423" i="8"/>
  <c r="AV396" i="8"/>
  <c r="BC396" i="8"/>
  <c r="AD361" i="8"/>
  <c r="AB361" i="8"/>
  <c r="AF361" i="8"/>
  <c r="AF346" i="8"/>
  <c r="AB346" i="8"/>
  <c r="AD346" i="8"/>
  <c r="AG333" i="8"/>
  <c r="AC333" i="8"/>
  <c r="AE333" i="8"/>
  <c r="AU287" i="8"/>
  <c r="AF285" i="8"/>
  <c r="AB285" i="8"/>
  <c r="AD285" i="8"/>
  <c r="AG278" i="8"/>
  <c r="AC278" i="8"/>
  <c r="AE278" i="8"/>
  <c r="AD271" i="8"/>
  <c r="AF271" i="8"/>
  <c r="AB271" i="8"/>
  <c r="AF238" i="8"/>
  <c r="AB238" i="8"/>
  <c r="AD238" i="8"/>
  <c r="AV228" i="8"/>
  <c r="BC228" i="8"/>
  <c r="AV215" i="8"/>
  <c r="BC215" i="8"/>
  <c r="AF207" i="8"/>
  <c r="AB207" i="8"/>
  <c r="AD207" i="8"/>
  <c r="AG199" i="8"/>
  <c r="AC199" i="8"/>
  <c r="AE199" i="8"/>
  <c r="AF193" i="8"/>
  <c r="AB193" i="8"/>
  <c r="AD193" i="8"/>
  <c r="AV174" i="8"/>
  <c r="BC174" i="8"/>
  <c r="AT170" i="8"/>
  <c r="AG141" i="8"/>
  <c r="AC141" i="8"/>
  <c r="AE141" i="8"/>
  <c r="AG135" i="8"/>
  <c r="AC135" i="8"/>
  <c r="AE135" i="8"/>
  <c r="AF94" i="8"/>
  <c r="AB94" i="8"/>
  <c r="AD94" i="8"/>
  <c r="BC86" i="8"/>
  <c r="AV86" i="8"/>
  <c r="AG64" i="8"/>
  <c r="AC64" i="8"/>
  <c r="AE64" i="8"/>
  <c r="AF50" i="8"/>
  <c r="AD50" i="8"/>
  <c r="AB50" i="8"/>
  <c r="AG41" i="8"/>
  <c r="AE41" i="8"/>
  <c r="AC41" i="8"/>
  <c r="AT200" i="8"/>
  <c r="AU140" i="8"/>
  <c r="AF511" i="8"/>
  <c r="AB511" i="8"/>
  <c r="AD511" i="8"/>
  <c r="AF364" i="8"/>
  <c r="AB364" i="8"/>
  <c r="AD364" i="8"/>
  <c r="AG308" i="8"/>
  <c r="AE308" i="8"/>
  <c r="AC308" i="8"/>
  <c r="AG291" i="8"/>
  <c r="AC291" i="8"/>
  <c r="AE291" i="8"/>
  <c r="AV277" i="8"/>
  <c r="BC277" i="8"/>
  <c r="BC50" i="8"/>
  <c r="AS94" i="4"/>
  <c r="AP111" i="4"/>
  <c r="AP113" i="4"/>
  <c r="K113" i="4" s="1"/>
  <c r="BD115" i="4"/>
  <c r="AS142" i="4"/>
  <c r="AX155" i="4"/>
  <c r="AT194" i="4"/>
  <c r="BJ242" i="4"/>
  <c r="L265" i="4"/>
  <c r="AX273" i="4"/>
  <c r="BJ286" i="4"/>
  <c r="L287" i="4"/>
  <c r="M287" i="4" s="1"/>
  <c r="BJ339" i="4"/>
  <c r="AS418" i="4"/>
  <c r="L426" i="4"/>
  <c r="AL426" i="4" s="1"/>
  <c r="BI448" i="4"/>
  <c r="AE448" i="4" s="1"/>
  <c r="BF492" i="4"/>
  <c r="BI541" i="4"/>
  <c r="AE541" i="4" s="1"/>
  <c r="BJ549" i="4"/>
  <c r="L586" i="4"/>
  <c r="M586" i="4" s="1"/>
  <c r="AW616" i="4"/>
  <c r="AW617" i="4"/>
  <c r="BI621" i="4"/>
  <c r="AE621" i="4" s="1"/>
  <c r="L633" i="4"/>
  <c r="L634" i="4"/>
  <c r="BJ95" i="4"/>
  <c r="L271" i="4"/>
  <c r="BD273" i="4"/>
  <c r="K280" i="4"/>
  <c r="AP285" i="4"/>
  <c r="BI285" i="4" s="1"/>
  <c r="AC285" i="4" s="1"/>
  <c r="BD310" i="4"/>
  <c r="AO338" i="4"/>
  <c r="AW338" i="4" s="1"/>
  <c r="L457" i="4"/>
  <c r="AL457" i="4" s="1"/>
  <c r="BI487" i="4"/>
  <c r="AE487" i="4" s="1"/>
  <c r="BH517" i="4"/>
  <c r="AD517" i="4" s="1"/>
  <c r="BJ566" i="4"/>
  <c r="BJ569" i="4"/>
  <c r="AO576" i="4"/>
  <c r="AP617" i="4"/>
  <c r="K617" i="4" s="1"/>
  <c r="AO618" i="4"/>
  <c r="AW618" i="4" s="1"/>
  <c r="AO619" i="4"/>
  <c r="AO620" i="4"/>
  <c r="AO630" i="4"/>
  <c r="AO40" i="4"/>
  <c r="BH40" i="4" s="1"/>
  <c r="AD40" i="4" s="1"/>
  <c r="BJ65" i="4"/>
  <c r="L69" i="4"/>
  <c r="AL69" i="4" s="1"/>
  <c r="BJ76" i="4"/>
  <c r="L121" i="4"/>
  <c r="M121" i="4" s="1"/>
  <c r="L140" i="4"/>
  <c r="AL140" i="4" s="1"/>
  <c r="BJ161" i="4"/>
  <c r="BD164" i="4"/>
  <c r="AO166" i="4"/>
  <c r="AW166" i="4" s="1"/>
  <c r="O180" i="4"/>
  <c r="BF180" i="4" s="1"/>
  <c r="L227" i="4"/>
  <c r="AO241" i="4"/>
  <c r="J241" i="4" s="1"/>
  <c r="O265" i="4"/>
  <c r="BF265" i="4" s="1"/>
  <c r="BJ335" i="4"/>
  <c r="BJ416" i="4"/>
  <c r="AX458" i="4"/>
  <c r="AP486" i="4"/>
  <c r="BI486" i="4" s="1"/>
  <c r="AE486" i="4" s="1"/>
  <c r="BJ523" i="4"/>
  <c r="BJ547" i="4"/>
  <c r="AP549" i="4"/>
  <c r="L625" i="4"/>
  <c r="AL625" i="4" s="1"/>
  <c r="L626" i="4"/>
  <c r="AO638" i="4"/>
  <c r="AO639" i="4"/>
  <c r="BI641" i="4"/>
  <c r="AE641" i="4" s="1"/>
  <c r="K642" i="4"/>
  <c r="L643" i="4"/>
  <c r="L644" i="4"/>
  <c r="AW645" i="4"/>
  <c r="AO652" i="4"/>
  <c r="BF582" i="4"/>
  <c r="O581" i="4"/>
  <c r="BD426" i="4"/>
  <c r="BI41" i="4"/>
  <c r="AE41" i="4" s="1"/>
  <c r="BD44" i="4"/>
  <c r="BJ60" i="4"/>
  <c r="L82" i="4"/>
  <c r="M82" i="4" s="1"/>
  <c r="L86" i="4"/>
  <c r="AL86" i="4" s="1"/>
  <c r="AW96" i="4"/>
  <c r="BI102" i="4"/>
  <c r="AE102" i="4" s="1"/>
  <c r="BD120" i="4"/>
  <c r="L126" i="4"/>
  <c r="AL126" i="4" s="1"/>
  <c r="BJ134" i="4"/>
  <c r="O157" i="4"/>
  <c r="O156" i="4" s="1"/>
  <c r="AO197" i="4"/>
  <c r="AW197" i="4" s="1"/>
  <c r="AO199" i="4"/>
  <c r="O224" i="4"/>
  <c r="BF224" i="4" s="1"/>
  <c r="BJ227" i="4"/>
  <c r="BJ234" i="4"/>
  <c r="AO240" i="4"/>
  <c r="BH240" i="4" s="1"/>
  <c r="AD240" i="4" s="1"/>
  <c r="O245" i="4"/>
  <c r="BF245" i="4" s="1"/>
  <c r="AO258" i="4"/>
  <c r="BH258" i="4" s="1"/>
  <c r="AD258" i="4" s="1"/>
  <c r="AO262" i="4"/>
  <c r="AW262" i="4" s="1"/>
  <c r="AV262" i="4" s="1"/>
  <c r="BJ264" i="4"/>
  <c r="BJ280" i="4"/>
  <c r="BD295" i="4"/>
  <c r="AO313" i="4"/>
  <c r="AW313" i="4" s="1"/>
  <c r="O331" i="4"/>
  <c r="BF331" i="4" s="1"/>
  <c r="BD334" i="4"/>
  <c r="AP338" i="4"/>
  <c r="K344" i="4"/>
  <c r="BH374" i="4"/>
  <c r="AD374" i="4" s="1"/>
  <c r="AO381" i="4"/>
  <c r="BD384" i="4"/>
  <c r="AT418" i="4"/>
  <c r="AP426" i="4"/>
  <c r="BD444" i="4"/>
  <c r="O457" i="4"/>
  <c r="BF457" i="4" s="1"/>
  <c r="L479" i="4"/>
  <c r="AL479" i="4" s="1"/>
  <c r="AS491" i="4"/>
  <c r="AP505" i="4"/>
  <c r="BI505" i="4" s="1"/>
  <c r="AC505" i="4" s="1"/>
  <c r="AX541" i="4"/>
  <c r="AO549" i="4"/>
  <c r="J549" i="4" s="1"/>
  <c r="BJ560" i="4"/>
  <c r="BJ626" i="4"/>
  <c r="BI46" i="4"/>
  <c r="AE46" i="4" s="1"/>
  <c r="AP86" i="4"/>
  <c r="K86" i="4" s="1"/>
  <c r="L99" i="4"/>
  <c r="O126" i="4"/>
  <c r="BF126" i="4" s="1"/>
  <c r="AP127" i="4"/>
  <c r="BI203" i="4"/>
  <c r="AX227" i="4"/>
  <c r="AO230" i="4"/>
  <c r="J230" i="4" s="1"/>
  <c r="BJ263" i="4"/>
  <c r="BD269" i="4"/>
  <c r="AS275" i="4"/>
  <c r="J292" i="4"/>
  <c r="BJ303" i="4"/>
  <c r="J308" i="4"/>
  <c r="J307" i="4" s="1"/>
  <c r="BJ331" i="4"/>
  <c r="BI334" i="4"/>
  <c r="AE334" i="4" s="1"/>
  <c r="AP344" i="4"/>
  <c r="BH354" i="4"/>
  <c r="AB354" i="4" s="1"/>
  <c r="BJ377" i="4"/>
  <c r="BD378" i="4"/>
  <c r="L381" i="4"/>
  <c r="L384" i="4"/>
  <c r="AL384" i="4" s="1"/>
  <c r="BH392" i="4"/>
  <c r="AD392" i="4" s="1"/>
  <c r="BD396" i="4"/>
  <c r="AX411" i="4"/>
  <c r="BJ417" i="4"/>
  <c r="BJ438" i="4"/>
  <c r="BJ457" i="4"/>
  <c r="BJ465" i="4"/>
  <c r="AO467" i="4"/>
  <c r="J467" i="4" s="1"/>
  <c r="BJ486" i="4"/>
  <c r="BJ490" i="4"/>
  <c r="L539" i="4"/>
  <c r="AL539" i="4" s="1"/>
  <c r="O541" i="4"/>
  <c r="BF541" i="4" s="1"/>
  <c r="BD553" i="4"/>
  <c r="BD555" i="4"/>
  <c r="AO558" i="4"/>
  <c r="L560" i="4"/>
  <c r="AL560" i="4" s="1"/>
  <c r="BH578" i="4"/>
  <c r="AB578" i="4" s="1"/>
  <c r="BI582" i="4"/>
  <c r="AE582" i="4" s="1"/>
  <c r="AO589" i="4"/>
  <c r="BJ611" i="4"/>
  <c r="AO612" i="4"/>
  <c r="AP620" i="4"/>
  <c r="L621" i="4"/>
  <c r="BD625" i="4"/>
  <c r="O626" i="4"/>
  <c r="BF626" i="4" s="1"/>
  <c r="BJ637" i="4"/>
  <c r="AT43" i="4"/>
  <c r="O154" i="4"/>
  <c r="L164" i="4"/>
  <c r="AP183" i="4"/>
  <c r="AX183" i="4" s="1"/>
  <c r="L208" i="4"/>
  <c r="AL208" i="4" s="1"/>
  <c r="O227" i="4"/>
  <c r="BF227" i="4" s="1"/>
  <c r="O262" i="4"/>
  <c r="BF262" i="4" s="1"/>
  <c r="AW290" i="4"/>
  <c r="O305" i="4"/>
  <c r="BF305" i="4" s="1"/>
  <c r="O313" i="4"/>
  <c r="BF313" i="4" s="1"/>
  <c r="BH334" i="4"/>
  <c r="AD334" i="4" s="1"/>
  <c r="BI342" i="4"/>
  <c r="AE342" i="4" s="1"/>
  <c r="BD356" i="4"/>
  <c r="AP358" i="4"/>
  <c r="BI358" i="4" s="1"/>
  <c r="AC358" i="4" s="1"/>
  <c r="BJ365" i="4"/>
  <c r="BD366" i="4"/>
  <c r="AO393" i="4"/>
  <c r="J393" i="4" s="1"/>
  <c r="L396" i="4"/>
  <c r="AL396" i="4" s="1"/>
  <c r="AX398" i="4"/>
  <c r="AO456" i="4"/>
  <c r="AO483" i="4"/>
  <c r="J483" i="4" s="1"/>
  <c r="AO505" i="4"/>
  <c r="BH505" i="4" s="1"/>
  <c r="AB505" i="4" s="1"/>
  <c r="O560" i="4"/>
  <c r="BF560" i="4" s="1"/>
  <c r="BJ563" i="4"/>
  <c r="BD574" i="4"/>
  <c r="AO575" i="4"/>
  <c r="J575" i="4" s="1"/>
  <c r="BH577" i="4"/>
  <c r="AB577" i="4" s="1"/>
  <c r="AP587" i="4"/>
  <c r="AX587" i="4" s="1"/>
  <c r="AP589" i="4"/>
  <c r="BH599" i="4"/>
  <c r="AD599" i="4" s="1"/>
  <c r="BH610" i="4"/>
  <c r="AD610" i="4" s="1"/>
  <c r="BH611" i="4"/>
  <c r="AD611" i="4" s="1"/>
  <c r="BJ618" i="4"/>
  <c r="BH120" i="4"/>
  <c r="AD120" i="4" s="1"/>
  <c r="L56" i="4"/>
  <c r="AP66" i="4"/>
  <c r="BI66" i="4" s="1"/>
  <c r="AE66" i="4" s="1"/>
  <c r="L68" i="4"/>
  <c r="AO78" i="4"/>
  <c r="J78" i="4" s="1"/>
  <c r="BH85" i="4"/>
  <c r="AD85" i="4" s="1"/>
  <c r="BJ86" i="4"/>
  <c r="AP87" i="4"/>
  <c r="BD101" i="4"/>
  <c r="L103" i="4"/>
  <c r="AW118" i="4"/>
  <c r="O123" i="4"/>
  <c r="BF123" i="4" s="1"/>
  <c r="AP126" i="4"/>
  <c r="BI126" i="4" s="1"/>
  <c r="AE126" i="4" s="1"/>
  <c r="AW127" i="4"/>
  <c r="AO131" i="4"/>
  <c r="AW131" i="4" s="1"/>
  <c r="BI134" i="4"/>
  <c r="AC134" i="4" s="1"/>
  <c r="BJ136" i="4"/>
  <c r="AO140" i="4"/>
  <c r="BJ145" i="4"/>
  <c r="AO157" i="4"/>
  <c r="AX160" i="4"/>
  <c r="J161" i="4"/>
  <c r="AP161" i="4"/>
  <c r="BI161" i="4" s="1"/>
  <c r="AE161" i="4" s="1"/>
  <c r="AP188" i="4"/>
  <c r="L195" i="4"/>
  <c r="BD203" i="4"/>
  <c r="AO222" i="4"/>
  <c r="AW222" i="4" s="1"/>
  <c r="BJ224" i="4"/>
  <c r="BJ228" i="4"/>
  <c r="O250" i="4"/>
  <c r="BF250" i="4" s="1"/>
  <c r="BJ250" i="4"/>
  <c r="BJ253" i="4"/>
  <c r="AO253" i="4"/>
  <c r="BH253" i="4" s="1"/>
  <c r="AD253" i="4" s="1"/>
  <c r="AP319" i="4"/>
  <c r="BI319" i="4" s="1"/>
  <c r="AE319" i="4" s="1"/>
  <c r="BD319" i="4"/>
  <c r="BJ346" i="4"/>
  <c r="AX403" i="4"/>
  <c r="BD431" i="4"/>
  <c r="AP431" i="4"/>
  <c r="BD471" i="4"/>
  <c r="AO471" i="4"/>
  <c r="J471" i="4" s="1"/>
  <c r="AP540" i="4"/>
  <c r="K540" i="4" s="1"/>
  <c r="BJ540" i="4"/>
  <c r="BI127" i="4"/>
  <c r="AE127" i="4" s="1"/>
  <c r="O161" i="4"/>
  <c r="BF161" i="4" s="1"/>
  <c r="O478" i="4"/>
  <c r="BF478" i="4" s="1"/>
  <c r="BJ478" i="4"/>
  <c r="L478" i="4"/>
  <c r="AL478" i="4" s="1"/>
  <c r="L520" i="4"/>
  <c r="AL520" i="4" s="1"/>
  <c r="BJ520" i="4"/>
  <c r="BJ589" i="4"/>
  <c r="K589" i="4"/>
  <c r="AP596" i="4"/>
  <c r="BI596" i="4" s="1"/>
  <c r="AE596" i="4" s="1"/>
  <c r="AO596" i="4"/>
  <c r="AW596" i="4" s="1"/>
  <c r="AO600" i="4"/>
  <c r="BH600" i="4" s="1"/>
  <c r="AD600" i="4" s="1"/>
  <c r="BD600" i="4"/>
  <c r="L623" i="4"/>
  <c r="O623" i="4"/>
  <c r="BF623" i="4" s="1"/>
  <c r="BD648" i="4"/>
  <c r="AP648" i="4"/>
  <c r="AX648" i="4" s="1"/>
  <c r="AO648" i="4"/>
  <c r="AX19" i="4"/>
  <c r="AX18" i="4"/>
  <c r="O26" i="4"/>
  <c r="BJ55" i="4"/>
  <c r="BD56" i="4"/>
  <c r="AT54" i="4"/>
  <c r="AP61" i="4"/>
  <c r="K61" i="4" s="1"/>
  <c r="O69" i="4"/>
  <c r="BF69" i="4" s="1"/>
  <c r="AP78" i="4"/>
  <c r="AX78" i="4" s="1"/>
  <c r="L80" i="4"/>
  <c r="BJ84" i="4"/>
  <c r="M86" i="4"/>
  <c r="BJ87" i="4"/>
  <c r="BD102" i="4"/>
  <c r="AO123" i="4"/>
  <c r="AW123" i="4" s="1"/>
  <c r="BJ126" i="4"/>
  <c r="L127" i="4"/>
  <c r="AL127" i="4" s="1"/>
  <c r="BH127" i="4"/>
  <c r="AD127" i="4" s="1"/>
  <c r="O130" i="4"/>
  <c r="BJ157" i="4"/>
  <c r="L161" i="4"/>
  <c r="AT187" i="4"/>
  <c r="O195" i="4"/>
  <c r="BF195" i="4" s="1"/>
  <c r="AO228" i="4"/>
  <c r="BD228" i="4"/>
  <c r="AP249" i="4"/>
  <c r="AX249" i="4" s="1"/>
  <c r="AO249" i="4"/>
  <c r="BH249" i="4" s="1"/>
  <c r="AD249" i="4" s="1"/>
  <c r="BD266" i="4"/>
  <c r="AP266" i="4"/>
  <c r="K266" i="4" s="1"/>
  <c r="AO266" i="4"/>
  <c r="AW266" i="4" s="1"/>
  <c r="O295" i="4"/>
  <c r="BF295" i="4" s="1"/>
  <c r="L295" i="4"/>
  <c r="BD323" i="4"/>
  <c r="AO323" i="4"/>
  <c r="J323" i="4" s="1"/>
  <c r="AO346" i="4"/>
  <c r="AP346" i="4"/>
  <c r="AX346" i="4" s="1"/>
  <c r="BJ426" i="4"/>
  <c r="O426" i="4"/>
  <c r="BF426" i="4" s="1"/>
  <c r="K426" i="4"/>
  <c r="J426" i="4"/>
  <c r="BJ459" i="4"/>
  <c r="BD459" i="4"/>
  <c r="AP460" i="4"/>
  <c r="BD460" i="4"/>
  <c r="O464" i="4"/>
  <c r="BF464" i="4" s="1"/>
  <c r="BI480" i="4"/>
  <c r="AE480" i="4" s="1"/>
  <c r="O480" i="4"/>
  <c r="BF480" i="4" s="1"/>
  <c r="BH480" i="4"/>
  <c r="AD480" i="4" s="1"/>
  <c r="BJ69" i="4"/>
  <c r="BI86" i="4"/>
  <c r="AE86" i="4" s="1"/>
  <c r="AT105" i="4"/>
  <c r="O152" i="4"/>
  <c r="BD223" i="4"/>
  <c r="AO223" i="4"/>
  <c r="AW223" i="4" s="1"/>
  <c r="BJ226" i="4"/>
  <c r="AO226" i="4"/>
  <c r="BI267" i="4"/>
  <c r="AE267" i="4" s="1"/>
  <c r="L267" i="4"/>
  <c r="O310" i="4"/>
  <c r="BF310" i="4" s="1"/>
  <c r="L310" i="4"/>
  <c r="AP321" i="4"/>
  <c r="BD321" i="4"/>
  <c r="AO321" i="4"/>
  <c r="J321" i="4" s="1"/>
  <c r="BH372" i="4"/>
  <c r="AD372" i="4" s="1"/>
  <c r="J372" i="4"/>
  <c r="BJ383" i="4"/>
  <c r="BD383" i="4"/>
  <c r="AO386" i="4"/>
  <c r="BD386" i="4"/>
  <c r="AP386" i="4"/>
  <c r="K386" i="4" s="1"/>
  <c r="L389" i="4"/>
  <c r="AL389" i="4" s="1"/>
  <c r="BD432" i="4"/>
  <c r="AO432" i="4"/>
  <c r="AO635" i="4"/>
  <c r="AW635" i="4" s="1"/>
  <c r="AP635" i="4"/>
  <c r="K635" i="4" s="1"/>
  <c r="BI24" i="4"/>
  <c r="AT14" i="4"/>
  <c r="AX41" i="4"/>
  <c r="AP45" i="4"/>
  <c r="AX45" i="4" s="1"/>
  <c r="BD46" i="4"/>
  <c r="L55" i="4"/>
  <c r="M55" i="4" s="1"/>
  <c r="AP57" i="4"/>
  <c r="K57" i="4" s="1"/>
  <c r="BJ61" i="4"/>
  <c r="Z61" i="4" s="1"/>
  <c r="BJ66" i="4"/>
  <c r="J68" i="4"/>
  <c r="BD69" i="4"/>
  <c r="L70" i="4"/>
  <c r="BJ78" i="4"/>
  <c r="O86" i="4"/>
  <c r="BF86" i="4" s="1"/>
  <c r="AX90" i="4"/>
  <c r="BJ100" i="4"/>
  <c r="BJ109" i="4"/>
  <c r="BJ117" i="4"/>
  <c r="BJ120" i="4"/>
  <c r="AO121" i="4"/>
  <c r="J121" i="4" s="1"/>
  <c r="BD123" i="4"/>
  <c r="AT142" i="4"/>
  <c r="AP145" i="4"/>
  <c r="K145" i="4" s="1"/>
  <c r="AT146" i="4"/>
  <c r="AP149" i="4"/>
  <c r="BI149" i="4" s="1"/>
  <c r="AC149" i="4" s="1"/>
  <c r="AS202" i="4"/>
  <c r="BR204" i="4"/>
  <c r="BJ204" i="4"/>
  <c r="AO215" i="4"/>
  <c r="J215" i="4" s="1"/>
  <c r="AP228" i="4"/>
  <c r="O233" i="4"/>
  <c r="BF233" i="4" s="1"/>
  <c r="AS279" i="4"/>
  <c r="BD282" i="4"/>
  <c r="AP282" i="4"/>
  <c r="K282" i="4" s="1"/>
  <c r="AO282" i="4"/>
  <c r="J282" i="4" s="1"/>
  <c r="J285" i="4"/>
  <c r="O285" i="4"/>
  <c r="BF285" i="4" s="1"/>
  <c r="L285" i="4"/>
  <c r="AL285" i="4" s="1"/>
  <c r="AO304" i="4"/>
  <c r="J304" i="4" s="1"/>
  <c r="BD304" i="4"/>
  <c r="L304" i="4"/>
  <c r="BD372" i="4"/>
  <c r="L372" i="4"/>
  <c r="AL372" i="4" s="1"/>
  <c r="AP372" i="4"/>
  <c r="AP417" i="4"/>
  <c r="BD417" i="4"/>
  <c r="L417" i="4"/>
  <c r="AL417" i="4" s="1"/>
  <c r="BF454" i="4"/>
  <c r="O453" i="4"/>
  <c r="O234" i="4"/>
  <c r="BF234" i="4" s="1"/>
  <c r="AX246" i="4"/>
  <c r="BH250" i="4"/>
  <c r="AD250" i="4" s="1"/>
  <c r="O264" i="4"/>
  <c r="BF264" i="4" s="1"/>
  <c r="O271" i="4"/>
  <c r="BF271" i="4" s="1"/>
  <c r="BH285" i="4"/>
  <c r="AB285" i="4" s="1"/>
  <c r="BJ294" i="4"/>
  <c r="L298" i="4"/>
  <c r="AW305" i="4"/>
  <c r="AW308" i="4"/>
  <c r="AX310" i="4"/>
  <c r="BI314" i="4"/>
  <c r="AE314" i="4" s="1"/>
  <c r="BJ320" i="4"/>
  <c r="J322" i="4"/>
  <c r="BI332" i="4"/>
  <c r="AE332" i="4" s="1"/>
  <c r="L365" i="4"/>
  <c r="M365" i="4" s="1"/>
  <c r="BH381" i="4"/>
  <c r="AD381" i="4" s="1"/>
  <c r="BJ387" i="4"/>
  <c r="AP389" i="4"/>
  <c r="AX389" i="4" s="1"/>
  <c r="AX397" i="4"/>
  <c r="BJ399" i="4"/>
  <c r="AS402" i="4"/>
  <c r="L406" i="4"/>
  <c r="AL406" i="4" s="1"/>
  <c r="K407" i="4"/>
  <c r="K415" i="4"/>
  <c r="AW419" i="4"/>
  <c r="BH426" i="4"/>
  <c r="AB426" i="4" s="1"/>
  <c r="L428" i="4"/>
  <c r="AL428" i="4" s="1"/>
  <c r="K428" i="4"/>
  <c r="BJ428" i="4"/>
  <c r="AS437" i="4"/>
  <c r="BJ464" i="4"/>
  <c r="AO464" i="4"/>
  <c r="BH464" i="4" s="1"/>
  <c r="AD464" i="4" s="1"/>
  <c r="O474" i="4"/>
  <c r="BF474" i="4" s="1"/>
  <c r="L482" i="4"/>
  <c r="M482" i="4" s="1"/>
  <c r="AO482" i="4"/>
  <c r="AO512" i="4"/>
  <c r="BD512" i="4"/>
  <c r="L533" i="4"/>
  <c r="M533" i="4" s="1"/>
  <c r="K533" i="4"/>
  <c r="AP542" i="4"/>
  <c r="BI542" i="4" s="1"/>
  <c r="AE542" i="4" s="1"/>
  <c r="BD542" i="4"/>
  <c r="AO579" i="4"/>
  <c r="J579" i="4" s="1"/>
  <c r="AP579" i="4"/>
  <c r="BD647" i="4"/>
  <c r="AO647" i="4"/>
  <c r="AW647" i="4" s="1"/>
  <c r="BH230" i="4"/>
  <c r="AD230" i="4" s="1"/>
  <c r="AO234" i="4"/>
  <c r="AW234" i="4" s="1"/>
  <c r="BH241" i="4"/>
  <c r="AD241" i="4" s="1"/>
  <c r="BJ241" i="4"/>
  <c r="AO245" i="4"/>
  <c r="BH245" i="4" s="1"/>
  <c r="AD245" i="4" s="1"/>
  <c r="BI254" i="4"/>
  <c r="AE254" i="4" s="1"/>
  <c r="AO263" i="4"/>
  <c r="BH263" i="4" s="1"/>
  <c r="AD263" i="4" s="1"/>
  <c r="BI264" i="4"/>
  <c r="AE264" i="4" s="1"/>
  <c r="AO264" i="4"/>
  <c r="BH264" i="4" s="1"/>
  <c r="AD264" i="4" s="1"/>
  <c r="AP271" i="4"/>
  <c r="AX271" i="4" s="1"/>
  <c r="AX272" i="4"/>
  <c r="BI277" i="4"/>
  <c r="AE277" i="4" s="1"/>
  <c r="BH290" i="4"/>
  <c r="AD290" i="4" s="1"/>
  <c r="AP296" i="4"/>
  <c r="BJ305" i="4"/>
  <c r="AP305" i="4"/>
  <c r="BJ308" i="4"/>
  <c r="BD308" i="4"/>
  <c r="BJ313" i="4"/>
  <c r="BD314" i="4"/>
  <c r="AP315" i="4"/>
  <c r="BI315" i="4" s="1"/>
  <c r="AE315" i="4" s="1"/>
  <c r="AP331" i="4"/>
  <c r="BI331" i="4" s="1"/>
  <c r="AE331" i="4" s="1"/>
  <c r="BJ333" i="4"/>
  <c r="BI347" i="4"/>
  <c r="AE347" i="4" s="1"/>
  <c r="AT345" i="4"/>
  <c r="BD374" i="4"/>
  <c r="AP388" i="4"/>
  <c r="BD389" i="4"/>
  <c r="BJ396" i="4"/>
  <c r="BD398" i="4"/>
  <c r="AO399" i="4"/>
  <c r="J399" i="4" s="1"/>
  <c r="AP404" i="4"/>
  <c r="BD407" i="4"/>
  <c r="AO408" i="4"/>
  <c r="BI410" i="4"/>
  <c r="AE410" i="4" s="1"/>
  <c r="BD415" i="4"/>
  <c r="AO423" i="4"/>
  <c r="J423" i="4" s="1"/>
  <c r="J422" i="4" s="1"/>
  <c r="J421" i="4" s="1"/>
  <c r="BI427" i="4"/>
  <c r="AC427" i="4" s="1"/>
  <c r="AO428" i="4"/>
  <c r="AW428" i="4" s="1"/>
  <c r="BD428" i="4"/>
  <c r="BD464" i="4"/>
  <c r="BI469" i="4"/>
  <c r="AE469" i="4" s="1"/>
  <c r="BJ473" i="4"/>
  <c r="AO473" i="4"/>
  <c r="AW473" i="4" s="1"/>
  <c r="AP474" i="4"/>
  <c r="BI474" i="4" s="1"/>
  <c r="AE474" i="4" s="1"/>
  <c r="AO474" i="4"/>
  <c r="BH474" i="4" s="1"/>
  <c r="AD474" i="4" s="1"/>
  <c r="AO477" i="4"/>
  <c r="BH477" i="4" s="1"/>
  <c r="AD477" i="4" s="1"/>
  <c r="BD477" i="4"/>
  <c r="AP478" i="4"/>
  <c r="AX478" i="4" s="1"/>
  <c r="AP479" i="4"/>
  <c r="AX479" i="4" s="1"/>
  <c r="AO479" i="4"/>
  <c r="AW479" i="4" s="1"/>
  <c r="J480" i="4"/>
  <c r="AT528" i="4"/>
  <c r="AO533" i="4"/>
  <c r="BD533" i="4"/>
  <c r="AP566" i="4"/>
  <c r="BD566" i="4"/>
  <c r="AP585" i="4"/>
  <c r="BI585" i="4" s="1"/>
  <c r="AE585" i="4" s="1"/>
  <c r="AO585" i="4"/>
  <c r="J585" i="4" s="1"/>
  <c r="AO588" i="4"/>
  <c r="BH588" i="4" s="1"/>
  <c r="AD588" i="4" s="1"/>
  <c r="AP588" i="4"/>
  <c r="K588" i="4" s="1"/>
  <c r="AO229" i="4"/>
  <c r="BH229" i="4" s="1"/>
  <c r="AD229" i="4" s="1"/>
  <c r="AP233" i="4"/>
  <c r="AX233" i="4" s="1"/>
  <c r="AP234" i="4"/>
  <c r="AT239" i="4"/>
  <c r="AP250" i="4"/>
  <c r="L253" i="4"/>
  <c r="AL253" i="4" s="1"/>
  <c r="AO257" i="4"/>
  <c r="L262" i="4"/>
  <c r="AL262" i="4" s="1"/>
  <c r="K271" i="4"/>
  <c r="BJ274" i="4"/>
  <c r="AO276" i="4"/>
  <c r="BD305" i="4"/>
  <c r="BD315" i="4"/>
  <c r="AO316" i="4"/>
  <c r="BD332" i="4"/>
  <c r="BJ343" i="4"/>
  <c r="BD365" i="4"/>
  <c r="AP368" i="4"/>
  <c r="BJ372" i="4"/>
  <c r="O372" i="4"/>
  <c r="BF372" i="4" s="1"/>
  <c r="L379" i="4"/>
  <c r="BI385" i="4"/>
  <c r="AE385" i="4" s="1"/>
  <c r="BH395" i="4"/>
  <c r="AD395" i="4" s="1"/>
  <c r="AP399" i="4"/>
  <c r="AX399" i="4" s="1"/>
  <c r="BD404" i="4"/>
  <c r="BD408" i="4"/>
  <c r="O427" i="4"/>
  <c r="BF427" i="4" s="1"/>
  <c r="O428" i="4"/>
  <c r="BF428" i="4" s="1"/>
  <c r="BJ460" i="4"/>
  <c r="BD478" i="4"/>
  <c r="K486" i="4"/>
  <c r="BJ500" i="4"/>
  <c r="BD500" i="4"/>
  <c r="AW517" i="4"/>
  <c r="AP523" i="4"/>
  <c r="BI523" i="4" s="1"/>
  <c r="AE523" i="4" s="1"/>
  <c r="BD523" i="4"/>
  <c r="AO523" i="4"/>
  <c r="J523" i="4" s="1"/>
  <c r="AX524" i="4"/>
  <c r="AO527" i="4"/>
  <c r="J527" i="4" s="1"/>
  <c r="J526" i="4" s="1"/>
  <c r="O533" i="4"/>
  <c r="BF533" i="4" s="1"/>
  <c r="AX535" i="4"/>
  <c r="O540" i="4"/>
  <c r="BF540" i="4" s="1"/>
  <c r="L540" i="4"/>
  <c r="AL540" i="4" s="1"/>
  <c r="L566" i="4"/>
  <c r="AL566" i="4" s="1"/>
  <c r="AP584" i="4"/>
  <c r="BD584" i="4"/>
  <c r="BJ600" i="4"/>
  <c r="L606" i="4"/>
  <c r="O606" i="4"/>
  <c r="BD637" i="4"/>
  <c r="AO637" i="4"/>
  <c r="AW637" i="4" s="1"/>
  <c r="L588" i="4"/>
  <c r="M588" i="4" s="1"/>
  <c r="AW589" i="4"/>
  <c r="K596" i="4"/>
  <c r="L604" i="4"/>
  <c r="L603" i="4" s="1"/>
  <c r="BI635" i="4"/>
  <c r="AE635" i="4" s="1"/>
  <c r="BI434" i="4"/>
  <c r="K444" i="4"/>
  <c r="BJ454" i="4"/>
  <c r="AP457" i="4"/>
  <c r="BJ462" i="4"/>
  <c r="BJ485" i="4"/>
  <c r="AT498" i="4"/>
  <c r="BH501" i="4"/>
  <c r="AB501" i="4" s="1"/>
  <c r="L502" i="4"/>
  <c r="AL502" i="4" s="1"/>
  <c r="BJ524" i="4"/>
  <c r="L534" i="4"/>
  <c r="AL534" i="4" s="1"/>
  <c r="AW552" i="4"/>
  <c r="BD560" i="4"/>
  <c r="BI561" i="4"/>
  <c r="AE561" i="4" s="1"/>
  <c r="BI575" i="4"/>
  <c r="AC575" i="4" s="1"/>
  <c r="L585" i="4"/>
  <c r="AL585" i="4" s="1"/>
  <c r="O588" i="4"/>
  <c r="BF588" i="4" s="1"/>
  <c r="AP595" i="4"/>
  <c r="BI595" i="4" s="1"/>
  <c r="AE595" i="4" s="1"/>
  <c r="O596" i="4"/>
  <c r="BF596" i="4" s="1"/>
  <c r="L597" i="4"/>
  <c r="M597" i="4" s="1"/>
  <c r="L599" i="4"/>
  <c r="AW599" i="4"/>
  <c r="O604" i="4"/>
  <c r="BI606" i="4"/>
  <c r="AE606" i="4" s="1"/>
  <c r="L610" i="4"/>
  <c r="BD610" i="4"/>
  <c r="AW611" i="4"/>
  <c r="BI617" i="4"/>
  <c r="AE617" i="4" s="1"/>
  <c r="BD617" i="4"/>
  <c r="K623" i="4"/>
  <c r="AP634" i="4"/>
  <c r="AX634" i="4" s="1"/>
  <c r="AP461" i="4"/>
  <c r="AP519" i="4"/>
  <c r="AP544" i="4"/>
  <c r="K544" i="4" s="1"/>
  <c r="AO545" i="4"/>
  <c r="AW545" i="4" s="1"/>
  <c r="BD563" i="4"/>
  <c r="AS564" i="4"/>
  <c r="O585" i="4"/>
  <c r="BF585" i="4" s="1"/>
  <c r="AW604" i="4"/>
  <c r="AS605" i="4"/>
  <c r="BJ610" i="4"/>
  <c r="K611" i="4"/>
  <c r="BJ617" i="4"/>
  <c r="BD621" i="4"/>
  <c r="H209" i="6"/>
  <c r="B15" i="5" s="1"/>
  <c r="C15" i="5" s="1"/>
  <c r="AS650" i="4"/>
  <c r="AO651" i="4"/>
  <c r="J651" i="4" s="1"/>
  <c r="J650" i="4" s="1"/>
  <c r="AS632" i="4"/>
  <c r="L641" i="4"/>
  <c r="BD641" i="4"/>
  <c r="L642" i="4"/>
  <c r="M642" i="4" s="1"/>
  <c r="BD643" i="4"/>
  <c r="BJ644" i="4"/>
  <c r="BJ645" i="4"/>
  <c r="AO646" i="4"/>
  <c r="BH646" i="4" s="1"/>
  <c r="AD646" i="4" s="1"/>
  <c r="K649" i="4"/>
  <c r="AO649" i="4"/>
  <c r="AX641" i="4"/>
  <c r="BD644" i="4"/>
  <c r="BH645" i="4"/>
  <c r="AD645" i="4" s="1"/>
  <c r="AP645" i="4"/>
  <c r="K645" i="4" s="1"/>
  <c r="BJ646" i="4"/>
  <c r="BD649" i="4"/>
  <c r="BD642" i="4"/>
  <c r="K641" i="4"/>
  <c r="AO641" i="4"/>
  <c r="BJ642" i="4"/>
  <c r="AX642" i="4"/>
  <c r="AP644" i="4"/>
  <c r="BD645" i="4"/>
  <c r="L649" i="4"/>
  <c r="M649" i="4" s="1"/>
  <c r="BD633" i="4"/>
  <c r="BJ634" i="4"/>
  <c r="BD634" i="4"/>
  <c r="BD635" i="4"/>
  <c r="BJ635" i="4"/>
  <c r="BJ630" i="4"/>
  <c r="BJ628" i="4"/>
  <c r="AP628" i="4"/>
  <c r="K628" i="4" s="1"/>
  <c r="BD628" i="4"/>
  <c r="BH628" i="4"/>
  <c r="AD628" i="4" s="1"/>
  <c r="AP626" i="4"/>
  <c r="BI626" i="4" s="1"/>
  <c r="AE626" i="4" s="1"/>
  <c r="BD626" i="4"/>
  <c r="AS615" i="4"/>
  <c r="BJ623" i="4"/>
  <c r="AX623" i="4"/>
  <c r="BD623" i="4"/>
  <c r="BH616" i="4"/>
  <c r="AD616" i="4" s="1"/>
  <c r="BH617" i="4"/>
  <c r="AD617" i="4" s="1"/>
  <c r="BJ616" i="4"/>
  <c r="K621" i="4"/>
  <c r="AO621" i="4"/>
  <c r="BD616" i="4"/>
  <c r="L616" i="4"/>
  <c r="M616" i="4" s="1"/>
  <c r="AP616" i="4"/>
  <c r="AX621" i="4"/>
  <c r="AO614" i="4"/>
  <c r="BH614" i="4" s="1"/>
  <c r="AD614" i="4" s="1"/>
  <c r="AW610" i="4"/>
  <c r="BI611" i="4"/>
  <c r="AE611" i="4" s="1"/>
  <c r="BJ612" i="4"/>
  <c r="BD611" i="4"/>
  <c r="BD606" i="4"/>
  <c r="L607" i="4"/>
  <c r="M607" i="4" s="1"/>
  <c r="K606" i="4"/>
  <c r="AO606" i="4"/>
  <c r="AW606" i="4" s="1"/>
  <c r="AP604" i="4"/>
  <c r="BI604" i="4" s="1"/>
  <c r="AE604" i="4" s="1"/>
  <c r="AO601" i="4"/>
  <c r="AW601" i="4" s="1"/>
  <c r="BD596" i="4"/>
  <c r="L596" i="4"/>
  <c r="AL596" i="4" s="1"/>
  <c r="AP600" i="4"/>
  <c r="K600" i="4" s="1"/>
  <c r="BJ601" i="4"/>
  <c r="AO602" i="4"/>
  <c r="AW602" i="4" s="1"/>
  <c r="AO593" i="4"/>
  <c r="AW593" i="4" s="1"/>
  <c r="AO591" i="4"/>
  <c r="AW591" i="4" s="1"/>
  <c r="AS583" i="4"/>
  <c r="AO584" i="4"/>
  <c r="BH589" i="4"/>
  <c r="AD589" i="4" s="1"/>
  <c r="BD585" i="4"/>
  <c r="BJ580" i="4"/>
  <c r="Z580" i="4" s="1"/>
  <c r="AO573" i="4"/>
  <c r="BH573" i="4" s="1"/>
  <c r="AB573" i="4" s="1"/>
  <c r="AO574" i="4"/>
  <c r="BH574" i="4" s="1"/>
  <c r="AB574" i="4" s="1"/>
  <c r="BD575" i="4"/>
  <c r="AP578" i="4"/>
  <c r="BI578" i="4" s="1"/>
  <c r="AC578" i="4" s="1"/>
  <c r="BJ577" i="4"/>
  <c r="BD579" i="4"/>
  <c r="AW577" i="4"/>
  <c r="AP577" i="4"/>
  <c r="AO580" i="4"/>
  <c r="J580" i="4" s="1"/>
  <c r="BR569" i="4"/>
  <c r="AP569" i="4"/>
  <c r="AX569" i="4" s="1"/>
  <c r="AP565" i="4"/>
  <c r="AO565" i="4"/>
  <c r="J565" i="4" s="1"/>
  <c r="L565" i="4"/>
  <c r="L564" i="4" s="1"/>
  <c r="BJ552" i="4"/>
  <c r="L553" i="4"/>
  <c r="AL553" i="4" s="1"/>
  <c r="AX554" i="4"/>
  <c r="BJ556" i="4"/>
  <c r="AO557" i="4"/>
  <c r="AS548" i="4"/>
  <c r="AO560" i="4"/>
  <c r="J560" i="4" s="1"/>
  <c r="BD562" i="4"/>
  <c r="AP552" i="4"/>
  <c r="BI552" i="4" s="1"/>
  <c r="AE552" i="4" s="1"/>
  <c r="BJ554" i="4"/>
  <c r="BD561" i="4"/>
  <c r="AO550" i="4"/>
  <c r="AW550" i="4" s="1"/>
  <c r="AO551" i="4"/>
  <c r="L552" i="4"/>
  <c r="BD552" i="4"/>
  <c r="BJ553" i="4"/>
  <c r="AO556" i="4"/>
  <c r="J556" i="4" s="1"/>
  <c r="L561" i="4"/>
  <c r="AL561" i="4" s="1"/>
  <c r="BJ561" i="4"/>
  <c r="BD554" i="4"/>
  <c r="AP557" i="4"/>
  <c r="BI557" i="4" s="1"/>
  <c r="AE557" i="4" s="1"/>
  <c r="K561" i="4"/>
  <c r="AX561" i="4"/>
  <c r="BJ562" i="4"/>
  <c r="BI539" i="4"/>
  <c r="AE539" i="4" s="1"/>
  <c r="AX539" i="4"/>
  <c r="BD538" i="4"/>
  <c r="AO538" i="4"/>
  <c r="J538" i="4" s="1"/>
  <c r="BD539" i="4"/>
  <c r="BD540" i="4"/>
  <c r="BD541" i="4"/>
  <c r="AT536" i="4"/>
  <c r="BH543" i="4"/>
  <c r="AD543" i="4" s="1"/>
  <c r="AO546" i="4"/>
  <c r="L547" i="4"/>
  <c r="AL547" i="4" s="1"/>
  <c r="BD547" i="4"/>
  <c r="AP538" i="4"/>
  <c r="AO539" i="4"/>
  <c r="BH539" i="4" s="1"/>
  <c r="AD539" i="4" s="1"/>
  <c r="BJ539" i="4"/>
  <c r="BJ541" i="4"/>
  <c r="L544" i="4"/>
  <c r="AP547" i="4"/>
  <c r="BI547" i="4" s="1"/>
  <c r="AE547" i="4" s="1"/>
  <c r="AO544" i="4"/>
  <c r="J544" i="4" s="1"/>
  <c r="AO547" i="4"/>
  <c r="AW547" i="4" s="1"/>
  <c r="AO529" i="4"/>
  <c r="AO534" i="4"/>
  <c r="BD535" i="4"/>
  <c r="AP529" i="4"/>
  <c r="AO531" i="4"/>
  <c r="AP534" i="4"/>
  <c r="AX534" i="4" s="1"/>
  <c r="BJ534" i="4"/>
  <c r="L535" i="4"/>
  <c r="BJ535" i="4"/>
  <c r="AS528" i="4"/>
  <c r="AP531" i="4"/>
  <c r="AX531" i="4" s="1"/>
  <c r="AP527" i="4"/>
  <c r="BJ517" i="4"/>
  <c r="M520" i="4"/>
  <c r="BD524" i="4"/>
  <c r="L517" i="4"/>
  <c r="AO522" i="4"/>
  <c r="J522" i="4" s="1"/>
  <c r="BH523" i="4"/>
  <c r="AD523" i="4" s="1"/>
  <c r="BI524" i="4"/>
  <c r="AE524" i="4" s="1"/>
  <c r="BD525" i="4"/>
  <c r="AP518" i="4"/>
  <c r="BI518" i="4" s="1"/>
  <c r="AE518" i="4" s="1"/>
  <c r="BD517" i="4"/>
  <c r="BJ518" i="4"/>
  <c r="AO519" i="4"/>
  <c r="J519" i="4" s="1"/>
  <c r="AP522" i="4"/>
  <c r="AX522" i="4" s="1"/>
  <c r="L524" i="4"/>
  <c r="AL524" i="4" s="1"/>
  <c r="AO524" i="4"/>
  <c r="AW524" i="4" s="1"/>
  <c r="L525" i="4"/>
  <c r="BJ525" i="4"/>
  <c r="L511" i="4"/>
  <c r="AP512" i="4"/>
  <c r="BI512" i="4" s="1"/>
  <c r="AE512" i="4" s="1"/>
  <c r="AO514" i="4"/>
  <c r="AW514" i="4" s="1"/>
  <c r="AO511" i="4"/>
  <c r="BJ511" i="4"/>
  <c r="AT510" i="4"/>
  <c r="BJ512" i="4"/>
  <c r="AP514" i="4"/>
  <c r="J515" i="4"/>
  <c r="BJ501" i="4"/>
  <c r="M502" i="4"/>
  <c r="BJ502" i="4"/>
  <c r="AO503" i="4"/>
  <c r="BH503" i="4" s="1"/>
  <c r="AB503" i="4" s="1"/>
  <c r="L506" i="4"/>
  <c r="AL506" i="4" s="1"/>
  <c r="BD501" i="4"/>
  <c r="L501" i="4"/>
  <c r="AL501" i="4" s="1"/>
  <c r="BJ503" i="4"/>
  <c r="J501" i="4"/>
  <c r="AP501" i="4"/>
  <c r="BI501" i="4" s="1"/>
  <c r="AC501" i="4" s="1"/>
  <c r="BD503" i="4"/>
  <c r="BJ504" i="4"/>
  <c r="AO492" i="4"/>
  <c r="J492" i="4" s="1"/>
  <c r="J491" i="4" s="1"/>
  <c r="BI492" i="4"/>
  <c r="AE492" i="4" s="1"/>
  <c r="BD492" i="4"/>
  <c r="BJ492" i="4"/>
  <c r="L492" i="4"/>
  <c r="AL492" i="4" s="1"/>
  <c r="K492" i="4"/>
  <c r="AW478" i="4"/>
  <c r="J478" i="4"/>
  <c r="BH478" i="4"/>
  <c r="AD478" i="4" s="1"/>
  <c r="AW486" i="4"/>
  <c r="BH486" i="4"/>
  <c r="AD486" i="4" s="1"/>
  <c r="BD476" i="4"/>
  <c r="BD483" i="4"/>
  <c r="BD485" i="4"/>
  <c r="AX486" i="4"/>
  <c r="L487" i="4"/>
  <c r="AL487" i="4" s="1"/>
  <c r="AO487" i="4"/>
  <c r="BJ487" i="4"/>
  <c r="AP489" i="4"/>
  <c r="K489" i="4" s="1"/>
  <c r="K476" i="4"/>
  <c r="BJ476" i="4"/>
  <c r="BD480" i="4"/>
  <c r="BJ480" i="4"/>
  <c r="AO481" i="4"/>
  <c r="AP482" i="4"/>
  <c r="AX482" i="4" s="1"/>
  <c r="BJ483" i="4"/>
  <c r="AP484" i="4"/>
  <c r="BI484" i="4" s="1"/>
  <c r="AE484" i="4" s="1"/>
  <c r="L485" i="4"/>
  <c r="AO485" i="4"/>
  <c r="J485" i="4" s="1"/>
  <c r="BD486" i="4"/>
  <c r="BD489" i="4"/>
  <c r="AO490" i="4"/>
  <c r="BH490" i="4" s="1"/>
  <c r="AD490" i="4" s="1"/>
  <c r="L476" i="4"/>
  <c r="AL476" i="4" s="1"/>
  <c r="AP477" i="4"/>
  <c r="BI477" i="4" s="1"/>
  <c r="AE477" i="4" s="1"/>
  <c r="BJ477" i="4"/>
  <c r="BD479" i="4"/>
  <c r="BD481" i="4"/>
  <c r="AP485" i="4"/>
  <c r="K485" i="4" s="1"/>
  <c r="L486" i="4"/>
  <c r="K487" i="4"/>
  <c r="BD487" i="4"/>
  <c r="BD468" i="4"/>
  <c r="AP464" i="4"/>
  <c r="K464" i="4" s="1"/>
  <c r="L468" i="4"/>
  <c r="AL468" i="4" s="1"/>
  <c r="AP470" i="4"/>
  <c r="BI470" i="4" s="1"/>
  <c r="AE470" i="4" s="1"/>
  <c r="L472" i="4"/>
  <c r="J464" i="4"/>
  <c r="AS463" i="4"/>
  <c r="BJ468" i="4"/>
  <c r="AO469" i="4"/>
  <c r="AW469" i="4" s="1"/>
  <c r="BJ470" i="4"/>
  <c r="L473" i="4"/>
  <c r="AL473" i="4" s="1"/>
  <c r="BD473" i="4"/>
  <c r="BD474" i="4"/>
  <c r="BJ474" i="4"/>
  <c r="BJ469" i="4"/>
  <c r="AP471" i="4"/>
  <c r="K471" i="4" s="1"/>
  <c r="AP473" i="4"/>
  <c r="L467" i="4"/>
  <c r="AL467" i="4" s="1"/>
  <c r="AP468" i="4"/>
  <c r="BI468" i="4" s="1"/>
  <c r="AE468" i="4" s="1"/>
  <c r="BD469" i="4"/>
  <c r="BD458" i="4"/>
  <c r="AT455" i="4"/>
  <c r="AO457" i="4"/>
  <c r="AW457" i="4" s="1"/>
  <c r="L458" i="4"/>
  <c r="AP459" i="4"/>
  <c r="K459" i="4" s="1"/>
  <c r="BJ461" i="4"/>
  <c r="AO459" i="4"/>
  <c r="AS455" i="4"/>
  <c r="AO454" i="4"/>
  <c r="AW454" i="4" s="1"/>
  <c r="AP454" i="4"/>
  <c r="K454" i="4" s="1"/>
  <c r="K453" i="4" s="1"/>
  <c r="BH449" i="4"/>
  <c r="AD449" i="4" s="1"/>
  <c r="J449" i="4"/>
  <c r="AP449" i="4"/>
  <c r="K449" i="4" s="1"/>
  <c r="AO447" i="4"/>
  <c r="AW447" i="4" s="1"/>
  <c r="BJ448" i="4"/>
  <c r="BJ449" i="4"/>
  <c r="L446" i="4"/>
  <c r="AP447" i="4"/>
  <c r="BJ447" i="4"/>
  <c r="BD449" i="4"/>
  <c r="BJ450" i="4"/>
  <c r="AO451" i="4"/>
  <c r="AW451" i="4" s="1"/>
  <c r="AP452" i="4"/>
  <c r="BI452" i="4" s="1"/>
  <c r="AE452" i="4" s="1"/>
  <c r="L445" i="4"/>
  <c r="L450" i="4"/>
  <c r="M450" i="4" s="1"/>
  <c r="AO444" i="4"/>
  <c r="AW444" i="4" s="1"/>
  <c r="L447" i="4"/>
  <c r="AL447" i="4" s="1"/>
  <c r="BD448" i="4"/>
  <c r="AT437" i="4"/>
  <c r="AO438" i="4"/>
  <c r="BH438" i="4" s="1"/>
  <c r="AD438" i="4" s="1"/>
  <c r="AO440" i="4"/>
  <c r="J440" i="4" s="1"/>
  <c r="BJ440" i="4"/>
  <c r="AO441" i="4"/>
  <c r="L442" i="4"/>
  <c r="M442" i="4" s="1"/>
  <c r="L438" i="4"/>
  <c r="AP438" i="4"/>
  <c r="AP440" i="4"/>
  <c r="BJ442" i="4"/>
  <c r="BD427" i="4"/>
  <c r="BI428" i="4"/>
  <c r="AC428" i="4" s="1"/>
  <c r="BJ431" i="4"/>
  <c r="BJ432" i="4"/>
  <c r="BJ427" i="4"/>
  <c r="AX434" i="4"/>
  <c r="AT425" i="4"/>
  <c r="AO433" i="4"/>
  <c r="AW433" i="4" s="1"/>
  <c r="BD434" i="4"/>
  <c r="L423" i="4"/>
  <c r="AL423" i="4" s="1"/>
  <c r="AU422" i="4" s="1"/>
  <c r="BJ423" i="4"/>
  <c r="BR423" i="4"/>
  <c r="BJ419" i="4"/>
  <c r="AP419" i="4"/>
  <c r="BI419" i="4" s="1"/>
  <c r="AE419" i="4" s="1"/>
  <c r="AO420" i="4"/>
  <c r="L419" i="4"/>
  <c r="AO413" i="4"/>
  <c r="AW413" i="4" s="1"/>
  <c r="L405" i="4"/>
  <c r="AL405" i="4" s="1"/>
  <c r="BJ409" i="4"/>
  <c r="L410" i="4"/>
  <c r="AL410" i="4" s="1"/>
  <c r="BI411" i="4"/>
  <c r="AE411" i="4" s="1"/>
  <c r="AT402" i="4"/>
  <c r="AO405" i="4"/>
  <c r="J405" i="4" s="1"/>
  <c r="BJ406" i="4"/>
  <c r="AO407" i="4"/>
  <c r="J407" i="4" s="1"/>
  <c r="AW408" i="4"/>
  <c r="AP409" i="4"/>
  <c r="K409" i="4" s="1"/>
  <c r="AO411" i="4"/>
  <c r="AW411" i="4" s="1"/>
  <c r="AO412" i="4"/>
  <c r="BH412" i="4" s="1"/>
  <c r="AD412" i="4" s="1"/>
  <c r="L413" i="4"/>
  <c r="M413" i="4" s="1"/>
  <c r="BJ413" i="4"/>
  <c r="AO415" i="4"/>
  <c r="J415" i="4" s="1"/>
  <c r="AO417" i="4"/>
  <c r="BD411" i="4"/>
  <c r="BD412" i="4"/>
  <c r="BD403" i="4"/>
  <c r="AO409" i="4"/>
  <c r="BJ410" i="4"/>
  <c r="AO403" i="4"/>
  <c r="BH403" i="4" s="1"/>
  <c r="AD403" i="4" s="1"/>
  <c r="BJ405" i="4"/>
  <c r="L409" i="4"/>
  <c r="M409" i="4" s="1"/>
  <c r="BD410" i="4"/>
  <c r="AX412" i="4"/>
  <c r="BI396" i="4"/>
  <c r="AE396" i="4" s="1"/>
  <c r="K396" i="4"/>
  <c r="AO391" i="4"/>
  <c r="AS390" i="4"/>
  <c r="AP395" i="4"/>
  <c r="AX395" i="4" s="1"/>
  <c r="L397" i="4"/>
  <c r="BD397" i="4"/>
  <c r="AP391" i="4"/>
  <c r="AX391" i="4" s="1"/>
  <c r="AT390" i="4"/>
  <c r="BJ393" i="4"/>
  <c r="BD395" i="4"/>
  <c r="AO396" i="4"/>
  <c r="BH396" i="4" s="1"/>
  <c r="AD396" i="4" s="1"/>
  <c r="BI397" i="4"/>
  <c r="AE397" i="4" s="1"/>
  <c r="BD399" i="4"/>
  <c r="L393" i="4"/>
  <c r="BJ397" i="4"/>
  <c r="AO398" i="4"/>
  <c r="BH398" i="4" s="1"/>
  <c r="AD398" i="4" s="1"/>
  <c r="AO400" i="4"/>
  <c r="AP383" i="4"/>
  <c r="BI383" i="4" s="1"/>
  <c r="AE383" i="4" s="1"/>
  <c r="AS382" i="4"/>
  <c r="AO385" i="4"/>
  <c r="M389" i="4"/>
  <c r="AO383" i="4"/>
  <c r="L387" i="4"/>
  <c r="L383" i="4"/>
  <c r="AL383" i="4" s="1"/>
  <c r="AT382" i="4"/>
  <c r="BD385" i="4"/>
  <c r="BJ385" i="4"/>
  <c r="AO388" i="4"/>
  <c r="BH388" i="4" s="1"/>
  <c r="AD388" i="4" s="1"/>
  <c r="AP381" i="4"/>
  <c r="AX381" i="4" s="1"/>
  <c r="BJ381" i="4"/>
  <c r="BD373" i="4"/>
  <c r="M372" i="4"/>
  <c r="BJ374" i="4"/>
  <c r="BJ375" i="4"/>
  <c r="AO376" i="4"/>
  <c r="AO378" i="4"/>
  <c r="BH378" i="4" s="1"/>
  <c r="AD378" i="4" s="1"/>
  <c r="BJ371" i="4"/>
  <c r="L373" i="4"/>
  <c r="AO373" i="4"/>
  <c r="BJ373" i="4"/>
  <c r="AT364" i="4"/>
  <c r="BJ368" i="4"/>
  <c r="BJ366" i="4"/>
  <c r="BJ367" i="4"/>
  <c r="BJ363" i="4"/>
  <c r="AP363" i="4"/>
  <c r="BI363" i="4" s="1"/>
  <c r="AE363" i="4" s="1"/>
  <c r="AP353" i="4"/>
  <c r="AP354" i="4"/>
  <c r="K354" i="4" s="1"/>
  <c r="BJ358" i="4"/>
  <c r="BJ354" i="4"/>
  <c r="BJ353" i="4"/>
  <c r="L354" i="4"/>
  <c r="AW354" i="4"/>
  <c r="L355" i="4"/>
  <c r="BD355" i="4"/>
  <c r="BJ360" i="4"/>
  <c r="Z360" i="4" s="1"/>
  <c r="BJ361" i="4"/>
  <c r="Z361" i="4" s="1"/>
  <c r="J354" i="4"/>
  <c r="BD354" i="4"/>
  <c r="BJ355" i="4"/>
  <c r="AT352" i="4"/>
  <c r="BJ359" i="4"/>
  <c r="AP361" i="4"/>
  <c r="K361" i="4" s="1"/>
  <c r="L350" i="4"/>
  <c r="M350" i="4" s="1"/>
  <c r="M349" i="4" s="1"/>
  <c r="M348" i="4" s="1"/>
  <c r="BR350" i="4"/>
  <c r="BJ350" i="4"/>
  <c r="BI346" i="4"/>
  <c r="AE346" i="4" s="1"/>
  <c r="BJ347" i="4"/>
  <c r="AW346" i="4"/>
  <c r="BC346" i="4" s="1"/>
  <c r="BD346" i="4"/>
  <c r="BD347" i="4"/>
  <c r="AO347" i="4"/>
  <c r="BH347" i="4" s="1"/>
  <c r="AD347" i="4" s="1"/>
  <c r="AX347" i="4"/>
  <c r="BD340" i="4"/>
  <c r="AP341" i="4"/>
  <c r="M331" i="4"/>
  <c r="BJ341" i="4"/>
  <c r="BJ342" i="4"/>
  <c r="L330" i="4"/>
  <c r="BD331" i="4"/>
  <c r="BJ332" i="4"/>
  <c r="AP333" i="4"/>
  <c r="AW337" i="4"/>
  <c r="L339" i="4"/>
  <c r="AP339" i="4"/>
  <c r="BI339" i="4" s="1"/>
  <c r="AE339" i="4" s="1"/>
  <c r="BD341" i="4"/>
  <c r="AO342" i="4"/>
  <c r="BH342" i="4" s="1"/>
  <c r="AD342" i="4" s="1"/>
  <c r="BI344" i="4"/>
  <c r="AE344" i="4" s="1"/>
  <c r="BJ344" i="4"/>
  <c r="BD339" i="4"/>
  <c r="AP330" i="4"/>
  <c r="AO333" i="4"/>
  <c r="BH333" i="4" s="1"/>
  <c r="AD333" i="4" s="1"/>
  <c r="AO339" i="4"/>
  <c r="L340" i="4"/>
  <c r="BJ340" i="4"/>
  <c r="BD330" i="4"/>
  <c r="AO331" i="4"/>
  <c r="AW331" i="4" s="1"/>
  <c r="L332" i="4"/>
  <c r="AL332" i="4" s="1"/>
  <c r="BJ334" i="4"/>
  <c r="AP336" i="4"/>
  <c r="BI336" i="4" s="1"/>
  <c r="AE336" i="4" s="1"/>
  <c r="AW341" i="4"/>
  <c r="BD342" i="4"/>
  <c r="BH318" i="4"/>
  <c r="AD318" i="4" s="1"/>
  <c r="AW318" i="4"/>
  <c r="AO326" i="4"/>
  <c r="BH326" i="4" s="1"/>
  <c r="AD326" i="4" s="1"/>
  <c r="BD327" i="4"/>
  <c r="L318" i="4"/>
  <c r="AP318" i="4"/>
  <c r="BI318" i="4" s="1"/>
  <c r="AE318" i="4" s="1"/>
  <c r="BJ318" i="4"/>
  <c r="L319" i="4"/>
  <c r="AL319" i="4" s="1"/>
  <c r="AO320" i="4"/>
  <c r="BJ321" i="4"/>
  <c r="BJ323" i="4"/>
  <c r="L326" i="4"/>
  <c r="AL326" i="4" s="1"/>
  <c r="BJ327" i="4"/>
  <c r="AO328" i="4"/>
  <c r="J328" i="4" s="1"/>
  <c r="BJ319" i="4"/>
  <c r="BD320" i="4"/>
  <c r="AP323" i="4"/>
  <c r="AP326" i="4"/>
  <c r="BJ326" i="4"/>
  <c r="L327" i="4"/>
  <c r="AL327" i="4" s="1"/>
  <c r="BI327" i="4"/>
  <c r="AE327" i="4" s="1"/>
  <c r="BD328" i="4"/>
  <c r="AS317" i="4"/>
  <c r="AP320" i="4"/>
  <c r="AX320" i="4" s="1"/>
  <c r="AT309" i="4"/>
  <c r="L313" i="4"/>
  <c r="AP313" i="4"/>
  <c r="AX313" i="4" s="1"/>
  <c r="BD316" i="4"/>
  <c r="AO310" i="4"/>
  <c r="BH310" i="4" s="1"/>
  <c r="AD310" i="4" s="1"/>
  <c r="BJ310" i="4"/>
  <c r="BJ314" i="4"/>
  <c r="BJ316" i="4"/>
  <c r="AS309" i="4"/>
  <c r="BH308" i="4"/>
  <c r="AD308" i="4" s="1"/>
  <c r="L308" i="4"/>
  <c r="AP308" i="4"/>
  <c r="L302" i="4"/>
  <c r="AO303" i="4"/>
  <c r="BH305" i="4"/>
  <c r="AD305" i="4" s="1"/>
  <c r="AS291" i="4"/>
  <c r="BD298" i="4"/>
  <c r="AP300" i="4"/>
  <c r="AX300" i="4" s="1"/>
  <c r="AP302" i="4"/>
  <c r="BI302" i="4" s="1"/>
  <c r="AE302" i="4" s="1"/>
  <c r="AP303" i="4"/>
  <c r="BJ298" i="4"/>
  <c r="AP304" i="4"/>
  <c r="AX304" i="4" s="1"/>
  <c r="BJ306" i="4"/>
  <c r="AT291" i="4"/>
  <c r="BI296" i="4"/>
  <c r="AE296" i="4" s="1"/>
  <c r="AP293" i="4"/>
  <c r="BI293" i="4" s="1"/>
  <c r="AE293" i="4" s="1"/>
  <c r="J295" i="4"/>
  <c r="L296" i="4"/>
  <c r="BJ296" i="4"/>
  <c r="BJ292" i="4"/>
  <c r="AO294" i="4"/>
  <c r="J294" i="4" s="1"/>
  <c r="AP295" i="4"/>
  <c r="AO296" i="4"/>
  <c r="L290" i="4"/>
  <c r="M290" i="4" s="1"/>
  <c r="M289" i="4" s="1"/>
  <c r="BD290" i="4"/>
  <c r="J290" i="4"/>
  <c r="J289" i="4" s="1"/>
  <c r="AP290" i="4"/>
  <c r="BD285" i="4"/>
  <c r="AP286" i="4"/>
  <c r="AO283" i="4"/>
  <c r="BD287" i="4"/>
  <c r="AT279" i="4"/>
  <c r="L286" i="4"/>
  <c r="AL286" i="4" s="1"/>
  <c r="BJ287" i="4"/>
  <c r="Z287" i="4" s="1"/>
  <c r="AO286" i="4"/>
  <c r="BD286" i="4"/>
  <c r="AP276" i="4"/>
  <c r="K277" i="4"/>
  <c r="BJ277" i="4"/>
  <c r="AO277" i="4"/>
  <c r="J277" i="4" s="1"/>
  <c r="L277" i="4"/>
  <c r="BD277" i="4"/>
  <c r="AP263" i="4"/>
  <c r="BI273" i="4"/>
  <c r="AE273" i="4" s="1"/>
  <c r="AT259" i="4"/>
  <c r="AP262" i="4"/>
  <c r="AX262" i="4" s="1"/>
  <c r="L263" i="4"/>
  <c r="K264" i="4"/>
  <c r="M264" i="4"/>
  <c r="BD264" i="4"/>
  <c r="BD265" i="4"/>
  <c r="BJ269" i="4"/>
  <c r="L270" i="4"/>
  <c r="M270" i="4" s="1"/>
  <c r="AO272" i="4"/>
  <c r="BJ272" i="4"/>
  <c r="L273" i="4"/>
  <c r="M273" i="4" s="1"/>
  <c r="AP274" i="4"/>
  <c r="BI274" i="4" s="1"/>
  <c r="AE274" i="4" s="1"/>
  <c r="AS259" i="4"/>
  <c r="L272" i="4"/>
  <c r="BI272" i="4"/>
  <c r="AE272" i="4" s="1"/>
  <c r="BD274" i="4"/>
  <c r="BJ260" i="4"/>
  <c r="AO261" i="4"/>
  <c r="J261" i="4" s="1"/>
  <c r="AP270" i="4"/>
  <c r="K270" i="4" s="1"/>
  <c r="AO271" i="4"/>
  <c r="BD272" i="4"/>
  <c r="AO274" i="4"/>
  <c r="J274" i="4" s="1"/>
  <c r="AP253" i="4"/>
  <c r="BI253" i="4" s="1"/>
  <c r="AE253" i="4" s="1"/>
  <c r="BJ251" i="4"/>
  <c r="AP252" i="4"/>
  <c r="M253" i="4"/>
  <c r="BD253" i="4"/>
  <c r="AP258" i="4"/>
  <c r="BJ258" i="4"/>
  <c r="BD250" i="4"/>
  <c r="L255" i="4"/>
  <c r="M255" i="4" s="1"/>
  <c r="AS247" i="4"/>
  <c r="BJ255" i="4"/>
  <c r="BD246" i="4"/>
  <c r="M245" i="4"/>
  <c r="AP245" i="4"/>
  <c r="K245" i="4" s="1"/>
  <c r="BJ245" i="4"/>
  <c r="BJ246" i="4"/>
  <c r="BJ240" i="4"/>
  <c r="AS239" i="4"/>
  <c r="AW245" i="4"/>
  <c r="L246" i="4"/>
  <c r="BJ236" i="4"/>
  <c r="L236" i="4"/>
  <c r="BD236" i="4"/>
  <c r="BH234" i="4"/>
  <c r="AD234" i="4" s="1"/>
  <c r="L226" i="4"/>
  <c r="AL226" i="4" s="1"/>
  <c r="AP226" i="4"/>
  <c r="BH226" i="4"/>
  <c r="AD226" i="4" s="1"/>
  <c r="AP230" i="4"/>
  <c r="BI230" i="4" s="1"/>
  <c r="AE230" i="4" s="1"/>
  <c r="BD227" i="4"/>
  <c r="BJ230" i="4"/>
  <c r="AO221" i="4"/>
  <c r="AW221" i="4" s="1"/>
  <c r="AS219" i="4"/>
  <c r="BI224" i="4"/>
  <c r="AE224" i="4" s="1"/>
  <c r="AO224" i="4"/>
  <c r="AW224" i="4" s="1"/>
  <c r="AP221" i="4"/>
  <c r="AX221" i="4" s="1"/>
  <c r="AT219" i="4"/>
  <c r="BD224" i="4"/>
  <c r="AO218" i="4"/>
  <c r="M208" i="4"/>
  <c r="BJ208" i="4"/>
  <c r="AO209" i="4"/>
  <c r="AW209" i="4" s="1"/>
  <c r="AP215" i="4"/>
  <c r="BI215" i="4" s="1"/>
  <c r="BJ215" i="4"/>
  <c r="Z215" i="4" s="1"/>
  <c r="BH215" i="4"/>
  <c r="AT207" i="4"/>
  <c r="AP209" i="4"/>
  <c r="K209" i="4" s="1"/>
  <c r="AO211" i="4"/>
  <c r="BH211" i="4" s="1"/>
  <c r="AB211" i="4" s="1"/>
  <c r="AW215" i="4"/>
  <c r="AS207" i="4"/>
  <c r="AP211" i="4"/>
  <c r="BJ214" i="4"/>
  <c r="BJ203" i="4"/>
  <c r="BD199" i="4"/>
  <c r="AP200" i="4"/>
  <c r="AP197" i="4"/>
  <c r="BI197" i="4" s="1"/>
  <c r="AC197" i="4" s="1"/>
  <c r="AL195" i="4"/>
  <c r="M195" i="4"/>
  <c r="BD195" i="4"/>
  <c r="AS194" i="4"/>
  <c r="L192" i="4"/>
  <c r="M192" i="4" s="1"/>
  <c r="BJ192" i="4"/>
  <c r="AO190" i="4"/>
  <c r="AW190" i="4" s="1"/>
  <c r="J188" i="4"/>
  <c r="BH188" i="4"/>
  <c r="AB188" i="4" s="1"/>
  <c r="BD188" i="4"/>
  <c r="BJ188" i="4"/>
  <c r="AS187" i="4"/>
  <c r="AO185" i="4"/>
  <c r="J185" i="4" s="1"/>
  <c r="BD185" i="4"/>
  <c r="BJ185" i="4"/>
  <c r="BI180" i="4"/>
  <c r="AE180" i="4" s="1"/>
  <c r="AX180" i="4"/>
  <c r="K180" i="4"/>
  <c r="BD180" i="4"/>
  <c r="AO180" i="4"/>
  <c r="AW180" i="4" s="1"/>
  <c r="AX176" i="4"/>
  <c r="BI176" i="4"/>
  <c r="AE176" i="4" s="1"/>
  <c r="BD176" i="4"/>
  <c r="BJ176" i="4"/>
  <c r="L176" i="4"/>
  <c r="AL176" i="4" s="1"/>
  <c r="AO176" i="4"/>
  <c r="L174" i="4"/>
  <c r="AL174" i="4" s="1"/>
  <c r="BD174" i="4"/>
  <c r="BJ174" i="4"/>
  <c r="AP174" i="4"/>
  <c r="BI174" i="4" s="1"/>
  <c r="AE174" i="4" s="1"/>
  <c r="AO172" i="4"/>
  <c r="AP172" i="4"/>
  <c r="K172" i="4" s="1"/>
  <c r="BJ168" i="4"/>
  <c r="BD166" i="4"/>
  <c r="AO164" i="4"/>
  <c r="AO160" i="4"/>
  <c r="BH160" i="4" s="1"/>
  <c r="AD160" i="4" s="1"/>
  <c r="BD161" i="4"/>
  <c r="BH161" i="4"/>
  <c r="AD161" i="4" s="1"/>
  <c r="BJ162" i="4"/>
  <c r="L156" i="4"/>
  <c r="AP157" i="4"/>
  <c r="M157" i="4"/>
  <c r="M156" i="4" s="1"/>
  <c r="BI155" i="4"/>
  <c r="AC155" i="4" s="1"/>
  <c r="BJ155" i="4"/>
  <c r="BD155" i="4"/>
  <c r="AW151" i="4"/>
  <c r="AS146" i="4"/>
  <c r="BJ149" i="4"/>
  <c r="AX147" i="4"/>
  <c r="BJ147" i="4"/>
  <c r="BD147" i="4"/>
  <c r="AO145" i="4"/>
  <c r="BJ143" i="4"/>
  <c r="AP140" i="4"/>
  <c r="K140" i="4" s="1"/>
  <c r="AO141" i="4"/>
  <c r="J141" i="4" s="1"/>
  <c r="AP138" i="4"/>
  <c r="BJ138" i="4"/>
  <c r="AO134" i="4"/>
  <c r="J134" i="4" s="1"/>
  <c r="AS133" i="4"/>
  <c r="BD134" i="4"/>
  <c r="AT133" i="4"/>
  <c r="L131" i="4"/>
  <c r="AP131" i="4"/>
  <c r="BI131" i="4" s="1"/>
  <c r="AE131" i="4" s="1"/>
  <c r="BJ131" i="4"/>
  <c r="BH126" i="4"/>
  <c r="AD126" i="4" s="1"/>
  <c r="J126" i="4"/>
  <c r="AW126" i="4"/>
  <c r="BD126" i="4"/>
  <c r="K127" i="4"/>
  <c r="AX127" i="4"/>
  <c r="AV127" i="4" s="1"/>
  <c r="BJ127" i="4"/>
  <c r="AP129" i="4"/>
  <c r="M126" i="4"/>
  <c r="M127" i="4"/>
  <c r="AO129" i="4"/>
  <c r="BD127" i="4"/>
  <c r="BI113" i="4"/>
  <c r="AE113" i="4" s="1"/>
  <c r="AO117" i="4"/>
  <c r="BH117" i="4" s="1"/>
  <c r="AD117" i="4" s="1"/>
  <c r="AP118" i="4"/>
  <c r="BH118" i="4"/>
  <c r="AD118" i="4" s="1"/>
  <c r="BJ113" i="4"/>
  <c r="AO114" i="4"/>
  <c r="J114" i="4" s="1"/>
  <c r="L115" i="4"/>
  <c r="AL115" i="4" s="1"/>
  <c r="AO116" i="4"/>
  <c r="J116" i="4" s="1"/>
  <c r="L117" i="4"/>
  <c r="AP117" i="4"/>
  <c r="L118" i="4"/>
  <c r="AL118" i="4" s="1"/>
  <c r="M123" i="4"/>
  <c r="BD118" i="4"/>
  <c r="BJ118" i="4"/>
  <c r="AP120" i="4"/>
  <c r="AO111" i="4"/>
  <c r="AW111" i="4" s="1"/>
  <c r="AO106" i="4"/>
  <c r="BH106" i="4" s="1"/>
  <c r="AD106" i="4" s="1"/>
  <c r="BJ106" i="4"/>
  <c r="AP107" i="4"/>
  <c r="BI107" i="4" s="1"/>
  <c r="AE107" i="4" s="1"/>
  <c r="AP106" i="4"/>
  <c r="BD107" i="4"/>
  <c r="L106" i="4"/>
  <c r="AS105" i="4"/>
  <c r="AT97" i="4"/>
  <c r="AO100" i="4"/>
  <c r="J100" i="4" s="1"/>
  <c r="AP98" i="4"/>
  <c r="BI98" i="4" s="1"/>
  <c r="AE98" i="4" s="1"/>
  <c r="AP100" i="4"/>
  <c r="L98" i="4"/>
  <c r="BD98" i="4"/>
  <c r="L100" i="4"/>
  <c r="AL100" i="4" s="1"/>
  <c r="AP101" i="4"/>
  <c r="AO102" i="4"/>
  <c r="AW102" i="4" s="1"/>
  <c r="BJ102" i="4"/>
  <c r="BD96" i="4"/>
  <c r="AP95" i="4"/>
  <c r="AP96" i="4"/>
  <c r="BH96" i="4"/>
  <c r="AD96" i="4" s="1"/>
  <c r="L96" i="4"/>
  <c r="AT94" i="4"/>
  <c r="L95" i="4"/>
  <c r="L94" i="4" s="1"/>
  <c r="J96" i="4"/>
  <c r="BJ96" i="4"/>
  <c r="AO88" i="4"/>
  <c r="AP89" i="4"/>
  <c r="K89" i="4" s="1"/>
  <c r="L90" i="4"/>
  <c r="AL90" i="4" s="1"/>
  <c r="BI87" i="4"/>
  <c r="AE87" i="4" s="1"/>
  <c r="BD82" i="4"/>
  <c r="L83" i="4"/>
  <c r="M83" i="4" s="1"/>
  <c r="BD86" i="4"/>
  <c r="BJ88" i="4"/>
  <c r="BD90" i="4"/>
  <c r="BD80" i="4"/>
  <c r="BJ80" i="4"/>
  <c r="BH74" i="4"/>
  <c r="AD74" i="4" s="1"/>
  <c r="AO74" i="4"/>
  <c r="BJ74" i="4"/>
  <c r="AP72" i="4"/>
  <c r="K72" i="4" s="1"/>
  <c r="BJ72" i="4"/>
  <c r="AT63" i="4"/>
  <c r="AO64" i="4"/>
  <c r="AW64" i="4" s="1"/>
  <c r="AP68" i="4"/>
  <c r="AX68" i="4" s="1"/>
  <c r="AO66" i="4"/>
  <c r="BH66" i="4" s="1"/>
  <c r="AD66" i="4" s="1"/>
  <c r="BD68" i="4"/>
  <c r="BH64" i="4"/>
  <c r="AD64" i="4" s="1"/>
  <c r="BJ64" i="4"/>
  <c r="AO61" i="4"/>
  <c r="BJ57" i="4"/>
  <c r="AO58" i="4"/>
  <c r="BH58" i="4" s="1"/>
  <c r="AB58" i="4" s="1"/>
  <c r="AS54" i="4"/>
  <c r="BD55" i="4"/>
  <c r="BJ58" i="4"/>
  <c r="AW50" i="4"/>
  <c r="AP50" i="4"/>
  <c r="BI50" i="4" s="1"/>
  <c r="AE50" i="4" s="1"/>
  <c r="BD49" i="4"/>
  <c r="BD50" i="4"/>
  <c r="L49" i="4"/>
  <c r="AL49" i="4" s="1"/>
  <c r="BD45" i="4"/>
  <c r="AW45" i="4"/>
  <c r="AS43" i="4"/>
  <c r="BJ46" i="4"/>
  <c r="L47" i="4"/>
  <c r="L44" i="4"/>
  <c r="AO46" i="4"/>
  <c r="AW46" i="4" s="1"/>
  <c r="BJ36" i="4"/>
  <c r="AP30" i="4"/>
  <c r="AX24" i="4"/>
  <c r="L19" i="4"/>
  <c r="AL19" i="4" s="1"/>
  <c r="AS14" i="4"/>
  <c r="AS17" i="4"/>
  <c r="AO20" i="4"/>
  <c r="AW20" i="4" s="1"/>
  <c r="AT17" i="4"/>
  <c r="BD20" i="4"/>
  <c r="L18" i="4"/>
  <c r="BD18" i="4"/>
  <c r="BJ19" i="4"/>
  <c r="BD27" i="4"/>
  <c r="AP32" i="4"/>
  <c r="L24" i="4"/>
  <c r="M24" i="4" s="1"/>
  <c r="BJ24" i="4"/>
  <c r="BD24" i="4"/>
  <c r="L27" i="4"/>
  <c r="AL27" i="4" s="1"/>
  <c r="AU26" i="4" s="1"/>
  <c r="AT23" i="4"/>
  <c r="AO30" i="4"/>
  <c r="AW30" i="4" s="1"/>
  <c r="L39" i="4"/>
  <c r="M39" i="4" s="1"/>
  <c r="AS33" i="4"/>
  <c r="AP40" i="4"/>
  <c r="AX40" i="4" s="1"/>
  <c r="AO41" i="4"/>
  <c r="BH41" i="4" s="1"/>
  <c r="AD41" i="4" s="1"/>
  <c r="K39" i="4"/>
  <c r="BD39" i="4"/>
  <c r="BD41" i="4"/>
  <c r="AT33" i="4"/>
  <c r="BJ38" i="4"/>
  <c r="AP37" i="4"/>
  <c r="BI37" i="4" s="1"/>
  <c r="AE37" i="4" s="1"/>
  <c r="AO38" i="4"/>
  <c r="BH38" i="4" s="1"/>
  <c r="AD38" i="4" s="1"/>
  <c r="BJ35" i="4"/>
  <c r="L38" i="4"/>
  <c r="AP38" i="4"/>
  <c r="BJ41" i="4"/>
  <c r="L42" i="4"/>
  <c r="M42" i="4" s="1"/>
  <c r="AP25" i="4"/>
  <c r="K25" i="4" s="1"/>
  <c r="L34" i="4"/>
  <c r="M34" i="4" s="1"/>
  <c r="AO22" i="4"/>
  <c r="J22" i="4" s="1"/>
  <c r="J21" i="4" s="1"/>
  <c r="BP24" i="4"/>
  <c r="BJ25" i="4"/>
  <c r="BU27" i="4"/>
  <c r="F43" i="3" s="1"/>
  <c r="I43" i="3" s="1"/>
  <c r="AO27" i="4"/>
  <c r="BJ27" i="4"/>
  <c r="L22" i="4"/>
  <c r="AP22" i="4"/>
  <c r="K22" i="4" s="1"/>
  <c r="K21" i="4" s="1"/>
  <c r="AO24" i="4"/>
  <c r="J24" i="4" s="1"/>
  <c r="BI20" i="4"/>
  <c r="AX20" i="4"/>
  <c r="AO16" i="4"/>
  <c r="AW16" i="4" s="1"/>
  <c r="BI18" i="4"/>
  <c r="BD19" i="4"/>
  <c r="F29" i="3"/>
  <c r="O29" i="4"/>
  <c r="BF30" i="4"/>
  <c r="BH98" i="4"/>
  <c r="AD98" i="4" s="1"/>
  <c r="AW98" i="4"/>
  <c r="J98" i="4"/>
  <c r="M99" i="4"/>
  <c r="AL99" i="4"/>
  <c r="M103" i="4"/>
  <c r="AL103" i="4"/>
  <c r="BJ32" i="4"/>
  <c r="O32" i="4"/>
  <c r="L32" i="4"/>
  <c r="K55" i="4"/>
  <c r="BI55" i="4"/>
  <c r="AC55" i="4" s="1"/>
  <c r="AX55" i="4"/>
  <c r="M56" i="4"/>
  <c r="AL56" i="4"/>
  <c r="K18" i="4"/>
  <c r="BO22" i="4"/>
  <c r="F37" i="3" s="1"/>
  <c r="I37" i="3" s="1"/>
  <c r="BJ22" i="4"/>
  <c r="O22" i="4"/>
  <c r="K49" i="4"/>
  <c r="K44" i="4"/>
  <c r="AV45" i="4"/>
  <c r="BC45" i="4"/>
  <c r="AX46" i="4"/>
  <c r="BI49" i="4"/>
  <c r="AE49" i="4" s="1"/>
  <c r="AX49" i="4"/>
  <c r="BJ52" i="4"/>
  <c r="O52" i="4"/>
  <c r="L52" i="4"/>
  <c r="BI44" i="4"/>
  <c r="AE44" i="4" s="1"/>
  <c r="AX44" i="4"/>
  <c r="BJ62" i="4"/>
  <c r="Z62" i="4" s="1"/>
  <c r="BD62" i="4"/>
  <c r="L62" i="4"/>
  <c r="AP62" i="4"/>
  <c r="AO62" i="4"/>
  <c r="BI68" i="4"/>
  <c r="AE68" i="4" s="1"/>
  <c r="K27" i="4"/>
  <c r="K26" i="4" s="1"/>
  <c r="BJ37" i="4"/>
  <c r="O37" i="4"/>
  <c r="BF37" i="4" s="1"/>
  <c r="L37" i="4"/>
  <c r="AL44" i="4"/>
  <c r="M44" i="4"/>
  <c r="O48" i="4"/>
  <c r="BD15" i="4"/>
  <c r="AP15" i="4"/>
  <c r="BI15" i="4" s="1"/>
  <c r="AO15" i="4"/>
  <c r="BH15" i="4" s="1"/>
  <c r="BJ15" i="4"/>
  <c r="BI39" i="4"/>
  <c r="AE39" i="4" s="1"/>
  <c r="AX39" i="4"/>
  <c r="L15" i="4"/>
  <c r="BM15" i="4"/>
  <c r="BH24" i="4"/>
  <c r="AL82" i="4"/>
  <c r="K19" i="4"/>
  <c r="BI19" i="4"/>
  <c r="BH68" i="4"/>
  <c r="AD68" i="4" s="1"/>
  <c r="AW68" i="4"/>
  <c r="K69" i="4"/>
  <c r="BI69" i="4"/>
  <c r="AE69" i="4" s="1"/>
  <c r="AX69" i="4"/>
  <c r="M70" i="4"/>
  <c r="AL70" i="4"/>
  <c r="BI80" i="4"/>
  <c r="AE80" i="4" s="1"/>
  <c r="AX80" i="4"/>
  <c r="K80" i="4"/>
  <c r="BH86" i="4"/>
  <c r="AD86" i="4" s="1"/>
  <c r="AW86" i="4"/>
  <c r="J86" i="4"/>
  <c r="O16" i="4"/>
  <c r="BF16" i="4" s="1"/>
  <c r="L16" i="4"/>
  <c r="M69" i="4"/>
  <c r="I27" i="3"/>
  <c r="BJ16" i="4"/>
  <c r="J16" i="4"/>
  <c r="BM16" i="4"/>
  <c r="L20" i="4"/>
  <c r="K20" i="4"/>
  <c r="J20" i="4"/>
  <c r="BN20" i="4"/>
  <c r="BJ20" i="4"/>
  <c r="BH20" i="4"/>
  <c r="AS63" i="4"/>
  <c r="BJ67" i="4"/>
  <c r="BD67" i="4"/>
  <c r="L67" i="4"/>
  <c r="AP67" i="4"/>
  <c r="AO67" i="4"/>
  <c r="BJ79" i="4"/>
  <c r="BD79" i="4"/>
  <c r="L79" i="4"/>
  <c r="AP79" i="4"/>
  <c r="AO79" i="4"/>
  <c r="O20" i="4"/>
  <c r="BF20" i="4" s="1"/>
  <c r="AX123" i="4"/>
  <c r="K123" i="4"/>
  <c r="BH93" i="4"/>
  <c r="AD93" i="4" s="1"/>
  <c r="J93" i="4"/>
  <c r="J92" i="4" s="1"/>
  <c r="AP93" i="4"/>
  <c r="AX93" i="4" s="1"/>
  <c r="BI257" i="4"/>
  <c r="AE257" i="4" s="1"/>
  <c r="AX257" i="4"/>
  <c r="K257" i="4"/>
  <c r="BD99" i="4"/>
  <c r="BJ141" i="4"/>
  <c r="BH141" i="4"/>
  <c r="AB141" i="4" s="1"/>
  <c r="AX224" i="4"/>
  <c r="K224" i="4"/>
  <c r="AO32" i="4"/>
  <c r="BH32" i="4" s="1"/>
  <c r="AD32" i="4" s="1"/>
  <c r="BJ34" i="4"/>
  <c r="AO37" i="4"/>
  <c r="BH37" i="4" s="1"/>
  <c r="AD37" i="4" s="1"/>
  <c r="BJ42" i="4"/>
  <c r="BJ47" i="4"/>
  <c r="AO52" i="4"/>
  <c r="AW52" i="4" s="1"/>
  <c r="BI57" i="4"/>
  <c r="AC57" i="4" s="1"/>
  <c r="BJ83" i="4"/>
  <c r="J85" i="4"/>
  <c r="AO89" i="4"/>
  <c r="J89" i="4" s="1"/>
  <c r="AO95" i="4"/>
  <c r="M140" i="4"/>
  <c r="AP141" i="4"/>
  <c r="BI141" i="4" s="1"/>
  <c r="AC141" i="4" s="1"/>
  <c r="BD153" i="4"/>
  <c r="L153" i="4"/>
  <c r="AP153" i="4"/>
  <c r="AO153" i="4"/>
  <c r="BF157" i="4"/>
  <c r="J174" i="4"/>
  <c r="BH174" i="4"/>
  <c r="AD174" i="4" s="1"/>
  <c r="AP52" i="4"/>
  <c r="BI52" i="4" s="1"/>
  <c r="AE52" i="4" s="1"/>
  <c r="J66" i="4"/>
  <c r="AP85" i="4"/>
  <c r="K85" i="4" s="1"/>
  <c r="L93" i="4"/>
  <c r="BD93" i="4"/>
  <c r="K107" i="4"/>
  <c r="J107" i="4"/>
  <c r="BJ172" i="4"/>
  <c r="AX172" i="4"/>
  <c r="O172" i="4"/>
  <c r="BF172" i="4" s="1"/>
  <c r="AW172" i="4"/>
  <c r="L172" i="4"/>
  <c r="BP25" i="4"/>
  <c r="AO36" i="4"/>
  <c r="BH36" i="4" s="1"/>
  <c r="AD36" i="4" s="1"/>
  <c r="BH45" i="4"/>
  <c r="AD45" i="4" s="1"/>
  <c r="BH50" i="4"/>
  <c r="AD50" i="4" s="1"/>
  <c r="BF55" i="4"/>
  <c r="K78" i="4"/>
  <c r="K101" i="4"/>
  <c r="J101" i="4"/>
  <c r="AW107" i="4"/>
  <c r="AX111" i="4"/>
  <c r="O111" i="4"/>
  <c r="BF111" i="4" s="1"/>
  <c r="L111" i="4"/>
  <c r="BH121" i="4"/>
  <c r="AD121" i="4" s="1"/>
  <c r="O121" i="4"/>
  <c r="BF121" i="4" s="1"/>
  <c r="M174" i="4"/>
  <c r="AP36" i="4"/>
  <c r="K36" i="4" s="1"/>
  <c r="BI45" i="4"/>
  <c r="AE45" i="4" s="1"/>
  <c r="BJ56" i="4"/>
  <c r="AO60" i="4"/>
  <c r="BH60" i="4" s="1"/>
  <c r="AB60" i="4" s="1"/>
  <c r="L61" i="4"/>
  <c r="AO65" i="4"/>
  <c r="BH65" i="4" s="1"/>
  <c r="AD65" i="4" s="1"/>
  <c r="L66" i="4"/>
  <c r="BJ70" i="4"/>
  <c r="AO76" i="4"/>
  <c r="AW76" i="4" s="1"/>
  <c r="L78" i="4"/>
  <c r="L85" i="4"/>
  <c r="AW85" i="4"/>
  <c r="L89" i="4"/>
  <c r="BJ99" i="4"/>
  <c r="AW101" i="4"/>
  <c r="L107" i="4"/>
  <c r="AX107" i="4"/>
  <c r="AP114" i="4"/>
  <c r="K114" i="4" s="1"/>
  <c r="BJ116" i="4"/>
  <c r="K117" i="4"/>
  <c r="BD121" i="4"/>
  <c r="AP121" i="4"/>
  <c r="AX121" i="4" s="1"/>
  <c r="AW121" i="4"/>
  <c r="K126" i="4"/>
  <c r="L141" i="4"/>
  <c r="BJ30" i="4"/>
  <c r="AO35" i="4"/>
  <c r="J35" i="4" s="1"/>
  <c r="L36" i="4"/>
  <c r="BJ40" i="4"/>
  <c r="BJ45" i="4"/>
  <c r="BJ50" i="4"/>
  <c r="K60" i="4"/>
  <c r="AP60" i="4"/>
  <c r="AX60" i="4" s="1"/>
  <c r="AP65" i="4"/>
  <c r="BI65" i="4" s="1"/>
  <c r="AE65" i="4" s="1"/>
  <c r="AP76" i="4"/>
  <c r="K76" i="4" s="1"/>
  <c r="AW78" i="4"/>
  <c r="AO84" i="4"/>
  <c r="AX89" i="4"/>
  <c r="AX95" i="4"/>
  <c r="BF98" i="4"/>
  <c r="L101" i="4"/>
  <c r="AX101" i="4"/>
  <c r="O103" i="4"/>
  <c r="BF103" i="4" s="1"/>
  <c r="AO103" i="4"/>
  <c r="AW103" i="4" s="1"/>
  <c r="BJ125" i="4"/>
  <c r="AX126" i="4"/>
  <c r="O128" i="4"/>
  <c r="BF128" i="4" s="1"/>
  <c r="L128" i="4"/>
  <c r="AX166" i="4"/>
  <c r="O166" i="4"/>
  <c r="BF166" i="4" s="1"/>
  <c r="K166" i="4"/>
  <c r="BJ166" i="4"/>
  <c r="BI166" i="4"/>
  <c r="AE166" i="4" s="1"/>
  <c r="BH166" i="4"/>
  <c r="AD166" i="4" s="1"/>
  <c r="AX199" i="4"/>
  <c r="O199" i="4"/>
  <c r="BF199" i="4" s="1"/>
  <c r="K199" i="4"/>
  <c r="BJ199" i="4"/>
  <c r="BI199" i="4"/>
  <c r="AC199" i="4" s="1"/>
  <c r="BH199" i="4"/>
  <c r="AB199" i="4" s="1"/>
  <c r="L199" i="4"/>
  <c r="AW199" i="4"/>
  <c r="J199" i="4"/>
  <c r="AL227" i="4"/>
  <c r="M227" i="4"/>
  <c r="AL34" i="4"/>
  <c r="AP35" i="4"/>
  <c r="AX35" i="4" s="1"/>
  <c r="L60" i="4"/>
  <c r="O61" i="4"/>
  <c r="BF61" i="4" s="1"/>
  <c r="AX61" i="4"/>
  <c r="L65" i="4"/>
  <c r="O66" i="4"/>
  <c r="BF66" i="4" s="1"/>
  <c r="J74" i="4"/>
  <c r="L76" i="4"/>
  <c r="O78" i="4"/>
  <c r="BF78" i="4" s="1"/>
  <c r="AP84" i="4"/>
  <c r="J88" i="4"/>
  <c r="O89" i="4"/>
  <c r="BF89" i="4" s="1"/>
  <c r="BJ93" i="4"/>
  <c r="AP103" i="4"/>
  <c r="BI103" i="4" s="1"/>
  <c r="AE103" i="4" s="1"/>
  <c r="O107" i="4"/>
  <c r="K111" i="4"/>
  <c r="AP128" i="4"/>
  <c r="AX128" i="4" s="1"/>
  <c r="AO128" i="4"/>
  <c r="O141" i="4"/>
  <c r="BF141" i="4" s="1"/>
  <c r="AP16" i="4"/>
  <c r="AX16" i="4" s="1"/>
  <c r="BJ18" i="4"/>
  <c r="BN19" i="4"/>
  <c r="AO34" i="4"/>
  <c r="BH34" i="4" s="1"/>
  <c r="AD34" i="4" s="1"/>
  <c r="L35" i="4"/>
  <c r="O36" i="4"/>
  <c r="BF36" i="4" s="1"/>
  <c r="BJ39" i="4"/>
  <c r="AO42" i="4"/>
  <c r="BH42" i="4" s="1"/>
  <c r="AD42" i="4" s="1"/>
  <c r="BJ44" i="4"/>
  <c r="AO47" i="4"/>
  <c r="BH47" i="4" s="1"/>
  <c r="AD47" i="4" s="1"/>
  <c r="BJ49" i="4"/>
  <c r="AP58" i="4"/>
  <c r="BI58" i="4" s="1"/>
  <c r="AC58" i="4" s="1"/>
  <c r="AP64" i="4"/>
  <c r="BI64" i="4" s="1"/>
  <c r="AE64" i="4" s="1"/>
  <c r="AP74" i="4"/>
  <c r="AO83" i="4"/>
  <c r="BH83" i="4" s="1"/>
  <c r="AD83" i="4" s="1"/>
  <c r="L84" i="4"/>
  <c r="BD85" i="4"/>
  <c r="AP88" i="4"/>
  <c r="AX88" i="4" s="1"/>
  <c r="BD95" i="4"/>
  <c r="O101" i="4"/>
  <c r="BF101" i="4" s="1"/>
  <c r="BI111" i="4"/>
  <c r="AE111" i="4" s="1"/>
  <c r="L114" i="4"/>
  <c r="AX114" i="4"/>
  <c r="AP116" i="4"/>
  <c r="BI116" i="4" s="1"/>
  <c r="AE116" i="4" s="1"/>
  <c r="L119" i="4"/>
  <c r="AO122" i="4"/>
  <c r="AO125" i="4"/>
  <c r="BJ128" i="4"/>
  <c r="BJ160" i="4"/>
  <c r="BD160" i="4"/>
  <c r="AL164" i="4"/>
  <c r="M164" i="4"/>
  <c r="AP212" i="4"/>
  <c r="AO212" i="4"/>
  <c r="J212" i="4" s="1"/>
  <c r="L212" i="4"/>
  <c r="BN18" i="4"/>
  <c r="AL24" i="4"/>
  <c r="AO25" i="4"/>
  <c r="BH25" i="4" s="1"/>
  <c r="BI27" i="4"/>
  <c r="AP34" i="4"/>
  <c r="BI34" i="4" s="1"/>
  <c r="AE34" i="4" s="1"/>
  <c r="AP42" i="4"/>
  <c r="BI42" i="4" s="1"/>
  <c r="AE42" i="4" s="1"/>
  <c r="AP47" i="4"/>
  <c r="BI47" i="4" s="1"/>
  <c r="AE47" i="4" s="1"/>
  <c r="AO57" i="4"/>
  <c r="BH57" i="4" s="1"/>
  <c r="AB57" i="4" s="1"/>
  <c r="L58" i="4"/>
  <c r="O60" i="4"/>
  <c r="BF60" i="4" s="1"/>
  <c r="L64" i="4"/>
  <c r="O65" i="4"/>
  <c r="BF65" i="4" s="1"/>
  <c r="AX65" i="4"/>
  <c r="BJ68" i="4"/>
  <c r="AO72" i="4"/>
  <c r="BH72" i="4" s="1"/>
  <c r="AD72" i="4" s="1"/>
  <c r="L74" i="4"/>
  <c r="O76" i="4"/>
  <c r="BF76" i="4" s="1"/>
  <c r="BJ82" i="4"/>
  <c r="AP83" i="4"/>
  <c r="BI83" i="4" s="1"/>
  <c r="AE83" i="4" s="1"/>
  <c r="L88" i="4"/>
  <c r="BI89" i="4"/>
  <c r="AE89" i="4" s="1"/>
  <c r="BF95" i="4"/>
  <c r="BD103" i="4"/>
  <c r="K106" i="4"/>
  <c r="BH107" i="4"/>
  <c r="AD107" i="4" s="1"/>
  <c r="BJ111" i="4"/>
  <c r="L116" i="4"/>
  <c r="AP119" i="4"/>
  <c r="AX119" i="4" s="1"/>
  <c r="AO119" i="4"/>
  <c r="BH119" i="4" s="1"/>
  <c r="AD119" i="4" s="1"/>
  <c r="BJ122" i="4"/>
  <c r="AP122" i="4"/>
  <c r="K122" i="4" s="1"/>
  <c r="AP125" i="4"/>
  <c r="AX134" i="4"/>
  <c r="AO138" i="4"/>
  <c r="AW138" i="4" s="1"/>
  <c r="J160" i="4"/>
  <c r="L166" i="4"/>
  <c r="AW74" i="4"/>
  <c r="O87" i="4"/>
  <c r="BF87" i="4" s="1"/>
  <c r="AW88" i="4"/>
  <c r="BJ89" i="4"/>
  <c r="BH101" i="4"/>
  <c r="AD101" i="4" s="1"/>
  <c r="AW106" i="4"/>
  <c r="O114" i="4"/>
  <c r="BF114" i="4" s="1"/>
  <c r="BJ114" i="4"/>
  <c r="L125" i="4"/>
  <c r="AX129" i="4"/>
  <c r="O129" i="4"/>
  <c r="BF129" i="4" s="1"/>
  <c r="AW129" i="4"/>
  <c r="L129" i="4"/>
  <c r="AX131" i="4"/>
  <c r="AV131" i="4" s="1"/>
  <c r="O151" i="4"/>
  <c r="BF151" i="4" s="1"/>
  <c r="BJ151" i="4"/>
  <c r="BH151" i="4"/>
  <c r="AB151" i="4" s="1"/>
  <c r="K160" i="4"/>
  <c r="AW15" i="4"/>
  <c r="K24" i="4"/>
  <c r="L25" i="4"/>
  <c r="K41" i="4"/>
  <c r="K46" i="4"/>
  <c r="AO56" i="4"/>
  <c r="L57" i="4"/>
  <c r="O58" i="4"/>
  <c r="BF58" i="4" s="1"/>
  <c r="O64" i="4"/>
  <c r="AO70" i="4"/>
  <c r="J70" i="4" s="1"/>
  <c r="L72" i="4"/>
  <c r="O74" i="4"/>
  <c r="BF74" i="4" s="1"/>
  <c r="BH78" i="4"/>
  <c r="AD78" i="4" s="1"/>
  <c r="AO82" i="4"/>
  <c r="AO87" i="4"/>
  <c r="BH87" i="4" s="1"/>
  <c r="AD87" i="4" s="1"/>
  <c r="O88" i="4"/>
  <c r="BF88" i="4" s="1"/>
  <c r="AO99" i="4"/>
  <c r="BI101" i="4"/>
  <c r="AE101" i="4" s="1"/>
  <c r="BJ107" i="4"/>
  <c r="AX113" i="4"/>
  <c r="O113" i="4"/>
  <c r="BF113" i="4" s="1"/>
  <c r="O116" i="4"/>
  <c r="BF116" i="4" s="1"/>
  <c r="M131" i="4"/>
  <c r="M130" i="4" s="1"/>
  <c r="AP151" i="4"/>
  <c r="K151" i="4" s="1"/>
  <c r="BD151" i="4"/>
  <c r="L160" i="4"/>
  <c r="AS159" i="4"/>
  <c r="O15" i="4"/>
  <c r="O34" i="4"/>
  <c r="J40" i="4"/>
  <c r="L41" i="4"/>
  <c r="O42" i="4"/>
  <c r="BF42" i="4" s="1"/>
  <c r="J45" i="4"/>
  <c r="L46" i="4"/>
  <c r="O47" i="4"/>
  <c r="BF47" i="4" s="1"/>
  <c r="J50" i="4"/>
  <c r="AP56" i="4"/>
  <c r="BI61" i="4"/>
  <c r="AP70" i="4"/>
  <c r="BI78" i="4"/>
  <c r="AE78" i="4" s="1"/>
  <c r="AP82" i="4"/>
  <c r="O83" i="4"/>
  <c r="BF83" i="4" s="1"/>
  <c r="BJ85" i="4"/>
  <c r="BJ90" i="4"/>
  <c r="BI90" i="4"/>
  <c r="AE90" i="4" s="1"/>
  <c r="AS97" i="4"/>
  <c r="AP99" i="4"/>
  <c r="AX99" i="4" s="1"/>
  <c r="BJ101" i="4"/>
  <c r="AO113" i="4"/>
  <c r="BJ115" i="4"/>
  <c r="BI115" i="4"/>
  <c r="AE115" i="4" s="1"/>
  <c r="AO115" i="4"/>
  <c r="AW115" i="4" s="1"/>
  <c r="BJ119" i="4"/>
  <c r="J129" i="4"/>
  <c r="BH129" i="4"/>
  <c r="AD129" i="4" s="1"/>
  <c r="O138" i="4"/>
  <c r="BF138" i="4" s="1"/>
  <c r="L138" i="4"/>
  <c r="J151" i="4"/>
  <c r="AO19" i="4"/>
  <c r="O25" i="4"/>
  <c r="BF25" i="4" s="1"/>
  <c r="K40" i="4"/>
  <c r="K45" i="4"/>
  <c r="AO55" i="4"/>
  <c r="O57" i="4"/>
  <c r="BF57" i="4" s="1"/>
  <c r="AO69" i="4"/>
  <c r="O72" i="4"/>
  <c r="BF72" i="4" s="1"/>
  <c r="BH88" i="4"/>
  <c r="AD88" i="4" s="1"/>
  <c r="AO90" i="4"/>
  <c r="J90" i="4" s="1"/>
  <c r="BJ103" i="4"/>
  <c r="L109" i="4"/>
  <c r="L122" i="4"/>
  <c r="K129" i="4"/>
  <c r="BI129" i="4"/>
  <c r="AE129" i="4" s="1"/>
  <c r="O136" i="4"/>
  <c r="BF136" i="4" s="1"/>
  <c r="L136" i="4"/>
  <c r="BJ140" i="4"/>
  <c r="BH140" i="4"/>
  <c r="AB140" i="4" s="1"/>
  <c r="O140" i="4"/>
  <c r="BF140" i="4" s="1"/>
  <c r="O145" i="4"/>
  <c r="BF145" i="4" s="1"/>
  <c r="L145" i="4"/>
  <c r="L151" i="4"/>
  <c r="BF160" i="4"/>
  <c r="AO18" i="4"/>
  <c r="J18" i="4" s="1"/>
  <c r="O24" i="4"/>
  <c r="L30" i="4"/>
  <c r="BH35" i="4"/>
  <c r="AD35" i="4" s="1"/>
  <c r="AO39" i="4"/>
  <c r="L40" i="4"/>
  <c r="O41" i="4"/>
  <c r="BF41" i="4" s="1"/>
  <c r="AO44" i="4"/>
  <c r="L45" i="4"/>
  <c r="L43" i="4" s="1"/>
  <c r="O46" i="4"/>
  <c r="BF46" i="4" s="1"/>
  <c r="AO49" i="4"/>
  <c r="L50" i="4"/>
  <c r="BI60" i="4"/>
  <c r="AC60" i="4" s="1"/>
  <c r="AO80" i="4"/>
  <c r="AW80" i="4" s="1"/>
  <c r="L87" i="4"/>
  <c r="BJ98" i="4"/>
  <c r="L102" i="4"/>
  <c r="L97" i="4" s="1"/>
  <c r="K102" i="4"/>
  <c r="AX102" i="4"/>
  <c r="AP109" i="4"/>
  <c r="BI109" i="4" s="1"/>
  <c r="AE109" i="4" s="1"/>
  <c r="AO109" i="4"/>
  <c r="BH109" i="4" s="1"/>
  <c r="AD109" i="4" s="1"/>
  <c r="BD109" i="4"/>
  <c r="AX120" i="4"/>
  <c r="O120" i="4"/>
  <c r="BF120" i="4" s="1"/>
  <c r="AW120" i="4"/>
  <c r="L120" i="4"/>
  <c r="O122" i="4"/>
  <c r="BF122" i="4" s="1"/>
  <c r="BJ123" i="4"/>
  <c r="BI123" i="4"/>
  <c r="AE123" i="4" s="1"/>
  <c r="BJ129" i="4"/>
  <c r="BD136" i="4"/>
  <c r="AP136" i="4"/>
  <c r="BI136" i="4" s="1"/>
  <c r="AC136" i="4" s="1"/>
  <c r="AO136" i="4"/>
  <c r="O143" i="4"/>
  <c r="L143" i="4"/>
  <c r="BJ153" i="4"/>
  <c r="AW161" i="4"/>
  <c r="O56" i="4"/>
  <c r="BF56" i="4" s="1"/>
  <c r="O70" i="4"/>
  <c r="BF70" i="4" s="1"/>
  <c r="O82" i="4"/>
  <c r="BF82" i="4" s="1"/>
  <c r="K90" i="4"/>
  <c r="O93" i="4"/>
  <c r="AW93" i="4"/>
  <c r="O99" i="4"/>
  <c r="BF99" i="4" s="1"/>
  <c r="L113" i="4"/>
  <c r="AW113" i="4"/>
  <c r="K115" i="4"/>
  <c r="BH116" i="4"/>
  <c r="AD116" i="4" s="1"/>
  <c r="J140" i="4"/>
  <c r="AW140" i="4"/>
  <c r="BD143" i="4"/>
  <c r="AP143" i="4"/>
  <c r="BI143" i="4" s="1"/>
  <c r="AC143" i="4" s="1"/>
  <c r="AO143" i="4"/>
  <c r="BH143" i="4" s="1"/>
  <c r="AB143" i="4" s="1"/>
  <c r="J145" i="4"/>
  <c r="AW174" i="4"/>
  <c r="AP210" i="4"/>
  <c r="BI210" i="4" s="1"/>
  <c r="AC210" i="4" s="1"/>
  <c r="AO210" i="4"/>
  <c r="BJ210" i="4"/>
  <c r="BD210" i="4"/>
  <c r="L210" i="4"/>
  <c r="BJ244" i="4"/>
  <c r="BD244" i="4"/>
  <c r="L244" i="4"/>
  <c r="AP244" i="4"/>
  <c r="AO244" i="4"/>
  <c r="BI245" i="4"/>
  <c r="AE245" i="4" s="1"/>
  <c r="AX245" i="4"/>
  <c r="BJ283" i="4"/>
  <c r="BH283" i="4"/>
  <c r="AB283" i="4" s="1"/>
  <c r="O283" i="4"/>
  <c r="BF283" i="4" s="1"/>
  <c r="L283" i="4"/>
  <c r="AW283" i="4"/>
  <c r="J283" i="4"/>
  <c r="AO183" i="4"/>
  <c r="J183" i="4" s="1"/>
  <c r="AO213" i="4"/>
  <c r="J213" i="4" s="1"/>
  <c r="M265" i="4"/>
  <c r="AL265" i="4"/>
  <c r="BJ213" i="4"/>
  <c r="AP213" i="4"/>
  <c r="BI213" i="4" s="1"/>
  <c r="AC213" i="4" s="1"/>
  <c r="O220" i="4"/>
  <c r="BJ243" i="4"/>
  <c r="O243" i="4"/>
  <c r="BF243" i="4" s="1"/>
  <c r="L243" i="4"/>
  <c r="K183" i="4"/>
  <c r="BJ220" i="4"/>
  <c r="BH233" i="4"/>
  <c r="AD233" i="4" s="1"/>
  <c r="AW233" i="4"/>
  <c r="BJ238" i="4"/>
  <c r="BH238" i="4"/>
  <c r="AD238" i="4" s="1"/>
  <c r="O238" i="4"/>
  <c r="AW238" i="4"/>
  <c r="L238" i="4"/>
  <c r="BD243" i="4"/>
  <c r="AP243" i="4"/>
  <c r="BI243" i="4" s="1"/>
  <c r="AE243" i="4" s="1"/>
  <c r="AO243" i="4"/>
  <c r="BH243" i="4" s="1"/>
  <c r="AD243" i="4" s="1"/>
  <c r="AT247" i="4"/>
  <c r="L183" i="4"/>
  <c r="AX190" i="4"/>
  <c r="O190" i="4"/>
  <c r="BF190" i="4" s="1"/>
  <c r="K190" i="4"/>
  <c r="AX213" i="4"/>
  <c r="L220" i="4"/>
  <c r="M224" i="4"/>
  <c r="BD238" i="4"/>
  <c r="AP238" i="4"/>
  <c r="BI238" i="4" s="1"/>
  <c r="AE238" i="4" s="1"/>
  <c r="AO170" i="4"/>
  <c r="AW170" i="4" s="1"/>
  <c r="AP178" i="4"/>
  <c r="K178" i="4" s="1"/>
  <c r="AO178" i="4"/>
  <c r="J178" i="4" s="1"/>
  <c r="L209" i="4"/>
  <c r="BH221" i="4"/>
  <c r="AD221" i="4" s="1"/>
  <c r="L221" i="4"/>
  <c r="BJ233" i="4"/>
  <c r="BD233" i="4"/>
  <c r="J238" i="4"/>
  <c r="J237" i="4" s="1"/>
  <c r="BI249" i="4"/>
  <c r="AE249" i="4" s="1"/>
  <c r="BD257" i="4"/>
  <c r="L257" i="4"/>
  <c r="AP170" i="4"/>
  <c r="K170" i="4" s="1"/>
  <c r="L178" i="4"/>
  <c r="BH183" i="4"/>
  <c r="AD183" i="4" s="1"/>
  <c r="L197" i="4"/>
  <c r="L213" i="4"/>
  <c r="M215" i="4"/>
  <c r="BJ218" i="4"/>
  <c r="AW218" i="4"/>
  <c r="BJ221" i="4"/>
  <c r="BJ232" i="4"/>
  <c r="BH232" i="4"/>
  <c r="AD232" i="4" s="1"/>
  <c r="O232" i="4"/>
  <c r="BF232" i="4" s="1"/>
  <c r="AW232" i="4"/>
  <c r="L232" i="4"/>
  <c r="J233" i="4"/>
  <c r="K164" i="4"/>
  <c r="AX164" i="4"/>
  <c r="AX182" i="4"/>
  <c r="O182" i="4"/>
  <c r="BF182" i="4" s="1"/>
  <c r="K182" i="4"/>
  <c r="AO182" i="4"/>
  <c r="BH182" i="4" s="1"/>
  <c r="AD182" i="4" s="1"/>
  <c r="BI183" i="4"/>
  <c r="AE183" i="4" s="1"/>
  <c r="L190" i="4"/>
  <c r="BD190" i="4"/>
  <c r="AO200" i="4"/>
  <c r="AW200" i="4" s="1"/>
  <c r="AO204" i="4"/>
  <c r="J204" i="4" s="1"/>
  <c r="O213" i="4"/>
  <c r="BF213" i="4" s="1"/>
  <c r="AP218" i="4"/>
  <c r="K218" i="4" s="1"/>
  <c r="K217" i="4" s="1"/>
  <c r="BD222" i="4"/>
  <c r="BD232" i="4"/>
  <c r="AP232" i="4"/>
  <c r="K232" i="4" s="1"/>
  <c r="K233" i="4"/>
  <c r="BD249" i="4"/>
  <c r="L249" i="4"/>
  <c r="AO149" i="4"/>
  <c r="J162" i="4"/>
  <c r="L170" i="4"/>
  <c r="O178" i="4"/>
  <c r="BF178" i="4" s="1"/>
  <c r="BD178" i="4"/>
  <c r="BJ183" i="4"/>
  <c r="AP204" i="4"/>
  <c r="BI204" i="4" s="1"/>
  <c r="O221" i="4"/>
  <c r="BF221" i="4" s="1"/>
  <c r="BJ222" i="4"/>
  <c r="BI222" i="4"/>
  <c r="AE222" i="4" s="1"/>
  <c r="AX222" i="4"/>
  <c r="O222" i="4"/>
  <c r="BF222" i="4" s="1"/>
  <c r="K222" i="4"/>
  <c r="J232" i="4"/>
  <c r="L233" i="4"/>
  <c r="AL271" i="4"/>
  <c r="M271" i="4"/>
  <c r="AP162" i="4"/>
  <c r="BI162" i="4" s="1"/>
  <c r="AE162" i="4" s="1"/>
  <c r="O164" i="4"/>
  <c r="BF164" i="4" s="1"/>
  <c r="AX170" i="4"/>
  <c r="AT202" i="4"/>
  <c r="L204" i="4"/>
  <c r="O209" i="4"/>
  <c r="BF209" i="4" s="1"/>
  <c r="AO214" i="4"/>
  <c r="BH214" i="4" s="1"/>
  <c r="AB214" i="4" s="1"/>
  <c r="BJ223" i="4"/>
  <c r="AW252" i="4"/>
  <c r="J252" i="4"/>
  <c r="BJ252" i="4"/>
  <c r="BH252" i="4"/>
  <c r="AD252" i="4" s="1"/>
  <c r="O252" i="4"/>
  <c r="BF252" i="4" s="1"/>
  <c r="L252" i="4"/>
  <c r="O307" i="4"/>
  <c r="BF308" i="4"/>
  <c r="K134" i="4"/>
  <c r="K149" i="4"/>
  <c r="AO168" i="4"/>
  <c r="BH168" i="4" s="1"/>
  <c r="AD168" i="4" s="1"/>
  <c r="O170" i="4"/>
  <c r="BF170" i="4" s="1"/>
  <c r="K176" i="4"/>
  <c r="L182" i="4"/>
  <c r="BD182" i="4"/>
  <c r="BI185" i="4"/>
  <c r="AE185" i="4" s="1"/>
  <c r="BH185" i="4"/>
  <c r="AD185" i="4" s="1"/>
  <c r="BI190" i="4"/>
  <c r="AC190" i="4" s="1"/>
  <c r="O197" i="4"/>
  <c r="BF197" i="4" s="1"/>
  <c r="AX200" i="4"/>
  <c r="BR203" i="4"/>
  <c r="AX203" i="4"/>
  <c r="O203" i="4"/>
  <c r="AW204" i="4"/>
  <c r="AP214" i="4"/>
  <c r="BI214" i="4" s="1"/>
  <c r="AC214" i="4" s="1"/>
  <c r="L218" i="4"/>
  <c r="AP223" i="4"/>
  <c r="AX226" i="4"/>
  <c r="BJ248" i="4"/>
  <c r="O248" i="4"/>
  <c r="L248" i="4"/>
  <c r="L134" i="4"/>
  <c r="AO147" i="4"/>
  <c r="BH147" i="4" s="1"/>
  <c r="AB147" i="4" s="1"/>
  <c r="L149" i="4"/>
  <c r="AX149" i="4"/>
  <c r="AO155" i="4"/>
  <c r="AW155" i="4" s="1"/>
  <c r="L162" i="4"/>
  <c r="AW162" i="4"/>
  <c r="AP168" i="4"/>
  <c r="BI168" i="4" s="1"/>
  <c r="AE168" i="4" s="1"/>
  <c r="AW188" i="4"/>
  <c r="L188" i="4"/>
  <c r="BJ190" i="4"/>
  <c r="AL192" i="4"/>
  <c r="AO203" i="4"/>
  <c r="BH203" i="4" s="1"/>
  <c r="O204" i="4"/>
  <c r="BF204" i="4" s="1"/>
  <c r="L211" i="4"/>
  <c r="O218" i="4"/>
  <c r="L222" i="4"/>
  <c r="BJ231" i="4"/>
  <c r="O231" i="4"/>
  <c r="BF231" i="4" s="1"/>
  <c r="L231" i="4"/>
  <c r="BD248" i="4"/>
  <c r="AP248" i="4"/>
  <c r="K248" i="4" s="1"/>
  <c r="AO248" i="4"/>
  <c r="J248" i="4" s="1"/>
  <c r="BF260" i="4"/>
  <c r="AL305" i="4"/>
  <c r="M305" i="4"/>
  <c r="J118" i="4"/>
  <c r="J127" i="4"/>
  <c r="K147" i="4"/>
  <c r="K155" i="4"/>
  <c r="K154" i="4" s="1"/>
  <c r="BI164" i="4"/>
  <c r="AE164" i="4" s="1"/>
  <c r="M176" i="4"/>
  <c r="BJ178" i="4"/>
  <c r="AO192" i="4"/>
  <c r="AW192" i="4" s="1"/>
  <c r="L200" i="4"/>
  <c r="BJ209" i="4"/>
  <c r="O211" i="4"/>
  <c r="BF211" i="4" s="1"/>
  <c r="BJ211" i="4"/>
  <c r="L214" i="4"/>
  <c r="L216" i="4"/>
  <c r="M234" i="4"/>
  <c r="K324" i="4"/>
  <c r="AX324" i="4"/>
  <c r="O134" i="4"/>
  <c r="L147" i="4"/>
  <c r="L155" i="4"/>
  <c r="AT159" i="4"/>
  <c r="O162" i="4"/>
  <c r="BF162" i="4" s="1"/>
  <c r="BJ164" i="4"/>
  <c r="L168" i="4"/>
  <c r="BJ170" i="4"/>
  <c r="BI182" i="4"/>
  <c r="AE182" i="4" s="1"/>
  <c r="K185" i="4"/>
  <c r="AP192" i="4"/>
  <c r="AP195" i="4"/>
  <c r="AO195" i="4"/>
  <c r="BJ197" i="4"/>
  <c r="O200" i="4"/>
  <c r="BF200" i="4" s="1"/>
  <c r="K203" i="4"/>
  <c r="AP208" i="4"/>
  <c r="AX208" i="4" s="1"/>
  <c r="AO208" i="4"/>
  <c r="AP216" i="4"/>
  <c r="AX216" i="4" s="1"/>
  <c r="AO216" i="4"/>
  <c r="J216" i="4" s="1"/>
  <c r="L223" i="4"/>
  <c r="BI160" i="4"/>
  <c r="AE160" i="4" s="1"/>
  <c r="BD162" i="4"/>
  <c r="O168" i="4"/>
  <c r="BF168" i="4" s="1"/>
  <c r="L180" i="4"/>
  <c r="BJ182" i="4"/>
  <c r="L185" i="4"/>
  <c r="AX185" i="4"/>
  <c r="BJ200" i="4"/>
  <c r="L203" i="4"/>
  <c r="AX210" i="4"/>
  <c r="O210" i="4"/>
  <c r="BF210" i="4" s="1"/>
  <c r="BJ212" i="4"/>
  <c r="O212" i="4"/>
  <c r="BF212" i="4" s="1"/>
  <c r="BD216" i="4"/>
  <c r="O223" i="4"/>
  <c r="BF223" i="4" s="1"/>
  <c r="BD301" i="4"/>
  <c r="AP301" i="4"/>
  <c r="AX301" i="4" s="1"/>
  <c r="M302" i="4"/>
  <c r="AL302" i="4"/>
  <c r="AW304" i="4"/>
  <c r="AL365" i="4"/>
  <c r="AP283" i="4"/>
  <c r="BI283" i="4" s="1"/>
  <c r="AC283" i="4" s="1"/>
  <c r="O300" i="4"/>
  <c r="BF300" i="4" s="1"/>
  <c r="L300" i="4"/>
  <c r="AL304" i="4"/>
  <c r="M304" i="4"/>
  <c r="AT317" i="4"/>
  <c r="BH261" i="4"/>
  <c r="AD261" i="4" s="1"/>
  <c r="BJ270" i="4"/>
  <c r="AL270" i="4"/>
  <c r="K273" i="4"/>
  <c r="AW315" i="4"/>
  <c r="L315" i="4"/>
  <c r="BJ315" i="4"/>
  <c r="BH315" i="4"/>
  <c r="AD315" i="4" s="1"/>
  <c r="O315" i="4"/>
  <c r="BF315" i="4" s="1"/>
  <c r="J315" i="4"/>
  <c r="AP261" i="4"/>
  <c r="K261" i="4" s="1"/>
  <c r="AO268" i="4"/>
  <c r="J268" i="4" s="1"/>
  <c r="AO270" i="4"/>
  <c r="AX277" i="4"/>
  <c r="K285" i="4"/>
  <c r="AW285" i="4"/>
  <c r="BH389" i="4"/>
  <c r="AD389" i="4" s="1"/>
  <c r="AW389" i="4"/>
  <c r="J389" i="4"/>
  <c r="AL427" i="4"/>
  <c r="M427" i="4"/>
  <c r="AO231" i="4"/>
  <c r="BH231" i="4" s="1"/>
  <c r="AD231" i="4" s="1"/>
  <c r="AO242" i="4"/>
  <c r="AW242" i="4" s="1"/>
  <c r="AP268" i="4"/>
  <c r="AL273" i="4"/>
  <c r="AX280" i="4"/>
  <c r="AX285" i="4"/>
  <c r="BD312" i="4"/>
  <c r="AP312" i="4"/>
  <c r="K312" i="4" s="1"/>
  <c r="BI227" i="4"/>
  <c r="AE227" i="4" s="1"/>
  <c r="AP231" i="4"/>
  <c r="BI231" i="4" s="1"/>
  <c r="AE231" i="4" s="1"/>
  <c r="BI236" i="4"/>
  <c r="AE236" i="4" s="1"/>
  <c r="AP242" i="4"/>
  <c r="AX242" i="4" s="1"/>
  <c r="BI246" i="4"/>
  <c r="AE246" i="4" s="1"/>
  <c r="K251" i="4"/>
  <c r="BD252" i="4"/>
  <c r="AX254" i="4"/>
  <c r="O254" i="4"/>
  <c r="BF254" i="4" s="1"/>
  <c r="K254" i="4"/>
  <c r="AO254" i="4"/>
  <c r="AW254" i="4" s="1"/>
  <c r="AO256" i="4"/>
  <c r="BH256" i="4" s="1"/>
  <c r="AD256" i="4" s="1"/>
  <c r="BI262" i="4"/>
  <c r="AE262" i="4" s="1"/>
  <c r="AX264" i="4"/>
  <c r="L266" i="4"/>
  <c r="O273" i="4"/>
  <c r="BF273" i="4" s="1"/>
  <c r="BD280" i="4"/>
  <c r="AO280" i="4"/>
  <c r="BI280" i="4"/>
  <c r="AC280" i="4" s="1"/>
  <c r="K310" i="4"/>
  <c r="L242" i="4"/>
  <c r="AO251" i="4"/>
  <c r="AP256" i="4"/>
  <c r="BI256" i="4" s="1"/>
  <c r="AE256" i="4" s="1"/>
  <c r="L261" i="4"/>
  <c r="M298" i="4"/>
  <c r="AL298" i="4"/>
  <c r="BD324" i="4"/>
  <c r="AO324" i="4"/>
  <c r="BH324" i="4" s="1"/>
  <c r="AD324" i="4" s="1"/>
  <c r="K230" i="4"/>
  <c r="AP241" i="4"/>
  <c r="BI241" i="4" s="1"/>
  <c r="AE241" i="4" s="1"/>
  <c r="BI263" i="4"/>
  <c r="AE263" i="4" s="1"/>
  <c r="J266" i="4"/>
  <c r="L268" i="4"/>
  <c r="K272" i="4"/>
  <c r="BJ273" i="4"/>
  <c r="L324" i="4"/>
  <c r="BH330" i="4"/>
  <c r="AD330" i="4" s="1"/>
  <c r="AW330" i="4"/>
  <c r="J330" i="4"/>
  <c r="AO220" i="4"/>
  <c r="AW220" i="4" s="1"/>
  <c r="J229" i="4"/>
  <c r="L230" i="4"/>
  <c r="J240" i="4"/>
  <c r="L241" i="4"/>
  <c r="O242" i="4"/>
  <c r="BF242" i="4" s="1"/>
  <c r="L251" i="4"/>
  <c r="L254" i="4"/>
  <c r="BD254" i="4"/>
  <c r="O261" i="4"/>
  <c r="BF261" i="4" s="1"/>
  <c r="O268" i="4"/>
  <c r="BF268" i="4" s="1"/>
  <c r="BJ268" i="4"/>
  <c r="O270" i="4"/>
  <c r="BF270" i="4" s="1"/>
  <c r="AX281" i="4"/>
  <c r="O281" i="4"/>
  <c r="BF281" i="4" s="1"/>
  <c r="L281" i="4"/>
  <c r="BJ284" i="4"/>
  <c r="BD284" i="4"/>
  <c r="AO284" i="4"/>
  <c r="AP220" i="4"/>
  <c r="AX220" i="4" s="1"/>
  <c r="AP229" i="4"/>
  <c r="BI229" i="4" s="1"/>
  <c r="AE229" i="4" s="1"/>
  <c r="AW230" i="4"/>
  <c r="AP240" i="4"/>
  <c r="BI240" i="4" s="1"/>
  <c r="AE240" i="4" s="1"/>
  <c r="AW241" i="4"/>
  <c r="AX251" i="4"/>
  <c r="BH254" i="4"/>
  <c r="AD254" i="4" s="1"/>
  <c r="L256" i="4"/>
  <c r="BJ261" i="4"/>
  <c r="J263" i="4"/>
  <c r="O266" i="4"/>
  <c r="BF266" i="4" s="1"/>
  <c r="BH266" i="4"/>
  <c r="AD266" i="4" s="1"/>
  <c r="AW272" i="4"/>
  <c r="L274" i="4"/>
  <c r="K274" i="4"/>
  <c r="AX274" i="4"/>
  <c r="L276" i="4"/>
  <c r="BD281" i="4"/>
  <c r="AO281" i="4"/>
  <c r="BH281" i="4" s="1"/>
  <c r="AB281" i="4" s="1"/>
  <c r="BI281" i="4"/>
  <c r="AC281" i="4" s="1"/>
  <c r="AP284" i="4"/>
  <c r="AX372" i="4"/>
  <c r="L229" i="4"/>
  <c r="O230" i="4"/>
  <c r="BF230" i="4" s="1"/>
  <c r="AX230" i="4"/>
  <c r="L240" i="4"/>
  <c r="O241" i="4"/>
  <c r="BF241" i="4" s="1"/>
  <c r="AX241" i="4"/>
  <c r="BI250" i="4"/>
  <c r="AE250" i="4" s="1"/>
  <c r="BI258" i="4"/>
  <c r="AE258" i="4" s="1"/>
  <c r="AO260" i="4"/>
  <c r="BH260" i="4" s="1"/>
  <c r="AD260" i="4" s="1"/>
  <c r="K263" i="4"/>
  <c r="AW263" i="4"/>
  <c r="BI266" i="4"/>
  <c r="AE266" i="4" s="1"/>
  <c r="BI269" i="4"/>
  <c r="AE269" i="4" s="1"/>
  <c r="AO269" i="4"/>
  <c r="K281" i="4"/>
  <c r="BJ281" i="4"/>
  <c r="AO301" i="4"/>
  <c r="J301" i="4" s="1"/>
  <c r="AX332" i="4"/>
  <c r="AW229" i="4"/>
  <c r="AW240" i="4"/>
  <c r="BD251" i="4"/>
  <c r="BJ254" i="4"/>
  <c r="AP260" i="4"/>
  <c r="K260" i="4" s="1"/>
  <c r="AX263" i="4"/>
  <c r="BJ266" i="4"/>
  <c r="O276" i="4"/>
  <c r="L284" i="4"/>
  <c r="BJ293" i="4"/>
  <c r="O293" i="4"/>
  <c r="BF293" i="4" s="1"/>
  <c r="BF330" i="4"/>
  <c r="AO227" i="4"/>
  <c r="BH227" i="4" s="1"/>
  <c r="AD227" i="4" s="1"/>
  <c r="L228" i="4"/>
  <c r="O229" i="4"/>
  <c r="BF229" i="4" s="1"/>
  <c r="AO236" i="4"/>
  <c r="AW236" i="4" s="1"/>
  <c r="O240" i="4"/>
  <c r="AO246" i="4"/>
  <c r="J250" i="4"/>
  <c r="BJ256" i="4"/>
  <c r="J258" i="4"/>
  <c r="AO267" i="4"/>
  <c r="AW267" i="4" s="1"/>
  <c r="BI271" i="4"/>
  <c r="AE271" i="4" s="1"/>
  <c r="O274" i="4"/>
  <c r="BF274" i="4" s="1"/>
  <c r="BJ282" i="4"/>
  <c r="BH282" i="4"/>
  <c r="AB282" i="4" s="1"/>
  <c r="AX282" i="4"/>
  <c r="O282" i="4"/>
  <c r="BF282" i="4" s="1"/>
  <c r="L282" i="4"/>
  <c r="AW282" i="4"/>
  <c r="BH295" i="4"/>
  <c r="AD295" i="4" s="1"/>
  <c r="AW295" i="4"/>
  <c r="BJ300" i="4"/>
  <c r="BJ302" i="4"/>
  <c r="O302" i="4"/>
  <c r="BF302" i="4" s="1"/>
  <c r="K227" i="4"/>
  <c r="K236" i="4"/>
  <c r="K246" i="4"/>
  <c r="K250" i="4"/>
  <c r="AW250" i="4"/>
  <c r="J253" i="4"/>
  <c r="AW253" i="4"/>
  <c r="AO255" i="4"/>
  <c r="AW255" i="4" s="1"/>
  <c r="K258" i="4"/>
  <c r="AW258" i="4"/>
  <c r="AX260" i="4"/>
  <c r="O263" i="4"/>
  <c r="BF263" i="4" s="1"/>
  <c r="AX267" i="4"/>
  <c r="O267" i="4"/>
  <c r="BF267" i="4" s="1"/>
  <c r="K267" i="4"/>
  <c r="K269" i="4"/>
  <c r="AL296" i="4"/>
  <c r="M296" i="4"/>
  <c r="AO312" i="4"/>
  <c r="BI340" i="4"/>
  <c r="AE340" i="4" s="1"/>
  <c r="AX340" i="4"/>
  <c r="O228" i="4"/>
  <c r="BF228" i="4" s="1"/>
  <c r="BJ249" i="4"/>
  <c r="L250" i="4"/>
  <c r="AX250" i="4"/>
  <c r="AX253" i="4"/>
  <c r="AP255" i="4"/>
  <c r="BJ257" i="4"/>
  <c r="L258" i="4"/>
  <c r="AX258" i="4"/>
  <c r="L260" i="4"/>
  <c r="K262" i="4"/>
  <c r="AP265" i="4"/>
  <c r="BI265" i="4" s="1"/>
  <c r="AE265" i="4" s="1"/>
  <c r="AO265" i="4"/>
  <c r="BH265" i="4" s="1"/>
  <c r="AD265" i="4" s="1"/>
  <c r="BD267" i="4"/>
  <c r="L269" i="4"/>
  <c r="AX269" i="4"/>
  <c r="BJ276" i="4"/>
  <c r="BD292" i="4"/>
  <c r="AP292" i="4"/>
  <c r="L293" i="4"/>
  <c r="AL295" i="4"/>
  <c r="M295" i="4"/>
  <c r="BJ301" i="4"/>
  <c r="K302" i="4"/>
  <c r="BF346" i="4"/>
  <c r="BJ324" i="4"/>
  <c r="BI324" i="4"/>
  <c r="AE324" i="4" s="1"/>
  <c r="K340" i="4"/>
  <c r="K356" i="4"/>
  <c r="BI356" i="4"/>
  <c r="AC356" i="4" s="1"/>
  <c r="BI361" i="4"/>
  <c r="AX361" i="4"/>
  <c r="M379" i="4"/>
  <c r="AL379" i="4"/>
  <c r="AP294" i="4"/>
  <c r="K319" i="4"/>
  <c r="AX321" i="4"/>
  <c r="O321" i="4"/>
  <c r="BF321" i="4" s="1"/>
  <c r="AW321" i="4"/>
  <c r="L321" i="4"/>
  <c r="K321" i="4"/>
  <c r="BH321" i="4"/>
  <c r="AD321" i="4" s="1"/>
  <c r="AX366" i="4"/>
  <c r="BJ288" i="4"/>
  <c r="Z288" i="4" s="1"/>
  <c r="AX290" i="4"/>
  <c r="BC290" i="4" s="1"/>
  <c r="AO293" i="4"/>
  <c r="BH293" i="4" s="1"/>
  <c r="AD293" i="4" s="1"/>
  <c r="L294" i="4"/>
  <c r="AX295" i="4"/>
  <c r="BJ299" i="4"/>
  <c r="AO302" i="4"/>
  <c r="BH302" i="4" s="1"/>
  <c r="AD302" i="4" s="1"/>
  <c r="L303" i="4"/>
  <c r="M310" i="4"/>
  <c r="AX319" i="4"/>
  <c r="BI321" i="4"/>
  <c r="AE321" i="4" s="1"/>
  <c r="K332" i="4"/>
  <c r="AX334" i="4"/>
  <c r="K366" i="4"/>
  <c r="BI366" i="4"/>
  <c r="AE366" i="4" s="1"/>
  <c r="L328" i="4"/>
  <c r="K328" i="4"/>
  <c r="BJ337" i="4"/>
  <c r="BH337" i="4"/>
  <c r="AD337" i="4" s="1"/>
  <c r="O337" i="4"/>
  <c r="BF337" i="4" s="1"/>
  <c r="L337" i="4"/>
  <c r="BJ338" i="4"/>
  <c r="BI338" i="4"/>
  <c r="AE338" i="4" s="1"/>
  <c r="BH338" i="4"/>
  <c r="AD338" i="4" s="1"/>
  <c r="AX338" i="4"/>
  <c r="O338" i="4"/>
  <c r="BF338" i="4" s="1"/>
  <c r="M476" i="4"/>
  <c r="BF290" i="4"/>
  <c r="O322" i="4"/>
  <c r="BF322" i="4" s="1"/>
  <c r="AW322" i="4"/>
  <c r="O324" i="4"/>
  <c r="BF324" i="4" s="1"/>
  <c r="O335" i="4"/>
  <c r="BF335" i="4" s="1"/>
  <c r="L335" i="4"/>
  <c r="BD337" i="4"/>
  <c r="AP337" i="4"/>
  <c r="BI337" i="4" s="1"/>
  <c r="AE337" i="4" s="1"/>
  <c r="AL387" i="4"/>
  <c r="M387" i="4"/>
  <c r="L292" i="4"/>
  <c r="BD294" i="4"/>
  <c r="AO300" i="4"/>
  <c r="J300" i="4" s="1"/>
  <c r="L301" i="4"/>
  <c r="BD303" i="4"/>
  <c r="BJ311" i="4"/>
  <c r="L312" i="4"/>
  <c r="BD322" i="4"/>
  <c r="AP322" i="4"/>
  <c r="BI322" i="4" s="1"/>
  <c r="AE322" i="4" s="1"/>
  <c r="BH322" i="4"/>
  <c r="AD322" i="4" s="1"/>
  <c r="BJ325" i="4"/>
  <c r="O328" i="4"/>
  <c r="BF328" i="4" s="1"/>
  <c r="BD335" i="4"/>
  <c r="AP335" i="4"/>
  <c r="BI335" i="4" s="1"/>
  <c r="AE335" i="4" s="1"/>
  <c r="AO335" i="4"/>
  <c r="BH335" i="4" s="1"/>
  <c r="AD335" i="4" s="1"/>
  <c r="AX336" i="4"/>
  <c r="O336" i="4"/>
  <c r="BF336" i="4" s="1"/>
  <c r="L336" i="4"/>
  <c r="J337" i="4"/>
  <c r="J338" i="4"/>
  <c r="BD360" i="4"/>
  <c r="AP360" i="4"/>
  <c r="AX360" i="4" s="1"/>
  <c r="AO360" i="4"/>
  <c r="AS364" i="4"/>
  <c r="AW292" i="4"/>
  <c r="AO325" i="4"/>
  <c r="K338" i="4"/>
  <c r="BI353" i="4"/>
  <c r="AC353" i="4" s="1"/>
  <c r="AX353" i="4"/>
  <c r="AS352" i="4"/>
  <c r="K373" i="4"/>
  <c r="BI373" i="4"/>
  <c r="AE373" i="4" s="1"/>
  <c r="AX373" i="4"/>
  <c r="BJ285" i="4"/>
  <c r="AO288" i="4"/>
  <c r="BH288" i="4" s="1"/>
  <c r="BJ290" i="4"/>
  <c r="O292" i="4"/>
  <c r="BJ295" i="4"/>
  <c r="AO299" i="4"/>
  <c r="BH299" i="4" s="1"/>
  <c r="AD299" i="4" s="1"/>
  <c r="O301" i="4"/>
  <c r="BF301" i="4" s="1"/>
  <c r="BJ304" i="4"/>
  <c r="O306" i="4"/>
  <c r="BF306" i="4" s="1"/>
  <c r="AO311" i="4"/>
  <c r="BH311" i="4" s="1"/>
  <c r="AD311" i="4" s="1"/>
  <c r="O312" i="4"/>
  <c r="BF312" i="4" s="1"/>
  <c r="J318" i="4"/>
  <c r="L322" i="4"/>
  <c r="BJ322" i="4"/>
  <c r="AP325" i="4"/>
  <c r="K325" i="4" s="1"/>
  <c r="BI328" i="4"/>
  <c r="AE328" i="4" s="1"/>
  <c r="L338" i="4"/>
  <c r="BD371" i="4"/>
  <c r="AP371" i="4"/>
  <c r="K371" i="4" s="1"/>
  <c r="AO371" i="4"/>
  <c r="J371" i="4" s="1"/>
  <c r="AP288" i="4"/>
  <c r="AP299" i="4"/>
  <c r="AO306" i="4"/>
  <c r="AP311" i="4"/>
  <c r="BJ328" i="4"/>
  <c r="L349" i="4"/>
  <c r="L348" i="4" s="1"/>
  <c r="L280" i="4"/>
  <c r="AO287" i="4"/>
  <c r="L288" i="4"/>
  <c r="AO298" i="4"/>
  <c r="L299" i="4"/>
  <c r="AP306" i="4"/>
  <c r="BI306" i="4" s="1"/>
  <c r="AE306" i="4" s="1"/>
  <c r="L311" i="4"/>
  <c r="K314" i="4"/>
  <c r="AX318" i="4"/>
  <c r="AV318" i="4" s="1"/>
  <c r="L320" i="4"/>
  <c r="J320" i="4"/>
  <c r="AW323" i="4"/>
  <c r="L325" i="4"/>
  <c r="L353" i="4"/>
  <c r="AO353" i="4"/>
  <c r="AO273" i="4"/>
  <c r="AW273" i="4" s="1"/>
  <c r="AP287" i="4"/>
  <c r="AP298" i="4"/>
  <c r="BI298" i="4" s="1"/>
  <c r="AE298" i="4" s="1"/>
  <c r="K306" i="4"/>
  <c r="AX314" i="4"/>
  <c r="AX316" i="4"/>
  <c r="O316" i="4"/>
  <c r="BF316" i="4" s="1"/>
  <c r="K316" i="4"/>
  <c r="K327" i="4"/>
  <c r="AX342" i="4"/>
  <c r="K353" i="4"/>
  <c r="O280" i="4"/>
  <c r="J286" i="4"/>
  <c r="O288" i="4"/>
  <c r="BF288" i="4" s="1"/>
  <c r="BH292" i="4"/>
  <c r="AD292" i="4" s="1"/>
  <c r="O299" i="4"/>
  <c r="BF299" i="4" s="1"/>
  <c r="J305" i="4"/>
  <c r="L306" i="4"/>
  <c r="AL310" i="4"/>
  <c r="O311" i="4"/>
  <c r="BF311" i="4" s="1"/>
  <c r="AX311" i="4"/>
  <c r="BJ312" i="4"/>
  <c r="L314" i="4"/>
  <c r="O320" i="4"/>
  <c r="O325" i="4"/>
  <c r="BF325" i="4" s="1"/>
  <c r="AT329" i="4"/>
  <c r="AS329" i="4"/>
  <c r="O352" i="4"/>
  <c r="BI310" i="4"/>
  <c r="AE310" i="4" s="1"/>
  <c r="BJ330" i="4"/>
  <c r="BI330" i="4"/>
  <c r="AE330" i="4" s="1"/>
  <c r="BD343" i="4"/>
  <c r="AP343" i="4"/>
  <c r="BI343" i="4" s="1"/>
  <c r="AE343" i="4" s="1"/>
  <c r="AO343" i="4"/>
  <c r="O287" i="4"/>
  <c r="BF287" i="4" s="1"/>
  <c r="O298" i="4"/>
  <c r="BF298" i="4" s="1"/>
  <c r="O314" i="4"/>
  <c r="BF314" i="4" s="1"/>
  <c r="L316" i="4"/>
  <c r="BI316" i="4"/>
  <c r="AE316" i="4" s="1"/>
  <c r="L323" i="4"/>
  <c r="K355" i="4"/>
  <c r="BI355" i="4"/>
  <c r="AC355" i="4" s="1"/>
  <c r="AX355" i="4"/>
  <c r="AX356" i="4"/>
  <c r="M393" i="4"/>
  <c r="AL393" i="4"/>
  <c r="AO361" i="4"/>
  <c r="M381" i="4"/>
  <c r="M380" i="4" s="1"/>
  <c r="AL381" i="4"/>
  <c r="AU380" i="4" s="1"/>
  <c r="O391" i="4"/>
  <c r="AW391" i="4"/>
  <c r="BD414" i="4"/>
  <c r="L414" i="4"/>
  <c r="AP414" i="4"/>
  <c r="AX414" i="4" s="1"/>
  <c r="AO414" i="4"/>
  <c r="AW414" i="4" s="1"/>
  <c r="BJ414" i="4"/>
  <c r="BJ357" i="4"/>
  <c r="L361" i="4"/>
  <c r="O376" i="4"/>
  <c r="BF376" i="4" s="1"/>
  <c r="AW376" i="4"/>
  <c r="AP376" i="4"/>
  <c r="AX376" i="4" s="1"/>
  <c r="J391" i="4"/>
  <c r="BJ394" i="4"/>
  <c r="AO394" i="4"/>
  <c r="J394" i="4" s="1"/>
  <c r="O400" i="4"/>
  <c r="BF400" i="4" s="1"/>
  <c r="BF365" i="4"/>
  <c r="AW372" i="4"/>
  <c r="BI378" i="4"/>
  <c r="AE378" i="4" s="1"/>
  <c r="AP394" i="4"/>
  <c r="K394" i="4" s="1"/>
  <c r="O404" i="4"/>
  <c r="BF404" i="4" s="1"/>
  <c r="AW404" i="4"/>
  <c r="L404" i="4"/>
  <c r="BJ404" i="4"/>
  <c r="BH404" i="4"/>
  <c r="AD404" i="4" s="1"/>
  <c r="AP466" i="4"/>
  <c r="K466" i="4" s="1"/>
  <c r="BD466" i="4"/>
  <c r="AO466" i="4"/>
  <c r="J466" i="4" s="1"/>
  <c r="AO350" i="4"/>
  <c r="AW350" i="4" s="1"/>
  <c r="AO359" i="4"/>
  <c r="AW359" i="4" s="1"/>
  <c r="L360" i="4"/>
  <c r="AO369" i="4"/>
  <c r="J369" i="4" s="1"/>
  <c r="L371" i="4"/>
  <c r="J376" i="4"/>
  <c r="L391" i="4"/>
  <c r="BH391" i="4"/>
  <c r="AD391" i="4" s="1"/>
  <c r="BJ400" i="4"/>
  <c r="AX410" i="4"/>
  <c r="BD430" i="4"/>
  <c r="AO430" i="4"/>
  <c r="J430" i="4" s="1"/>
  <c r="BJ456" i="4"/>
  <c r="BH456" i="4"/>
  <c r="AD456" i="4" s="1"/>
  <c r="O456" i="4"/>
  <c r="L456" i="4"/>
  <c r="AW456" i="4"/>
  <c r="J456" i="4"/>
  <c r="AO336" i="4"/>
  <c r="BH336" i="4" s="1"/>
  <c r="AD336" i="4" s="1"/>
  <c r="J344" i="4"/>
  <c r="AO344" i="4"/>
  <c r="AW344" i="4" s="1"/>
  <c r="AP350" i="4"/>
  <c r="BI350" i="4" s="1"/>
  <c r="AP359" i="4"/>
  <c r="BI359" i="4" s="1"/>
  <c r="AC359" i="4" s="1"/>
  <c r="AP369" i="4"/>
  <c r="AX369" i="4" s="1"/>
  <c r="K376" i="4"/>
  <c r="AX378" i="4"/>
  <c r="K384" i="4"/>
  <c r="L400" i="4"/>
  <c r="J404" i="4"/>
  <c r="BH405" i="4"/>
  <c r="AD405" i="4" s="1"/>
  <c r="K410" i="4"/>
  <c r="AL445" i="4"/>
  <c r="M445" i="4"/>
  <c r="AO358" i="4"/>
  <c r="BH358" i="4" s="1"/>
  <c r="AB358" i="4" s="1"/>
  <c r="L359" i="4"/>
  <c r="O360" i="4"/>
  <c r="BF360" i="4" s="1"/>
  <c r="AO363" i="4"/>
  <c r="BH363" i="4" s="1"/>
  <c r="AD363" i="4" s="1"/>
  <c r="AO368" i="4"/>
  <c r="J368" i="4" s="1"/>
  <c r="L369" i="4"/>
  <c r="O371" i="4"/>
  <c r="BF371" i="4" s="1"/>
  <c r="L375" i="4"/>
  <c r="L376" i="4"/>
  <c r="BH376" i="4"/>
  <c r="AD376" i="4" s="1"/>
  <c r="K378" i="4"/>
  <c r="L380" i="4"/>
  <c r="AX384" i="4"/>
  <c r="O386" i="4"/>
  <c r="BF386" i="4" s="1"/>
  <c r="AW386" i="4"/>
  <c r="BJ391" i="4"/>
  <c r="L394" i="4"/>
  <c r="BH401" i="4"/>
  <c r="AD401" i="4" s="1"/>
  <c r="AW401" i="4"/>
  <c r="L344" i="4"/>
  <c r="BF353" i="4"/>
  <c r="K363" i="4"/>
  <c r="K362" i="4" s="1"/>
  <c r="AO375" i="4"/>
  <c r="J375" i="4" s="1"/>
  <c r="BI376" i="4"/>
  <c r="AE376" i="4" s="1"/>
  <c r="L378" i="4"/>
  <c r="BI388" i="4"/>
  <c r="AE388" i="4" s="1"/>
  <c r="AX396" i="4"/>
  <c r="AW398" i="4"/>
  <c r="L398" i="4"/>
  <c r="K398" i="4"/>
  <c r="BD401" i="4"/>
  <c r="AP401" i="4"/>
  <c r="K401" i="4" s="1"/>
  <c r="BJ401" i="4"/>
  <c r="O350" i="4"/>
  <c r="AO357" i="4"/>
  <c r="J357" i="4" s="1"/>
  <c r="L358" i="4"/>
  <c r="O359" i="4"/>
  <c r="BF359" i="4" s="1"/>
  <c r="L363" i="4"/>
  <c r="AO367" i="4"/>
  <c r="AW367" i="4" s="1"/>
  <c r="L368" i="4"/>
  <c r="O369" i="4"/>
  <c r="BF369" i="4" s="1"/>
  <c r="AP375" i="4"/>
  <c r="BI375" i="4" s="1"/>
  <c r="AE375" i="4" s="1"/>
  <c r="BJ376" i="4"/>
  <c r="O378" i="4"/>
  <c r="BF378" i="4" s="1"/>
  <c r="BJ378" i="4"/>
  <c r="J386" i="4"/>
  <c r="O392" i="4"/>
  <c r="BF392" i="4" s="1"/>
  <c r="AW392" i="4"/>
  <c r="O394" i="4"/>
  <c r="BF394" i="4" s="1"/>
  <c r="J401" i="4"/>
  <c r="M405" i="4"/>
  <c r="AX407" i="4"/>
  <c r="BI417" i="4"/>
  <c r="AE417" i="4" s="1"/>
  <c r="AX417" i="4"/>
  <c r="J334" i="4"/>
  <c r="J342" i="4"/>
  <c r="L343" i="4"/>
  <c r="O344" i="4"/>
  <c r="BF344" i="4" s="1"/>
  <c r="AX344" i="4"/>
  <c r="AP357" i="4"/>
  <c r="BI357" i="4" s="1"/>
  <c r="AC357" i="4" s="1"/>
  <c r="AP367" i="4"/>
  <c r="BI367" i="4" s="1"/>
  <c r="AE367" i="4" s="1"/>
  <c r="O384" i="4"/>
  <c r="BF384" i="4" s="1"/>
  <c r="AX388" i="4"/>
  <c r="BD392" i="4"/>
  <c r="AP392" i="4"/>
  <c r="BI392" i="4" s="1"/>
  <c r="AE392" i="4" s="1"/>
  <c r="BJ395" i="4"/>
  <c r="BI395" i="4"/>
  <c r="AE395" i="4" s="1"/>
  <c r="O398" i="4"/>
  <c r="BF398" i="4" s="1"/>
  <c r="L401" i="4"/>
  <c r="K334" i="4"/>
  <c r="K342" i="4"/>
  <c r="K347" i="4"/>
  <c r="AO356" i="4"/>
  <c r="BH356" i="4" s="1"/>
  <c r="AB356" i="4" s="1"/>
  <c r="L357" i="4"/>
  <c r="O358" i="4"/>
  <c r="BF358" i="4" s="1"/>
  <c r="O363" i="4"/>
  <c r="AX363" i="4"/>
  <c r="AO366" i="4"/>
  <c r="BH366" i="4" s="1"/>
  <c r="AD366" i="4" s="1"/>
  <c r="L367" i="4"/>
  <c r="O368" i="4"/>
  <c r="BF368" i="4" s="1"/>
  <c r="AX368" i="4"/>
  <c r="J374" i="4"/>
  <c r="BJ379" i="4"/>
  <c r="L386" i="4"/>
  <c r="BH386" i="4"/>
  <c r="AD386" i="4" s="1"/>
  <c r="K388" i="4"/>
  <c r="J392" i="4"/>
  <c r="BI398" i="4"/>
  <c r="AE398" i="4" s="1"/>
  <c r="O401" i="4"/>
  <c r="BF401" i="4" s="1"/>
  <c r="BD406" i="4"/>
  <c r="AP406" i="4"/>
  <c r="AX406" i="4" s="1"/>
  <c r="AO406" i="4"/>
  <c r="AW406" i="4" s="1"/>
  <c r="BJ407" i="4"/>
  <c r="BI407" i="4"/>
  <c r="AE407" i="4" s="1"/>
  <c r="BH407" i="4"/>
  <c r="AD407" i="4" s="1"/>
  <c r="L407" i="4"/>
  <c r="BH447" i="4"/>
  <c r="AD447" i="4" s="1"/>
  <c r="L334" i="4"/>
  <c r="J341" i="4"/>
  <c r="L342" i="4"/>
  <c r="O343" i="4"/>
  <c r="BF343" i="4" s="1"/>
  <c r="L347" i="4"/>
  <c r="BI360" i="4"/>
  <c r="AP374" i="4"/>
  <c r="AX374" i="4" s="1"/>
  <c r="O375" i="4"/>
  <c r="BF375" i="4" s="1"/>
  <c r="BD377" i="4"/>
  <c r="AP377" i="4"/>
  <c r="AO377" i="4"/>
  <c r="J377" i="4" s="1"/>
  <c r="AO379" i="4"/>
  <c r="BI384" i="4"/>
  <c r="AE384" i="4" s="1"/>
  <c r="L388" i="4"/>
  <c r="L392" i="4"/>
  <c r="BJ392" i="4"/>
  <c r="J395" i="4"/>
  <c r="BJ398" i="4"/>
  <c r="M406" i="4"/>
  <c r="BJ408" i="4"/>
  <c r="BI408" i="4"/>
  <c r="AE408" i="4" s="1"/>
  <c r="AX408" i="4"/>
  <c r="O408" i="4"/>
  <c r="BF408" i="4" s="1"/>
  <c r="L408" i="4"/>
  <c r="K408" i="4"/>
  <c r="K333" i="4"/>
  <c r="AW334" i="4"/>
  <c r="K341" i="4"/>
  <c r="AW342" i="4"/>
  <c r="K346" i="4"/>
  <c r="AW347" i="4"/>
  <c r="AO355" i="4"/>
  <c r="L356" i="4"/>
  <c r="O357" i="4"/>
  <c r="BF357" i="4" s="1"/>
  <c r="BH359" i="4"/>
  <c r="AB359" i="4" s="1"/>
  <c r="AO365" i="4"/>
  <c r="L366" i="4"/>
  <c r="O367" i="4"/>
  <c r="BF367" i="4" s="1"/>
  <c r="BH369" i="4"/>
  <c r="AD369" i="4" s="1"/>
  <c r="AP379" i="4"/>
  <c r="BI379" i="4" s="1"/>
  <c r="AE379" i="4" s="1"/>
  <c r="O381" i="4"/>
  <c r="AW381" i="4"/>
  <c r="BJ384" i="4"/>
  <c r="BJ386" i="4"/>
  <c r="O388" i="4"/>
  <c r="BF388" i="4" s="1"/>
  <c r="BJ388" i="4"/>
  <c r="K395" i="4"/>
  <c r="BH408" i="4"/>
  <c r="AD408" i="4" s="1"/>
  <c r="BD416" i="4"/>
  <c r="AP416" i="4"/>
  <c r="K416" i="4" s="1"/>
  <c r="AO416" i="4"/>
  <c r="AW416" i="4" s="1"/>
  <c r="K417" i="4"/>
  <c r="AX427" i="4"/>
  <c r="AO314" i="4"/>
  <c r="BH314" i="4" s="1"/>
  <c r="AD314" i="4" s="1"/>
  <c r="AO319" i="4"/>
  <c r="J319" i="4" s="1"/>
  <c r="J327" i="4"/>
  <c r="AO327" i="4"/>
  <c r="AO332" i="4"/>
  <c r="L333" i="4"/>
  <c r="L329" i="4" s="1"/>
  <c r="O334" i="4"/>
  <c r="BF334" i="4" s="1"/>
  <c r="AO340" i="4"/>
  <c r="L341" i="4"/>
  <c r="O342" i="4"/>
  <c r="BF342" i="4" s="1"/>
  <c r="BH344" i="4"/>
  <c r="AD344" i="4" s="1"/>
  <c r="L346" i="4"/>
  <c r="O347" i="4"/>
  <c r="BF347" i="4" s="1"/>
  <c r="AP365" i="4"/>
  <c r="AW366" i="4"/>
  <c r="L374" i="4"/>
  <c r="AW374" i="4"/>
  <c r="L377" i="4"/>
  <c r="BH393" i="4"/>
  <c r="AD393" i="4" s="1"/>
  <c r="AW393" i="4"/>
  <c r="AP393" i="4"/>
  <c r="L395" i="4"/>
  <c r="AW395" i="4"/>
  <c r="O399" i="4"/>
  <c r="BF399" i="4" s="1"/>
  <c r="AW399" i="4"/>
  <c r="L399" i="4"/>
  <c r="O407" i="4"/>
  <c r="BF407" i="4" s="1"/>
  <c r="J408" i="4"/>
  <c r="L420" i="4"/>
  <c r="K420" i="4"/>
  <c r="BJ420" i="4"/>
  <c r="BI420" i="4"/>
  <c r="AE420" i="4" s="1"/>
  <c r="BH420" i="4"/>
  <c r="AD420" i="4" s="1"/>
  <c r="O420" i="4"/>
  <c r="AX420" i="4"/>
  <c r="J420" i="4"/>
  <c r="AW420" i="4"/>
  <c r="AP430" i="4"/>
  <c r="AX430" i="4" s="1"/>
  <c r="BD436" i="4"/>
  <c r="AP436" i="4"/>
  <c r="BI436" i="4" s="1"/>
  <c r="AE436" i="4" s="1"/>
  <c r="O356" i="4"/>
  <c r="BF356" i="4" s="1"/>
  <c r="O366" i="4"/>
  <c r="BF366" i="4" s="1"/>
  <c r="J381" i="4"/>
  <c r="J380" i="4" s="1"/>
  <c r="AW385" i="4"/>
  <c r="L385" i="4"/>
  <c r="K385" i="4"/>
  <c r="AX385" i="4"/>
  <c r="BJ389" i="4"/>
  <c r="BI389" i="4"/>
  <c r="AE389" i="4" s="1"/>
  <c r="K397" i="4"/>
  <c r="BH399" i="4"/>
  <c r="AD399" i="4" s="1"/>
  <c r="AW403" i="4"/>
  <c r="L403" i="4"/>
  <c r="K403" i="4"/>
  <c r="J403" i="4"/>
  <c r="BJ403" i="4"/>
  <c r="BI409" i="4"/>
  <c r="AE409" i="4" s="1"/>
  <c r="AX409" i="4"/>
  <c r="BI426" i="4"/>
  <c r="AC426" i="4" s="1"/>
  <c r="AX426" i="4"/>
  <c r="BC428" i="4"/>
  <c r="AV428" i="4"/>
  <c r="O374" i="4"/>
  <c r="BF374" i="4" s="1"/>
  <c r="O377" i="4"/>
  <c r="BF377" i="4" s="1"/>
  <c r="BD387" i="4"/>
  <c r="AP387" i="4"/>
  <c r="AO387" i="4"/>
  <c r="O395" i="4"/>
  <c r="BF395" i="4" s="1"/>
  <c r="BF403" i="4"/>
  <c r="BI414" i="4"/>
  <c r="AE414" i="4" s="1"/>
  <c r="AP439" i="4"/>
  <c r="AX439" i="4" s="1"/>
  <c r="AO439" i="4"/>
  <c r="AW439" i="4" s="1"/>
  <c r="BD439" i="4"/>
  <c r="M467" i="4"/>
  <c r="L430" i="4"/>
  <c r="O436" i="4"/>
  <c r="K439" i="4"/>
  <c r="J439" i="4"/>
  <c r="BJ466" i="4"/>
  <c r="O466" i="4"/>
  <c r="BF466" i="4" s="1"/>
  <c r="AX466" i="4"/>
  <c r="L466" i="4"/>
  <c r="BH428" i="4"/>
  <c r="AB428" i="4" s="1"/>
  <c r="AP433" i="4"/>
  <c r="J436" i="4"/>
  <c r="J435" i="4" s="1"/>
  <c r="L439" i="4"/>
  <c r="AP456" i="4"/>
  <c r="K456" i="4" s="1"/>
  <c r="K458" i="4"/>
  <c r="O461" i="4"/>
  <c r="BF461" i="4" s="1"/>
  <c r="L461" i="4"/>
  <c r="K461" i="4"/>
  <c r="J468" i="4"/>
  <c r="AW468" i="4"/>
  <c r="BI412" i="4"/>
  <c r="AE412" i="4" s="1"/>
  <c r="M426" i="4"/>
  <c r="AW426" i="4"/>
  <c r="K430" i="4"/>
  <c r="L433" i="4"/>
  <c r="AX441" i="4"/>
  <c r="O441" i="4"/>
  <c r="BF441" i="4" s="1"/>
  <c r="K441" i="4"/>
  <c r="L451" i="4"/>
  <c r="O462" i="4"/>
  <c r="BF462" i="4" s="1"/>
  <c r="L462" i="4"/>
  <c r="BF476" i="4"/>
  <c r="BJ514" i="4"/>
  <c r="BI514" i="4"/>
  <c r="AE514" i="4" s="1"/>
  <c r="BH514" i="4"/>
  <c r="AD514" i="4" s="1"/>
  <c r="O514" i="4"/>
  <c r="BF514" i="4" s="1"/>
  <c r="L514" i="4"/>
  <c r="K514" i="4"/>
  <c r="AX514" i="4"/>
  <c r="BH411" i="4"/>
  <c r="AD411" i="4" s="1"/>
  <c r="BJ412" i="4"/>
  <c r="L416" i="4"/>
  <c r="O430" i="4"/>
  <c r="BF430" i="4" s="1"/>
  <c r="L436" i="4"/>
  <c r="AW436" i="4"/>
  <c r="O439" i="4"/>
  <c r="BF439" i="4" s="1"/>
  <c r="AP451" i="4"/>
  <c r="BD462" i="4"/>
  <c r="AP462" i="4"/>
  <c r="K462" i="4" s="1"/>
  <c r="AT548" i="4"/>
  <c r="AL419" i="4"/>
  <c r="BD420" i="4"/>
  <c r="AL429" i="4"/>
  <c r="J441" i="4"/>
  <c r="BI444" i="4"/>
  <c r="AE444" i="4" s="1"/>
  <c r="BJ411" i="4"/>
  <c r="L415" i="4"/>
  <c r="O416" i="4"/>
  <c r="BF416" i="4" s="1"/>
  <c r="J419" i="4"/>
  <c r="AP432" i="4"/>
  <c r="K432" i="4" s="1"/>
  <c r="K438" i="4"/>
  <c r="L441" i="4"/>
  <c r="BD441" i="4"/>
  <c r="AO446" i="4"/>
  <c r="AW449" i="4"/>
  <c r="AW415" i="4"/>
  <c r="K419" i="4"/>
  <c r="AP429" i="4"/>
  <c r="AX429" i="4" s="1"/>
  <c r="AO429" i="4"/>
  <c r="AW429" i="4" s="1"/>
  <c r="BD433" i="4"/>
  <c r="BH436" i="4"/>
  <c r="AD436" i="4" s="1"/>
  <c r="AW438" i="4"/>
  <c r="AP446" i="4"/>
  <c r="AX446" i="4" s="1"/>
  <c r="O451" i="4"/>
  <c r="BF451" i="4" s="1"/>
  <c r="BJ513" i="4"/>
  <c r="O513" i="4"/>
  <c r="BF513" i="4" s="1"/>
  <c r="L513" i="4"/>
  <c r="O415" i="4"/>
  <c r="BF415" i="4" s="1"/>
  <c r="AX415" i="4"/>
  <c r="BJ430" i="4"/>
  <c r="BJ439" i="4"/>
  <c r="BJ451" i="4"/>
  <c r="AX469" i="4"/>
  <c r="AV469" i="4" s="1"/>
  <c r="AS498" i="4"/>
  <c r="AP400" i="4"/>
  <c r="BI400" i="4" s="1"/>
  <c r="AE400" i="4" s="1"/>
  <c r="AP405" i="4"/>
  <c r="BI405" i="4" s="1"/>
  <c r="AE405" i="4" s="1"/>
  <c r="AP413" i="4"/>
  <c r="BI413" i="4" s="1"/>
  <c r="AE413" i="4" s="1"/>
  <c r="M419" i="4"/>
  <c r="AX419" i="4"/>
  <c r="AP423" i="4"/>
  <c r="L432" i="4"/>
  <c r="BJ436" i="4"/>
  <c r="BI441" i="4"/>
  <c r="AE441" i="4" s="1"/>
  <c r="L444" i="4"/>
  <c r="AX444" i="4"/>
  <c r="K446" i="4"/>
  <c r="AO452" i="4"/>
  <c r="AT463" i="4"/>
  <c r="J412" i="4"/>
  <c r="O431" i="4"/>
  <c r="BF431" i="4" s="1"/>
  <c r="L440" i="4"/>
  <c r="BJ441" i="4"/>
  <c r="O452" i="4"/>
  <c r="BF452" i="4" s="1"/>
  <c r="AL482" i="4"/>
  <c r="AW405" i="4"/>
  <c r="K412" i="4"/>
  <c r="BD419" i="4"/>
  <c r="J428" i="4"/>
  <c r="AO431" i="4"/>
  <c r="BH431" i="4" s="1"/>
  <c r="AB431" i="4" s="1"/>
  <c r="O432" i="4"/>
  <c r="BF432" i="4" s="1"/>
  <c r="BJ434" i="4"/>
  <c r="Z434" i="4" s="1"/>
  <c r="O444" i="4"/>
  <c r="BF444" i="4" s="1"/>
  <c r="BJ444" i="4"/>
  <c r="AL450" i="4"/>
  <c r="AT475" i="4"/>
  <c r="BH482" i="4"/>
  <c r="AD482" i="4" s="1"/>
  <c r="AW482" i="4"/>
  <c r="O405" i="4"/>
  <c r="BF405" i="4" s="1"/>
  <c r="L412" i="4"/>
  <c r="O413" i="4"/>
  <c r="BF413" i="4" s="1"/>
  <c r="BH415" i="4"/>
  <c r="AD415" i="4" s="1"/>
  <c r="O423" i="4"/>
  <c r="O446" i="4"/>
  <c r="BF446" i="4" s="1"/>
  <c r="BI482" i="4"/>
  <c r="AE482" i="4" s="1"/>
  <c r="K411" i="4"/>
  <c r="BI415" i="4"/>
  <c r="AE415" i="4" s="1"/>
  <c r="BH419" i="4"/>
  <c r="AD419" i="4" s="1"/>
  <c r="AS425" i="4"/>
  <c r="AO427" i="4"/>
  <c r="J427" i="4" s="1"/>
  <c r="AO434" i="4"/>
  <c r="J434" i="4" s="1"/>
  <c r="K440" i="4"/>
  <c r="AO442" i="4"/>
  <c r="BH442" i="4" s="1"/>
  <c r="AD442" i="4" s="1"/>
  <c r="BJ445" i="4"/>
  <c r="K448" i="4"/>
  <c r="K452" i="4"/>
  <c r="M457" i="4"/>
  <c r="BJ467" i="4"/>
  <c r="BH467" i="4"/>
  <c r="AD467" i="4" s="1"/>
  <c r="AP467" i="4"/>
  <c r="AO472" i="4"/>
  <c r="BH472" i="4" s="1"/>
  <c r="AD472" i="4" s="1"/>
  <c r="BD482" i="4"/>
  <c r="BJ482" i="4"/>
  <c r="AO384" i="4"/>
  <c r="J384" i="4" s="1"/>
  <c r="AO397" i="4"/>
  <c r="J397" i="4" s="1"/>
  <c r="AO410" i="4"/>
  <c r="L411" i="4"/>
  <c r="O412" i="4"/>
  <c r="BF412" i="4" s="1"/>
  <c r="K427" i="4"/>
  <c r="BJ429" i="4"/>
  <c r="L431" i="4"/>
  <c r="K434" i="4"/>
  <c r="O440" i="4"/>
  <c r="BF440" i="4" s="1"/>
  <c r="AP442" i="4"/>
  <c r="AO445" i="4"/>
  <c r="BJ446" i="4"/>
  <c r="AX448" i="4"/>
  <c r="O450" i="4"/>
  <c r="BF450" i="4" s="1"/>
  <c r="L452" i="4"/>
  <c r="BJ452" i="4"/>
  <c r="BJ471" i="4"/>
  <c r="BI471" i="4"/>
  <c r="AE471" i="4" s="1"/>
  <c r="BH471" i="4"/>
  <c r="AD471" i="4" s="1"/>
  <c r="O471" i="4"/>
  <c r="BF471" i="4" s="1"/>
  <c r="AW471" i="4"/>
  <c r="L471" i="4"/>
  <c r="BJ472" i="4"/>
  <c r="O472" i="4"/>
  <c r="BF472" i="4" s="1"/>
  <c r="AP472" i="4"/>
  <c r="K472" i="4" s="1"/>
  <c r="J482" i="4"/>
  <c r="L488" i="4"/>
  <c r="BJ488" i="4"/>
  <c r="O488" i="4"/>
  <c r="BF488" i="4" s="1"/>
  <c r="AX502" i="4"/>
  <c r="BI502" i="4"/>
  <c r="AC502" i="4" s="1"/>
  <c r="L434" i="4"/>
  <c r="J445" i="4"/>
  <c r="AP445" i="4"/>
  <c r="BI445" i="4" s="1"/>
  <c r="AE445" i="4" s="1"/>
  <c r="L448" i="4"/>
  <c r="AP450" i="4"/>
  <c r="BI450" i="4" s="1"/>
  <c r="AE450" i="4" s="1"/>
  <c r="AO450" i="4"/>
  <c r="AW450" i="4" s="1"/>
  <c r="AO462" i="4"/>
  <c r="AW462" i="4" s="1"/>
  <c r="BJ484" i="4"/>
  <c r="O484" i="4"/>
  <c r="BF484" i="4" s="1"/>
  <c r="L484" i="4"/>
  <c r="K525" i="4"/>
  <c r="BI525" i="4"/>
  <c r="AE525" i="4" s="1"/>
  <c r="AX525" i="4"/>
  <c r="K479" i="4"/>
  <c r="J479" i="4"/>
  <c r="AV479" i="4"/>
  <c r="AO484" i="4"/>
  <c r="BH484" i="4" s="1"/>
  <c r="AD484" i="4" s="1"/>
  <c r="AP488" i="4"/>
  <c r="AX488" i="4" s="1"/>
  <c r="AO488" i="4"/>
  <c r="AW488" i="4" s="1"/>
  <c r="BJ499" i="4"/>
  <c r="AO499" i="4"/>
  <c r="J499" i="4" s="1"/>
  <c r="BJ507" i="4"/>
  <c r="Z507" i="4" s="1"/>
  <c r="O509" i="4"/>
  <c r="L509" i="4"/>
  <c r="BJ509" i="4"/>
  <c r="BD513" i="4"/>
  <c r="AO513" i="4"/>
  <c r="AL572" i="4"/>
  <c r="M572" i="4"/>
  <c r="AL610" i="4"/>
  <c r="M610" i="4"/>
  <c r="AW649" i="4"/>
  <c r="J649" i="4"/>
  <c r="AP499" i="4"/>
  <c r="BI499" i="4" s="1"/>
  <c r="AC499" i="4" s="1"/>
  <c r="BD509" i="4"/>
  <c r="AP509" i="4"/>
  <c r="BI509" i="4" s="1"/>
  <c r="AE509" i="4" s="1"/>
  <c r="AO509" i="4"/>
  <c r="BH509" i="4" s="1"/>
  <c r="AD509" i="4" s="1"/>
  <c r="BJ522" i="4"/>
  <c r="BH522" i="4"/>
  <c r="AD522" i="4" s="1"/>
  <c r="O522" i="4"/>
  <c r="BF522" i="4" s="1"/>
  <c r="BJ527" i="4"/>
  <c r="BI527" i="4"/>
  <c r="AE527" i="4" s="1"/>
  <c r="O527" i="4"/>
  <c r="AW527" i="4"/>
  <c r="AX481" i="4"/>
  <c r="O481" i="4"/>
  <c r="BF481" i="4" s="1"/>
  <c r="AW481" i="4"/>
  <c r="AO496" i="4"/>
  <c r="J496" i="4" s="1"/>
  <c r="J495" i="4" s="1"/>
  <c r="J494" i="4" s="1"/>
  <c r="AO507" i="4"/>
  <c r="J507" i="4" s="1"/>
  <c r="AX519" i="4"/>
  <c r="O519" i="4"/>
  <c r="BF519" i="4" s="1"/>
  <c r="L519" i="4"/>
  <c r="BJ519" i="4"/>
  <c r="BI519" i="4"/>
  <c r="AE519" i="4" s="1"/>
  <c r="K519" i="4"/>
  <c r="AW519" i="4"/>
  <c r="AX527" i="4"/>
  <c r="BI565" i="4"/>
  <c r="AE565" i="4" s="1"/>
  <c r="AX565" i="4"/>
  <c r="K565" i="4"/>
  <c r="BI458" i="4"/>
  <c r="AE458" i="4" s="1"/>
  <c r="AP496" i="4"/>
  <c r="K496" i="4" s="1"/>
  <c r="K495" i="4" s="1"/>
  <c r="K494" i="4" s="1"/>
  <c r="AP507" i="4"/>
  <c r="AX507" i="4" s="1"/>
  <c r="AL533" i="4"/>
  <c r="BJ458" i="4"/>
  <c r="AO461" i="4"/>
  <c r="J461" i="4" s="1"/>
  <c r="AO470" i="4"/>
  <c r="AW470" i="4" s="1"/>
  <c r="O479" i="4"/>
  <c r="BF479" i="4" s="1"/>
  <c r="J481" i="4"/>
  <c r="AP493" i="4"/>
  <c r="K493" i="4" s="1"/>
  <c r="AO493" i="4"/>
  <c r="BH493" i="4" s="1"/>
  <c r="AD493" i="4" s="1"/>
  <c r="L499" i="4"/>
  <c r="K501" i="4"/>
  <c r="AW501" i="4"/>
  <c r="AX503" i="4"/>
  <c r="L507" i="4"/>
  <c r="BJ515" i="4"/>
  <c r="BD515" i="4"/>
  <c r="AP515" i="4"/>
  <c r="K527" i="4"/>
  <c r="K526" i="4" s="1"/>
  <c r="BH531" i="4"/>
  <c r="AD531" i="4" s="1"/>
  <c r="O531" i="4"/>
  <c r="BF531" i="4" s="1"/>
  <c r="BJ531" i="4"/>
  <c r="L531" i="4"/>
  <c r="AW531" i="4"/>
  <c r="J531" i="4"/>
  <c r="AO465" i="4"/>
  <c r="BH465" i="4" s="1"/>
  <c r="AD465" i="4" s="1"/>
  <c r="K481" i="4"/>
  <c r="AX489" i="4"/>
  <c r="O489" i="4"/>
  <c r="BF489" i="4" s="1"/>
  <c r="AW489" i="4"/>
  <c r="L489" i="4"/>
  <c r="J489" i="4"/>
  <c r="L496" i="4"/>
  <c r="AX501" i="4"/>
  <c r="L522" i="4"/>
  <c r="L527" i="4"/>
  <c r="AX529" i="4"/>
  <c r="O529" i="4"/>
  <c r="AW529" i="4"/>
  <c r="L529" i="4"/>
  <c r="BJ529" i="4"/>
  <c r="BI529" i="4"/>
  <c r="AE529" i="4" s="1"/>
  <c r="BH529" i="4"/>
  <c r="AD529" i="4" s="1"/>
  <c r="BI553" i="4"/>
  <c r="AE553" i="4" s="1"/>
  <c r="AX553" i="4"/>
  <c r="AO460" i="4"/>
  <c r="BH460" i="4" s="1"/>
  <c r="AD460" i="4" s="1"/>
  <c r="AP465" i="4"/>
  <c r="BI465" i="4" s="1"/>
  <c r="AE465" i="4" s="1"/>
  <c r="BH479" i="4"/>
  <c r="AD479" i="4" s="1"/>
  <c r="L481" i="4"/>
  <c r="BI483" i="4"/>
  <c r="AE483" i="4" s="1"/>
  <c r="BH483" i="4"/>
  <c r="AD483" i="4" s="1"/>
  <c r="BH489" i="4"/>
  <c r="AD489" i="4" s="1"/>
  <c r="O496" i="4"/>
  <c r="O499" i="4"/>
  <c r="M501" i="4"/>
  <c r="O507" i="4"/>
  <c r="BF507" i="4" s="1"/>
  <c r="AW515" i="4"/>
  <c r="BD521" i="4"/>
  <c r="AO521" i="4"/>
  <c r="BH521" i="4" s="1"/>
  <c r="AD521" i="4" s="1"/>
  <c r="K531" i="4"/>
  <c r="K460" i="4"/>
  <c r="L470" i="4"/>
  <c r="AS475" i="4"/>
  <c r="J477" i="4"/>
  <c r="BI479" i="4"/>
  <c r="AE479" i="4" s="1"/>
  <c r="BH481" i="4"/>
  <c r="AD481" i="4" s="1"/>
  <c r="AX487" i="4"/>
  <c r="BJ493" i="4"/>
  <c r="BJ496" i="4"/>
  <c r="AS510" i="4"/>
  <c r="L515" i="4"/>
  <c r="J529" i="4"/>
  <c r="BJ545" i="4"/>
  <c r="O545" i="4"/>
  <c r="BF545" i="4" s="1"/>
  <c r="L545" i="4"/>
  <c r="M553" i="4"/>
  <c r="L460" i="4"/>
  <c r="L465" i="4"/>
  <c r="K477" i="4"/>
  <c r="BJ479" i="4"/>
  <c r="BI481" i="4"/>
  <c r="AE481" i="4" s="1"/>
  <c r="BJ489" i="4"/>
  <c r="BR496" i="4"/>
  <c r="O504" i="4"/>
  <c r="BF504" i="4" s="1"/>
  <c r="L504" i="4"/>
  <c r="K529" i="4"/>
  <c r="K535" i="4"/>
  <c r="BI535" i="4"/>
  <c r="AE535" i="4" s="1"/>
  <c r="M538" i="4"/>
  <c r="AL538" i="4"/>
  <c r="BI562" i="4"/>
  <c r="AE562" i="4" s="1"/>
  <c r="AX562" i="4"/>
  <c r="K469" i="4"/>
  <c r="O470" i="4"/>
  <c r="BF470" i="4" s="1"/>
  <c r="BI476" i="4"/>
  <c r="AE476" i="4" s="1"/>
  <c r="L477" i="4"/>
  <c r="BJ481" i="4"/>
  <c r="K483" i="4"/>
  <c r="AW483" i="4"/>
  <c r="AO500" i="4"/>
  <c r="BD504" i="4"/>
  <c r="AP504" i="4"/>
  <c r="BI504" i="4" s="1"/>
  <c r="AC504" i="4" s="1"/>
  <c r="AO504" i="4"/>
  <c r="BH504" i="4" s="1"/>
  <c r="AB504" i="4" s="1"/>
  <c r="AX505" i="4"/>
  <c r="O505" i="4"/>
  <c r="BF505" i="4" s="1"/>
  <c r="AW505" i="4"/>
  <c r="L505" i="4"/>
  <c r="BJ505" i="4"/>
  <c r="AL535" i="4"/>
  <c r="M535" i="4"/>
  <c r="BI549" i="4"/>
  <c r="AE549" i="4" s="1"/>
  <c r="AX549" i="4"/>
  <c r="O549" i="4"/>
  <c r="L549" i="4"/>
  <c r="K549" i="4"/>
  <c r="AO448" i="4"/>
  <c r="BH448" i="4" s="1"/>
  <c r="AD448" i="4" s="1"/>
  <c r="L449" i="4"/>
  <c r="L454" i="4"/>
  <c r="AO458" i="4"/>
  <c r="L459" i="4"/>
  <c r="O460" i="4"/>
  <c r="BF460" i="4" s="1"/>
  <c r="L464" i="4"/>
  <c r="L469" i="4"/>
  <c r="J474" i="4"/>
  <c r="AW474" i="4"/>
  <c r="AO476" i="4"/>
  <c r="J476" i="4" s="1"/>
  <c r="AW477" i="4"/>
  <c r="AW480" i="4"/>
  <c r="L480" i="4"/>
  <c r="K480" i="4"/>
  <c r="AX480" i="4"/>
  <c r="L483" i="4"/>
  <c r="AX483" i="4"/>
  <c r="J486" i="4"/>
  <c r="O490" i="4"/>
  <c r="BF490" i="4" s="1"/>
  <c r="L490" i="4"/>
  <c r="AP500" i="4"/>
  <c r="J537" i="4"/>
  <c r="AW537" i="4"/>
  <c r="L474" i="4"/>
  <c r="O477" i="4"/>
  <c r="BF477" i="4" s="1"/>
  <c r="AP490" i="4"/>
  <c r="AX490" i="4" s="1"/>
  <c r="L500" i="4"/>
  <c r="BJ506" i="4"/>
  <c r="Z506" i="4" s="1"/>
  <c r="O506" i="4"/>
  <c r="BF506" i="4" s="1"/>
  <c r="AO506" i="4"/>
  <c r="BH506" i="4" s="1"/>
  <c r="M544" i="4"/>
  <c r="AL544" i="4"/>
  <c r="K505" i="4"/>
  <c r="AP506" i="4"/>
  <c r="K506" i="4" s="1"/>
  <c r="AP513" i="4"/>
  <c r="BJ546" i="4"/>
  <c r="BI546" i="4"/>
  <c r="AE546" i="4" s="1"/>
  <c r="BH546" i="4"/>
  <c r="AD546" i="4" s="1"/>
  <c r="AW546" i="4"/>
  <c r="K546" i="4"/>
  <c r="AX546" i="4"/>
  <c r="BJ550" i="4"/>
  <c r="BH556" i="4"/>
  <c r="AD556" i="4" s="1"/>
  <c r="K578" i="4"/>
  <c r="AX578" i="4"/>
  <c r="J546" i="4"/>
  <c r="BD546" i="4"/>
  <c r="BJ551" i="4"/>
  <c r="BI551" i="4"/>
  <c r="AE551" i="4" s="1"/>
  <c r="BH551" i="4"/>
  <c r="AD551" i="4" s="1"/>
  <c r="AW551" i="4"/>
  <c r="K551" i="4"/>
  <c r="AX551" i="4"/>
  <c r="BH576" i="4"/>
  <c r="AB576" i="4" s="1"/>
  <c r="J576" i="4"/>
  <c r="AS536" i="4"/>
  <c r="J539" i="4"/>
  <c r="L546" i="4"/>
  <c r="BD551" i="4"/>
  <c r="AX555" i="4"/>
  <c r="O555" i="4"/>
  <c r="BF555" i="4" s="1"/>
  <c r="L555" i="4"/>
  <c r="K555" i="4"/>
  <c r="BI555" i="4"/>
  <c r="AE555" i="4" s="1"/>
  <c r="AX599" i="4"/>
  <c r="BC599" i="4" s="1"/>
  <c r="BI599" i="4"/>
  <c r="AE599" i="4" s="1"/>
  <c r="K599" i="4"/>
  <c r="BI521" i="4"/>
  <c r="AE521" i="4" s="1"/>
  <c r="K539" i="4"/>
  <c r="AW539" i="4"/>
  <c r="O546" i="4"/>
  <c r="BF546" i="4" s="1"/>
  <c r="L550" i="4"/>
  <c r="J551" i="4"/>
  <c r="BJ559" i="4"/>
  <c r="BH559" i="4"/>
  <c r="AD559" i="4" s="1"/>
  <c r="O559" i="4"/>
  <c r="BF559" i="4" s="1"/>
  <c r="AW559" i="4"/>
  <c r="O530" i="4"/>
  <c r="BF530" i="4" s="1"/>
  <c r="BJ532" i="4"/>
  <c r="BH532" i="4"/>
  <c r="AD532" i="4" s="1"/>
  <c r="O550" i="4"/>
  <c r="BF550" i="4" s="1"/>
  <c r="L551" i="4"/>
  <c r="BH557" i="4"/>
  <c r="AD557" i="4" s="1"/>
  <c r="AX557" i="4"/>
  <c r="O557" i="4"/>
  <c r="BF557" i="4" s="1"/>
  <c r="AW557" i="4"/>
  <c r="J557" i="4"/>
  <c r="BJ558" i="4"/>
  <c r="BH558" i="4"/>
  <c r="AD558" i="4" s="1"/>
  <c r="AW558" i="4"/>
  <c r="L558" i="4"/>
  <c r="BD559" i="4"/>
  <c r="AP559" i="4"/>
  <c r="AX560" i="4"/>
  <c r="AT571" i="4"/>
  <c r="BJ584" i="4"/>
  <c r="BH584" i="4"/>
  <c r="AD584" i="4" s="1"/>
  <c r="AW584" i="4"/>
  <c r="BI584" i="4"/>
  <c r="AE584" i="4" s="1"/>
  <c r="O584" i="4"/>
  <c r="L584" i="4"/>
  <c r="K584" i="4"/>
  <c r="AX584" i="4"/>
  <c r="J584" i="4"/>
  <c r="BH512" i="4"/>
  <c r="AD512" i="4" s="1"/>
  <c r="L518" i="4"/>
  <c r="J518" i="4"/>
  <c r="K524" i="4"/>
  <c r="AO530" i="4"/>
  <c r="BH530" i="4" s="1"/>
  <c r="AD530" i="4" s="1"/>
  <c r="BD532" i="4"/>
  <c r="AP532" i="4"/>
  <c r="BI532" i="4" s="1"/>
  <c r="AE532" i="4" s="1"/>
  <c r="AW532" i="4"/>
  <c r="M534" i="4"/>
  <c r="M539" i="4"/>
  <c r="AX542" i="4"/>
  <c r="O542" i="4"/>
  <c r="BF542" i="4" s="1"/>
  <c r="L542" i="4"/>
  <c r="K542" i="4"/>
  <c r="BJ542" i="4"/>
  <c r="J547" i="4"/>
  <c r="AX547" i="4"/>
  <c r="AV547" i="4" s="1"/>
  <c r="O551" i="4"/>
  <c r="BF551" i="4" s="1"/>
  <c r="J559" i="4"/>
  <c r="AW576" i="4"/>
  <c r="AW518" i="4"/>
  <c r="K521" i="4"/>
  <c r="AP530" i="4"/>
  <c r="AX530" i="4" s="1"/>
  <c r="J532" i="4"/>
  <c r="BJ537" i="4"/>
  <c r="BH537" i="4"/>
  <c r="AD537" i="4" s="1"/>
  <c r="K547" i="4"/>
  <c r="J552" i="4"/>
  <c r="AX552" i="4"/>
  <c r="BC552" i="4" s="1"/>
  <c r="L557" i="4"/>
  <c r="J558" i="4"/>
  <c r="L559" i="4"/>
  <c r="K560" i="4"/>
  <c r="J512" i="4"/>
  <c r="AX518" i="4"/>
  <c r="L521" i="4"/>
  <c r="AX521" i="4"/>
  <c r="L532" i="4"/>
  <c r="BD537" i="4"/>
  <c r="AP537" i="4"/>
  <c r="AX537" i="4" s="1"/>
  <c r="O543" i="4"/>
  <c r="BF543" i="4" s="1"/>
  <c r="AW543" i="4"/>
  <c r="L543" i="4"/>
  <c r="K552" i="4"/>
  <c r="O558" i="4"/>
  <c r="BF558" i="4" s="1"/>
  <c r="BJ574" i="4"/>
  <c r="BI574" i="4"/>
  <c r="AC574" i="4" s="1"/>
  <c r="O574" i="4"/>
  <c r="BF574" i="4" s="1"/>
  <c r="AX574" i="4"/>
  <c r="L574" i="4"/>
  <c r="K574" i="4"/>
  <c r="J574" i="4"/>
  <c r="M599" i="4"/>
  <c r="AL599" i="4"/>
  <c r="K503" i="4"/>
  <c r="K512" i="4"/>
  <c r="L530" i="4"/>
  <c r="BD543" i="4"/>
  <c r="AP543" i="4"/>
  <c r="K543" i="4" s="1"/>
  <c r="BJ543" i="4"/>
  <c r="BH547" i="4"/>
  <c r="AD547" i="4" s="1"/>
  <c r="AL552" i="4"/>
  <c r="M552" i="4"/>
  <c r="BH552" i="4"/>
  <c r="AD552" i="4" s="1"/>
  <c r="AO502" i="4"/>
  <c r="J502" i="4" s="1"/>
  <c r="L503" i="4"/>
  <c r="L512" i="4"/>
  <c r="AW512" i="4"/>
  <c r="J517" i="4"/>
  <c r="O518" i="4"/>
  <c r="BF518" i="4" s="1"/>
  <c r="BD518" i="4"/>
  <c r="O520" i="4"/>
  <c r="BF520" i="4" s="1"/>
  <c r="O521" i="4"/>
  <c r="BF521" i="4" s="1"/>
  <c r="L523" i="4"/>
  <c r="O532" i="4"/>
  <c r="BF532" i="4" s="1"/>
  <c r="BJ533" i="4"/>
  <c r="BI533" i="4"/>
  <c r="AE533" i="4" s="1"/>
  <c r="BH533" i="4"/>
  <c r="AD533" i="4" s="1"/>
  <c r="AW533" i="4"/>
  <c r="L537" i="4"/>
  <c r="J543" i="4"/>
  <c r="J487" i="4"/>
  <c r="L493" i="4"/>
  <c r="K502" i="4"/>
  <c r="AW503" i="4"/>
  <c r="J511" i="4"/>
  <c r="AP517" i="4"/>
  <c r="AO520" i="4"/>
  <c r="J520" i="4" s="1"/>
  <c r="BJ521" i="4"/>
  <c r="AW523" i="4"/>
  <c r="BJ538" i="4"/>
  <c r="BI538" i="4"/>
  <c r="AE538" i="4" s="1"/>
  <c r="BI544" i="4"/>
  <c r="AE544" i="4" s="1"/>
  <c r="BH544" i="4"/>
  <c r="AD544" i="4" s="1"/>
  <c r="AX544" i="4"/>
  <c r="O544" i="4"/>
  <c r="BF544" i="4" s="1"/>
  <c r="BJ544" i="4"/>
  <c r="O503" i="4"/>
  <c r="BF503" i="4" s="1"/>
  <c r="AP511" i="4"/>
  <c r="K511" i="4" s="1"/>
  <c r="O512" i="4"/>
  <c r="BH518" i="4"/>
  <c r="AD518" i="4" s="1"/>
  <c r="AP520" i="4"/>
  <c r="AX520" i="4" s="1"/>
  <c r="O523" i="4"/>
  <c r="BF523" i="4" s="1"/>
  <c r="BJ530" i="4"/>
  <c r="J533" i="4"/>
  <c r="AX533" i="4"/>
  <c r="O537" i="4"/>
  <c r="K553" i="4"/>
  <c r="M561" i="4"/>
  <c r="AX563" i="4"/>
  <c r="BH565" i="4"/>
  <c r="AD565" i="4" s="1"/>
  <c r="AW565" i="4"/>
  <c r="BI587" i="4"/>
  <c r="AE587" i="4" s="1"/>
  <c r="K587" i="4"/>
  <c r="AW621" i="4"/>
  <c r="J621" i="4"/>
  <c r="AW641" i="4"/>
  <c r="J641" i="4"/>
  <c r="BD572" i="4"/>
  <c r="AP572" i="4"/>
  <c r="BI572" i="4" s="1"/>
  <c r="AC572" i="4" s="1"/>
  <c r="O580" i="4"/>
  <c r="BF580" i="4" s="1"/>
  <c r="L580" i="4"/>
  <c r="AT583" i="4"/>
  <c r="AP586" i="4"/>
  <c r="BI586" i="4" s="1"/>
  <c r="AE586" i="4" s="1"/>
  <c r="AO586" i="4"/>
  <c r="AW586" i="4" s="1"/>
  <c r="BJ586" i="4"/>
  <c r="BD586" i="4"/>
  <c r="L598" i="4"/>
  <c r="AO598" i="4"/>
  <c r="BJ598" i="4"/>
  <c r="L608" i="4"/>
  <c r="AO608" i="4"/>
  <c r="BJ608" i="4"/>
  <c r="AX610" i="4"/>
  <c r="BI610" i="4"/>
  <c r="AE610" i="4" s="1"/>
  <c r="BI563" i="4"/>
  <c r="AE563" i="4" s="1"/>
  <c r="BF572" i="4"/>
  <c r="AP576" i="4"/>
  <c r="BI576" i="4" s="1"/>
  <c r="AC576" i="4" s="1"/>
  <c r="BJ576" i="4"/>
  <c r="L578" i="4"/>
  <c r="AW578" i="4"/>
  <c r="O591" i="4"/>
  <c r="BF591" i="4" s="1"/>
  <c r="L591" i="4"/>
  <c r="BJ591" i="4"/>
  <c r="BD599" i="4"/>
  <c r="BD604" i="4"/>
  <c r="AT615" i="4"/>
  <c r="L587" i="4"/>
  <c r="AO587" i="4"/>
  <c r="BJ620" i="4"/>
  <c r="BI620" i="4"/>
  <c r="AE620" i="4" s="1"/>
  <c r="BH620" i="4"/>
  <c r="AD620" i="4" s="1"/>
  <c r="AX620" i="4"/>
  <c r="O620" i="4"/>
  <c r="BF620" i="4" s="1"/>
  <c r="AW620" i="4"/>
  <c r="K620" i="4"/>
  <c r="BJ648" i="4"/>
  <c r="BH648" i="4"/>
  <c r="AD648" i="4" s="1"/>
  <c r="O648" i="4"/>
  <c r="BF648" i="4" s="1"/>
  <c r="AW648" i="4"/>
  <c r="K648" i="4"/>
  <c r="BJ652" i="4"/>
  <c r="BH652" i="4"/>
  <c r="AD652" i="4" s="1"/>
  <c r="O652" i="4"/>
  <c r="BF652" i="4" s="1"/>
  <c r="AW652" i="4"/>
  <c r="L652" i="4"/>
  <c r="J652" i="4"/>
  <c r="AP545" i="4"/>
  <c r="AX545" i="4" s="1"/>
  <c r="AP550" i="4"/>
  <c r="AX550" i="4" s="1"/>
  <c r="AP558" i="4"/>
  <c r="AX558" i="4" s="1"/>
  <c r="L576" i="4"/>
  <c r="BD578" i="4"/>
  <c r="J591" i="4"/>
  <c r="BJ593" i="4"/>
  <c r="O593" i="4"/>
  <c r="BF593" i="4" s="1"/>
  <c r="L593" i="4"/>
  <c r="BJ599" i="4"/>
  <c r="AW600" i="4"/>
  <c r="BJ604" i="4"/>
  <c r="AT632" i="4"/>
  <c r="BJ639" i="4"/>
  <c r="BI639" i="4"/>
  <c r="AE639" i="4" s="1"/>
  <c r="BH639" i="4"/>
  <c r="AD639" i="4" s="1"/>
  <c r="AX639" i="4"/>
  <c r="O639" i="4"/>
  <c r="BF639" i="4" s="1"/>
  <c r="AW639" i="4"/>
  <c r="K639" i="4"/>
  <c r="BI649" i="4"/>
  <c r="AE649" i="4" s="1"/>
  <c r="AX649" i="4"/>
  <c r="BJ572" i="4"/>
  <c r="BJ587" i="4"/>
  <c r="BJ595" i="4"/>
  <c r="BH595" i="4"/>
  <c r="AD595" i="4" s="1"/>
  <c r="AX595" i="4"/>
  <c r="O595" i="4"/>
  <c r="BF595" i="4" s="1"/>
  <c r="AW595" i="4"/>
  <c r="K595" i="4"/>
  <c r="J620" i="4"/>
  <c r="J648" i="4"/>
  <c r="BF565" i="4"/>
  <c r="AO569" i="4"/>
  <c r="J569" i="4" s="1"/>
  <c r="J568" i="4" s="1"/>
  <c r="J567" i="4" s="1"/>
  <c r="AL588" i="4"/>
  <c r="AT605" i="4"/>
  <c r="BJ614" i="4"/>
  <c r="O614" i="4"/>
  <c r="BF614" i="4" s="1"/>
  <c r="L614" i="4"/>
  <c r="AL616" i="4"/>
  <c r="BJ619" i="4"/>
  <c r="BH619" i="4"/>
  <c r="AD619" i="4" s="1"/>
  <c r="O619" i="4"/>
  <c r="BF619" i="4" s="1"/>
  <c r="AW619" i="4"/>
  <c r="L619" i="4"/>
  <c r="L620" i="4"/>
  <c r="AL621" i="4"/>
  <c r="M621" i="4"/>
  <c r="M625" i="4"/>
  <c r="M626" i="4"/>
  <c r="AL626" i="4"/>
  <c r="J639" i="4"/>
  <c r="BJ647" i="4"/>
  <c r="O647" i="4"/>
  <c r="BF647" i="4" s="1"/>
  <c r="L647" i="4"/>
  <c r="L648" i="4"/>
  <c r="BJ578" i="4"/>
  <c r="BI588" i="4"/>
  <c r="AE588" i="4" s="1"/>
  <c r="M623" i="4"/>
  <c r="AL623" i="4"/>
  <c r="BJ638" i="4"/>
  <c r="BH638" i="4"/>
  <c r="AD638" i="4" s="1"/>
  <c r="O638" i="4"/>
  <c r="BF638" i="4" s="1"/>
  <c r="AW638" i="4"/>
  <c r="L638" i="4"/>
  <c r="L639" i="4"/>
  <c r="AL641" i="4"/>
  <c r="M641" i="4"/>
  <c r="M643" i="4"/>
  <c r="AL643" i="4"/>
  <c r="M644" i="4"/>
  <c r="AL644" i="4"/>
  <c r="AP556" i="4"/>
  <c r="BI556" i="4" s="1"/>
  <c r="AE556" i="4" s="1"/>
  <c r="L569" i="4"/>
  <c r="AP573" i="4"/>
  <c r="AX573" i="4" s="1"/>
  <c r="AX582" i="4"/>
  <c r="L595" i="4"/>
  <c r="BH612" i="4"/>
  <c r="AD612" i="4" s="1"/>
  <c r="O612" i="4"/>
  <c r="BF612" i="4" s="1"/>
  <c r="AW612" i="4"/>
  <c r="L612" i="4"/>
  <c r="J612" i="4"/>
  <c r="J619" i="4"/>
  <c r="BH630" i="4"/>
  <c r="AD630" i="4" s="1"/>
  <c r="O630" i="4"/>
  <c r="BF630" i="4" s="1"/>
  <c r="AW630" i="4"/>
  <c r="L630" i="4"/>
  <c r="J630" i="4"/>
  <c r="M633" i="4"/>
  <c r="AL633" i="4"/>
  <c r="M634" i="4"/>
  <c r="AL634" i="4"/>
  <c r="AO542" i="4"/>
  <c r="BH542" i="4" s="1"/>
  <c r="AD542" i="4" s="1"/>
  <c r="AO555" i="4"/>
  <c r="BH555" i="4" s="1"/>
  <c r="AD555" i="4" s="1"/>
  <c r="L556" i="4"/>
  <c r="AO563" i="4"/>
  <c r="BH563" i="4" s="1"/>
  <c r="AD563" i="4" s="1"/>
  <c r="J573" i="4"/>
  <c r="BI579" i="4"/>
  <c r="AX579" i="4"/>
  <c r="O579" i="4"/>
  <c r="BF579" i="4" s="1"/>
  <c r="L579" i="4"/>
  <c r="AW579" i="4"/>
  <c r="AW585" i="4"/>
  <c r="BD588" i="4"/>
  <c r="AX596" i="4"/>
  <c r="BC596" i="4" s="1"/>
  <c r="AL597" i="4"/>
  <c r="AX606" i="4"/>
  <c r="AL607" i="4"/>
  <c r="BH618" i="4"/>
  <c r="AD618" i="4" s="1"/>
  <c r="O618" i="4"/>
  <c r="BF618" i="4" s="1"/>
  <c r="L618" i="4"/>
  <c r="J618" i="4"/>
  <c r="BF633" i="4"/>
  <c r="J638" i="4"/>
  <c r="O646" i="4"/>
  <c r="BF646" i="4" s="1"/>
  <c r="AW646" i="4"/>
  <c r="L646" i="4"/>
  <c r="AW556" i="4"/>
  <c r="K563" i="4"/>
  <c r="O569" i="4"/>
  <c r="K575" i="4"/>
  <c r="BJ575" i="4"/>
  <c r="BH575" i="4"/>
  <c r="AB575" i="4" s="1"/>
  <c r="L582" i="4"/>
  <c r="AO582" i="4"/>
  <c r="BH582" i="4" s="1"/>
  <c r="AD582" i="4" s="1"/>
  <c r="AX585" i="4"/>
  <c r="BH601" i="4"/>
  <c r="AD601" i="4" s="1"/>
  <c r="O601" i="4"/>
  <c r="BF601" i="4" s="1"/>
  <c r="L601" i="4"/>
  <c r="J601" i="4"/>
  <c r="BH637" i="4"/>
  <c r="AD637" i="4" s="1"/>
  <c r="O637" i="4"/>
  <c r="BF637" i="4" s="1"/>
  <c r="L637" i="4"/>
  <c r="AO541" i="4"/>
  <c r="BH541" i="4" s="1"/>
  <c r="AD541" i="4" s="1"/>
  <c r="AO554" i="4"/>
  <c r="BH554" i="4" s="1"/>
  <c r="AD554" i="4" s="1"/>
  <c r="O556" i="4"/>
  <c r="BF556" i="4" s="1"/>
  <c r="AO562" i="4"/>
  <c r="BH562" i="4" s="1"/>
  <c r="AD562" i="4" s="1"/>
  <c r="L563" i="4"/>
  <c r="AS571" i="4"/>
  <c r="L573" i="4"/>
  <c r="K577" i="4"/>
  <c r="K579" i="4"/>
  <c r="K582" i="4"/>
  <c r="K581" i="4" s="1"/>
  <c r="BJ588" i="4"/>
  <c r="BJ602" i="4"/>
  <c r="O602" i="4"/>
  <c r="BF602" i="4" s="1"/>
  <c r="L602" i="4"/>
  <c r="K541" i="4"/>
  <c r="K554" i="4"/>
  <c r="K562" i="4"/>
  <c r="O573" i="4"/>
  <c r="BF573" i="4" s="1"/>
  <c r="AX575" i="4"/>
  <c r="L577" i="4"/>
  <c r="BD577" i="4"/>
  <c r="BJ582" i="4"/>
  <c r="M585" i="4"/>
  <c r="AP598" i="4"/>
  <c r="AL606" i="4"/>
  <c r="M606" i="4"/>
  <c r="AP608" i="4"/>
  <c r="AO525" i="4"/>
  <c r="J525" i="4" s="1"/>
  <c r="AO535" i="4"/>
  <c r="J535" i="4" s="1"/>
  <c r="AO540" i="4"/>
  <c r="J540" i="4" s="1"/>
  <c r="L541" i="4"/>
  <c r="AO553" i="4"/>
  <c r="L554" i="4"/>
  <c r="AO561" i="4"/>
  <c r="L562" i="4"/>
  <c r="O563" i="4"/>
  <c r="BF563" i="4" s="1"/>
  <c r="AO566" i="4"/>
  <c r="AW566" i="4" s="1"/>
  <c r="L575" i="4"/>
  <c r="BJ579" i="4"/>
  <c r="Z579" i="4" s="1"/>
  <c r="BI589" i="4"/>
  <c r="AE589" i="4" s="1"/>
  <c r="AX589" i="4"/>
  <c r="AV589" i="4" s="1"/>
  <c r="O589" i="4"/>
  <c r="BF589" i="4" s="1"/>
  <c r="L589" i="4"/>
  <c r="J589" i="4"/>
  <c r="BC589" i="4"/>
  <c r="J602" i="4"/>
  <c r="O605" i="4"/>
  <c r="BF606" i="4"/>
  <c r="BJ607" i="4"/>
  <c r="AO572" i="4"/>
  <c r="BJ573" i="4"/>
  <c r="AP597" i="4"/>
  <c r="AO597" i="4"/>
  <c r="AW597" i="4" s="1"/>
  <c r="BD598" i="4"/>
  <c r="AP607" i="4"/>
  <c r="AO607" i="4"/>
  <c r="BD608" i="4"/>
  <c r="BI616" i="4"/>
  <c r="AE616" i="4" s="1"/>
  <c r="BI644" i="4"/>
  <c r="AE644" i="4" s="1"/>
  <c r="AP593" i="4"/>
  <c r="BI593" i="4" s="1"/>
  <c r="AE593" i="4" s="1"/>
  <c r="AP602" i="4"/>
  <c r="BI602" i="4" s="1"/>
  <c r="AE602" i="4" s="1"/>
  <c r="AP614" i="4"/>
  <c r="AX614" i="4" s="1"/>
  <c r="AP619" i="4"/>
  <c r="BI619" i="4" s="1"/>
  <c r="AE619" i="4" s="1"/>
  <c r="AP638" i="4"/>
  <c r="K638" i="4" s="1"/>
  <c r="AP647" i="4"/>
  <c r="BI647" i="4" s="1"/>
  <c r="AE647" i="4" s="1"/>
  <c r="AP652" i="4"/>
  <c r="BI652" i="4" s="1"/>
  <c r="AE652" i="4" s="1"/>
  <c r="BJ625" i="4"/>
  <c r="BJ633" i="4"/>
  <c r="BJ643" i="4"/>
  <c r="AP580" i="4"/>
  <c r="K580" i="4" s="1"/>
  <c r="AP591" i="4"/>
  <c r="BI591" i="4" s="1"/>
  <c r="AE591" i="4" s="1"/>
  <c r="AP601" i="4"/>
  <c r="AX601" i="4" s="1"/>
  <c r="BC601" i="4" s="1"/>
  <c r="AP612" i="4"/>
  <c r="BI612" i="4" s="1"/>
  <c r="AE612" i="4" s="1"/>
  <c r="AP618" i="4"/>
  <c r="BI618" i="4" s="1"/>
  <c r="AE618" i="4" s="1"/>
  <c r="BI623" i="4"/>
  <c r="AE623" i="4" s="1"/>
  <c r="AP630" i="4"/>
  <c r="AX630" i="4" s="1"/>
  <c r="AP637" i="4"/>
  <c r="BI637" i="4" s="1"/>
  <c r="AE637" i="4" s="1"/>
  <c r="BI642" i="4"/>
  <c r="AE642" i="4" s="1"/>
  <c r="AP646" i="4"/>
  <c r="BI646" i="4" s="1"/>
  <c r="AE646" i="4" s="1"/>
  <c r="AP651" i="4"/>
  <c r="AX651" i="4" s="1"/>
  <c r="BH585" i="4"/>
  <c r="AD585" i="4" s="1"/>
  <c r="BJ597" i="4"/>
  <c r="J600" i="4"/>
  <c r="J611" i="4"/>
  <c r="J617" i="4"/>
  <c r="BH621" i="4"/>
  <c r="AD621" i="4" s="1"/>
  <c r="J628" i="4"/>
  <c r="J635" i="4"/>
  <c r="BH641" i="4"/>
  <c r="AD641" i="4" s="1"/>
  <c r="J645" i="4"/>
  <c r="BH649" i="4"/>
  <c r="AD649" i="4" s="1"/>
  <c r="L651" i="4"/>
  <c r="J578" i="4"/>
  <c r="BJ585" i="4"/>
  <c r="BJ596" i="4"/>
  <c r="J599" i="4"/>
  <c r="L600" i="4"/>
  <c r="J604" i="4"/>
  <c r="J603" i="4" s="1"/>
  <c r="BJ606" i="4"/>
  <c r="J610" i="4"/>
  <c r="L611" i="4"/>
  <c r="J616" i="4"/>
  <c r="L617" i="4"/>
  <c r="BJ621" i="4"/>
  <c r="AO626" i="4"/>
  <c r="J626" i="4" s="1"/>
  <c r="L628" i="4"/>
  <c r="AO634" i="4"/>
  <c r="L635" i="4"/>
  <c r="BJ641" i="4"/>
  <c r="AO644" i="4"/>
  <c r="L645" i="4"/>
  <c r="BJ649" i="4"/>
  <c r="O651" i="4"/>
  <c r="J577" i="4"/>
  <c r="O600" i="4"/>
  <c r="BF600" i="4" s="1"/>
  <c r="O611" i="4"/>
  <c r="BF611" i="4" s="1"/>
  <c r="AX611" i="4"/>
  <c r="O617" i="4"/>
  <c r="AX617" i="4"/>
  <c r="BC617" i="4" s="1"/>
  <c r="AO625" i="4"/>
  <c r="O628" i="4"/>
  <c r="BF628" i="4" s="1"/>
  <c r="AX628" i="4"/>
  <c r="AV628" i="4" s="1"/>
  <c r="AO633" i="4"/>
  <c r="O635" i="4"/>
  <c r="BF635" i="4" s="1"/>
  <c r="AX635" i="4"/>
  <c r="AO643" i="4"/>
  <c r="O645" i="4"/>
  <c r="BF645" i="4" s="1"/>
  <c r="AX645" i="4"/>
  <c r="AP625" i="4"/>
  <c r="AP633" i="4"/>
  <c r="AP643" i="4"/>
  <c r="AO623" i="4"/>
  <c r="AO642" i="4"/>
  <c r="AW575" i="4" l="1"/>
  <c r="J637" i="4"/>
  <c r="BC545" i="4"/>
  <c r="BI648" i="4"/>
  <c r="AE648" i="4" s="1"/>
  <c r="AX523" i="4"/>
  <c r="AW544" i="4"/>
  <c r="AW499" i="4"/>
  <c r="AX484" i="4"/>
  <c r="BH433" i="4"/>
  <c r="AL442" i="4"/>
  <c r="BC444" i="4"/>
  <c r="J438" i="4"/>
  <c r="BH466" i="4"/>
  <c r="AD466" i="4" s="1"/>
  <c r="J388" i="4"/>
  <c r="J347" i="4"/>
  <c r="M410" i="4"/>
  <c r="M396" i="4"/>
  <c r="J398" i="4"/>
  <c r="AW378" i="4"/>
  <c r="BH323" i="4"/>
  <c r="AD323" i="4" s="1"/>
  <c r="K336" i="4"/>
  <c r="BH328" i="4"/>
  <c r="AD328" i="4" s="1"/>
  <c r="BI312" i="4"/>
  <c r="AE312" i="4" s="1"/>
  <c r="K253" i="4"/>
  <c r="L289" i="4"/>
  <c r="AL287" i="4"/>
  <c r="BI270" i="4"/>
  <c r="AE270" i="4" s="1"/>
  <c r="BH304" i="4"/>
  <c r="AD304" i="4" s="1"/>
  <c r="BI216" i="4"/>
  <c r="BH197" i="4"/>
  <c r="AB197" i="4" s="1"/>
  <c r="AL255" i="4"/>
  <c r="K249" i="4"/>
  <c r="AW277" i="4"/>
  <c r="BC127" i="4"/>
  <c r="BH123" i="4"/>
  <c r="AD123" i="4" s="1"/>
  <c r="AX140" i="4"/>
  <c r="BC140" i="4" s="1"/>
  <c r="J166" i="4"/>
  <c r="BI128" i="4"/>
  <c r="AE128" i="4" s="1"/>
  <c r="BC166" i="4"/>
  <c r="AW66" i="4"/>
  <c r="AV66" i="4" s="1"/>
  <c r="AW40" i="4"/>
  <c r="AV40" i="4" s="1"/>
  <c r="M540" i="4"/>
  <c r="M566" i="4"/>
  <c r="BC606" i="4"/>
  <c r="BH635" i="4"/>
  <c r="AD635" i="4" s="1"/>
  <c r="J123" i="4"/>
  <c r="AV635" i="4"/>
  <c r="AW588" i="4"/>
  <c r="BC588" i="4" s="1"/>
  <c r="BC645" i="4"/>
  <c r="AW563" i="4"/>
  <c r="AL649" i="4"/>
  <c r="BI600" i="4"/>
  <c r="AE600" i="4" s="1"/>
  <c r="BH591" i="4"/>
  <c r="AD591" i="4" s="1"/>
  <c r="BC610" i="4"/>
  <c r="AW538" i="4"/>
  <c r="AX512" i="4"/>
  <c r="BC512" i="4" s="1"/>
  <c r="J521" i="4"/>
  <c r="AL586" i="4"/>
  <c r="AX465" i="4"/>
  <c r="BI489" i="4"/>
  <c r="AE489" i="4" s="1"/>
  <c r="K465" i="4"/>
  <c r="BH527" i="4"/>
  <c r="AD527" i="4" s="1"/>
  <c r="BH461" i="4"/>
  <c r="AD461" i="4" s="1"/>
  <c r="AW431" i="4"/>
  <c r="J431" i="4"/>
  <c r="M506" i="4"/>
  <c r="AW466" i="4"/>
  <c r="BH377" i="4"/>
  <c r="AD377" i="4" s="1"/>
  <c r="AX358" i="4"/>
  <c r="AW388" i="4"/>
  <c r="J378" i="4"/>
  <c r="K298" i="4"/>
  <c r="AL350" i="4"/>
  <c r="AU349" i="4" s="1"/>
  <c r="K318" i="4"/>
  <c r="AX354" i="4"/>
  <c r="AV354" i="4" s="1"/>
  <c r="K301" i="4"/>
  <c r="AW328" i="4"/>
  <c r="J262" i="4"/>
  <c r="AL290" i="4"/>
  <c r="AU289" i="4" s="1"/>
  <c r="AW256" i="4"/>
  <c r="AX270" i="4"/>
  <c r="AX204" i="4"/>
  <c r="BH209" i="4"/>
  <c r="AB209" i="4" s="1"/>
  <c r="K204" i="4"/>
  <c r="J209" i="4"/>
  <c r="BI88" i="4"/>
  <c r="AE88" i="4" s="1"/>
  <c r="AX145" i="4"/>
  <c r="BH76" i="4"/>
  <c r="AD76" i="4" s="1"/>
  <c r="AW72" i="4"/>
  <c r="AW25" i="4"/>
  <c r="AW60" i="4"/>
  <c r="J47" i="4"/>
  <c r="AV245" i="4"/>
  <c r="AX600" i="4"/>
  <c r="AW651" i="4"/>
  <c r="BH538" i="4"/>
  <c r="AD538" i="4" s="1"/>
  <c r="K523" i="4"/>
  <c r="BH550" i="4"/>
  <c r="AD550" i="4" s="1"/>
  <c r="BH545" i="4"/>
  <c r="AD545" i="4" s="1"/>
  <c r="K484" i="4"/>
  <c r="J411" i="4"/>
  <c r="BI430" i="4"/>
  <c r="AC430" i="4" s="1"/>
  <c r="M417" i="4"/>
  <c r="J433" i="4"/>
  <c r="J333" i="4"/>
  <c r="BI301" i="4"/>
  <c r="AE301" i="4" s="1"/>
  <c r="BI354" i="4"/>
  <c r="AC354" i="4" s="1"/>
  <c r="K293" i="4"/>
  <c r="BI300" i="4"/>
  <c r="AE300" i="4" s="1"/>
  <c r="BI170" i="4"/>
  <c r="AE170" i="4" s="1"/>
  <c r="AW134" i="4"/>
  <c r="AX218" i="4"/>
  <c r="BC218" i="4" s="1"/>
  <c r="J197" i="4"/>
  <c r="BI145" i="4"/>
  <c r="AC145" i="4" s="1"/>
  <c r="BI140" i="4"/>
  <c r="AC140" i="4" s="1"/>
  <c r="AL121" i="4"/>
  <c r="AV123" i="4"/>
  <c r="AX57" i="4"/>
  <c r="M478" i="4"/>
  <c r="BC478" i="4"/>
  <c r="AW213" i="4"/>
  <c r="BH651" i="4"/>
  <c r="AD651" i="4" s="1"/>
  <c r="BH596" i="4"/>
  <c r="AD596" i="4" s="1"/>
  <c r="M596" i="4"/>
  <c r="BH579" i="4"/>
  <c r="J614" i="4"/>
  <c r="AX588" i="4"/>
  <c r="AW614" i="4"/>
  <c r="BC614" i="4" s="1"/>
  <c r="BH593" i="4"/>
  <c r="AD593" i="4" s="1"/>
  <c r="AX591" i="4"/>
  <c r="BC591" i="4" s="1"/>
  <c r="M560" i="4"/>
  <c r="M547" i="4"/>
  <c r="J503" i="4"/>
  <c r="AL604" i="4"/>
  <c r="AU603" i="4" s="1"/>
  <c r="J505" i="4"/>
  <c r="AX474" i="4"/>
  <c r="AV474" i="4" s="1"/>
  <c r="BH549" i="4"/>
  <c r="AD549" i="4" s="1"/>
  <c r="BH499" i="4"/>
  <c r="AB499" i="4" s="1"/>
  <c r="BH440" i="4"/>
  <c r="AD440" i="4" s="1"/>
  <c r="BH423" i="4"/>
  <c r="AW423" i="4"/>
  <c r="AV478" i="4"/>
  <c r="J406" i="4"/>
  <c r="AX468" i="4"/>
  <c r="BC468" i="4" s="1"/>
  <c r="AW430" i="4"/>
  <c r="BI399" i="4"/>
  <c r="AE399" i="4" s="1"/>
  <c r="K399" i="4"/>
  <c r="AW368" i="4"/>
  <c r="BC368" i="4" s="1"/>
  <c r="M384" i="4"/>
  <c r="K358" i="4"/>
  <c r="AL409" i="4"/>
  <c r="AW288" i="4"/>
  <c r="M286" i="4"/>
  <c r="AW274" i="4"/>
  <c r="J254" i="4"/>
  <c r="AW261" i="4"/>
  <c r="BC261" i="4" s="1"/>
  <c r="K315" i="4"/>
  <c r="J211" i="4"/>
  <c r="K197" i="4"/>
  <c r="AW211" i="4"/>
  <c r="AV211" i="4" s="1"/>
  <c r="AX197" i="4"/>
  <c r="BH213" i="4"/>
  <c r="AB213" i="4" s="1"/>
  <c r="BC245" i="4"/>
  <c r="J115" i="4"/>
  <c r="J106" i="4"/>
  <c r="AX66" i="4"/>
  <c r="J60" i="4"/>
  <c r="K66" i="4"/>
  <c r="BI172" i="4"/>
  <c r="AE172" i="4" s="1"/>
  <c r="J245" i="4"/>
  <c r="BH262" i="4"/>
  <c r="AD262" i="4" s="1"/>
  <c r="AW264" i="4"/>
  <c r="BC264" i="4" s="1"/>
  <c r="BI478" i="4"/>
  <c r="AE478" i="4" s="1"/>
  <c r="AX477" i="4"/>
  <c r="BH313" i="4"/>
  <c r="AD313" i="4" s="1"/>
  <c r="J313" i="4"/>
  <c r="BC611" i="4"/>
  <c r="BH606" i="4"/>
  <c r="AD606" i="4" s="1"/>
  <c r="BI634" i="4"/>
  <c r="AE634" i="4" s="1"/>
  <c r="AV606" i="4"/>
  <c r="M604" i="4"/>
  <c r="M603" i="4" s="1"/>
  <c r="AW549" i="4"/>
  <c r="K478" i="4"/>
  <c r="M479" i="4"/>
  <c r="AW467" i="4"/>
  <c r="AX452" i="4"/>
  <c r="AW440" i="4"/>
  <c r="M447" i="4"/>
  <c r="AX379" i="4"/>
  <c r="BI386" i="4"/>
  <c r="AE386" i="4" s="1"/>
  <c r="K343" i="4"/>
  <c r="AX343" i="4"/>
  <c r="AW336" i="4"/>
  <c r="BH331" i="4"/>
  <c r="AD331" i="4" s="1"/>
  <c r="AX315" i="4"/>
  <c r="AX302" i="4"/>
  <c r="BH222" i="4"/>
  <c r="AD222" i="4" s="1"/>
  <c r="J221" i="4"/>
  <c r="J103" i="4"/>
  <c r="K88" i="4"/>
  <c r="BI72" i="4"/>
  <c r="AE72" i="4" s="1"/>
  <c r="AL39" i="4"/>
  <c r="M49" i="4"/>
  <c r="J52" i="4"/>
  <c r="J51" i="4" s="1"/>
  <c r="K161" i="4"/>
  <c r="BC262" i="4"/>
  <c r="AV486" i="4"/>
  <c r="K634" i="4"/>
  <c r="K474" i="4"/>
  <c r="K389" i="4"/>
  <c r="AW464" i="4"/>
  <c r="J606" i="4"/>
  <c r="J605" i="4" s="1"/>
  <c r="J596" i="4"/>
  <c r="J593" i="4"/>
  <c r="AW574" i="4"/>
  <c r="AW560" i="4"/>
  <c r="AV560" i="4" s="1"/>
  <c r="BI506" i="4"/>
  <c r="J545" i="4"/>
  <c r="M428" i="4"/>
  <c r="AW407" i="4"/>
  <c r="BC407" i="4" s="1"/>
  <c r="AX386" i="4"/>
  <c r="AV346" i="4"/>
  <c r="BI282" i="4"/>
  <c r="AC282" i="4" s="1"/>
  <c r="BH274" i="4"/>
  <c r="AD274" i="4" s="1"/>
  <c r="M285" i="4"/>
  <c r="J222" i="4"/>
  <c r="BH178" i="4"/>
  <c r="AD178" i="4" s="1"/>
  <c r="K162" i="4"/>
  <c r="J249" i="4"/>
  <c r="M262" i="4"/>
  <c r="AW249" i="4"/>
  <c r="BC249" i="4" s="1"/>
  <c r="AW143" i="4"/>
  <c r="AW160" i="4"/>
  <c r="K131" i="4"/>
  <c r="K130" i="4" s="1"/>
  <c r="AW141" i="4"/>
  <c r="AX86" i="4"/>
  <c r="AV86" i="4" s="1"/>
  <c r="BC40" i="4"/>
  <c r="AL55" i="4"/>
  <c r="BH131" i="4"/>
  <c r="AD131" i="4" s="1"/>
  <c r="AX161" i="4"/>
  <c r="AV161" i="4" s="1"/>
  <c r="BI423" i="4"/>
  <c r="K423" i="4"/>
  <c r="K422" i="4" s="1"/>
  <c r="K421" i="4" s="1"/>
  <c r="AX423" i="4"/>
  <c r="BI212" i="4"/>
  <c r="AC212" i="4" s="1"/>
  <c r="K212" i="4"/>
  <c r="J122" i="4"/>
  <c r="BH122" i="4"/>
  <c r="AD122" i="4" s="1"/>
  <c r="BC411" i="4"/>
  <c r="AV411" i="4"/>
  <c r="AW276" i="4"/>
  <c r="J276" i="4"/>
  <c r="J275" i="4" s="1"/>
  <c r="BH276" i="4"/>
  <c r="AD276" i="4" s="1"/>
  <c r="AW257" i="4"/>
  <c r="J257" i="4"/>
  <c r="BI234" i="4"/>
  <c r="AE234" i="4" s="1"/>
  <c r="AX234" i="4"/>
  <c r="AV234" i="4" s="1"/>
  <c r="K234" i="4"/>
  <c r="BI566" i="4"/>
  <c r="AE566" i="4" s="1"/>
  <c r="AX566" i="4"/>
  <c r="BC566" i="4" s="1"/>
  <c r="J473" i="4"/>
  <c r="BH473" i="4"/>
  <c r="AD473" i="4" s="1"/>
  <c r="BH647" i="4"/>
  <c r="AD647" i="4" s="1"/>
  <c r="K591" i="4"/>
  <c r="J452" i="4"/>
  <c r="BH452" i="4"/>
  <c r="AD452" i="4" s="1"/>
  <c r="BC419" i="4"/>
  <c r="AV419" i="4"/>
  <c r="K406" i="4"/>
  <c r="J446" i="4"/>
  <c r="AW446" i="4"/>
  <c r="K451" i="4"/>
  <c r="AX451" i="4"/>
  <c r="BC451" i="4" s="1"/>
  <c r="BI451" i="4"/>
  <c r="AE451" i="4" s="1"/>
  <c r="BI462" i="4"/>
  <c r="AE462" i="4" s="1"/>
  <c r="BH375" i="4"/>
  <c r="AD375" i="4" s="1"/>
  <c r="BI377" i="4"/>
  <c r="AE377" i="4" s="1"/>
  <c r="K377" i="4"/>
  <c r="AX377" i="4"/>
  <c r="J325" i="4"/>
  <c r="AW325" i="4"/>
  <c r="BH325" i="4"/>
  <c r="AD325" i="4" s="1"/>
  <c r="BI292" i="4"/>
  <c r="AE292" i="4" s="1"/>
  <c r="K292" i="4"/>
  <c r="J312" i="4"/>
  <c r="BH312" i="4"/>
  <c r="AD312" i="4" s="1"/>
  <c r="BH280" i="4"/>
  <c r="AB280" i="4" s="1"/>
  <c r="J280" i="4"/>
  <c r="AW280" i="4"/>
  <c r="AV280" i="4" s="1"/>
  <c r="BH257" i="4"/>
  <c r="AD257" i="4" s="1"/>
  <c r="AW128" i="4"/>
  <c r="BH128" i="4"/>
  <c r="AD128" i="4" s="1"/>
  <c r="M22" i="4"/>
  <c r="M21" i="4" s="1"/>
  <c r="L21" i="4"/>
  <c r="BI32" i="4"/>
  <c r="AE32" i="4" s="1"/>
  <c r="AX32" i="4"/>
  <c r="K32" i="4"/>
  <c r="K31" i="4" s="1"/>
  <c r="M18" i="4"/>
  <c r="AL18" i="4"/>
  <c r="AX30" i="4"/>
  <c r="BC30" i="4" s="1"/>
  <c r="BI30" i="4"/>
  <c r="AC30" i="4" s="1"/>
  <c r="K30" i="4"/>
  <c r="K29" i="4" s="1"/>
  <c r="M47" i="4"/>
  <c r="AL47" i="4"/>
  <c r="AX50" i="4"/>
  <c r="BC50" i="4" s="1"/>
  <c r="K50" i="4"/>
  <c r="AW61" i="4"/>
  <c r="BH61" i="4"/>
  <c r="J61" i="4"/>
  <c r="AL96" i="4"/>
  <c r="M96" i="4"/>
  <c r="AX98" i="4"/>
  <c r="AV98" i="4" s="1"/>
  <c r="K98" i="4"/>
  <c r="AL106" i="4"/>
  <c r="M106" i="4"/>
  <c r="AW114" i="4"/>
  <c r="BH114" i="4"/>
  <c r="AD114" i="4" s="1"/>
  <c r="BI138" i="4"/>
  <c r="AC138" i="4" s="1"/>
  <c r="K138" i="4"/>
  <c r="AX138" i="4"/>
  <c r="AV138" i="4" s="1"/>
  <c r="AW145" i="4"/>
  <c r="AV145" i="4" s="1"/>
  <c r="BH145" i="4"/>
  <c r="AB145" i="4" s="1"/>
  <c r="K323" i="4"/>
  <c r="BI323" i="4"/>
  <c r="AE323" i="4" s="1"/>
  <c r="AX323" i="4"/>
  <c r="BC323" i="4" s="1"/>
  <c r="BH320" i="4"/>
  <c r="AD320" i="4" s="1"/>
  <c r="AW320" i="4"/>
  <c r="AL318" i="4"/>
  <c r="M318" i="4"/>
  <c r="BI440" i="4"/>
  <c r="AE440" i="4" s="1"/>
  <c r="AX440" i="4"/>
  <c r="AW441" i="4"/>
  <c r="BC441" i="4" s="1"/>
  <c r="BH441" i="4"/>
  <c r="AD441" i="4" s="1"/>
  <c r="M446" i="4"/>
  <c r="AL446" i="4"/>
  <c r="AX473" i="4"/>
  <c r="BC473" i="4" s="1"/>
  <c r="BI473" i="4"/>
  <c r="AE473" i="4" s="1"/>
  <c r="BI368" i="4"/>
  <c r="AE368" i="4" s="1"/>
  <c r="K368" i="4"/>
  <c r="BH316" i="4"/>
  <c r="AD316" i="4" s="1"/>
  <c r="AW316" i="4"/>
  <c r="BC316" i="4" s="1"/>
  <c r="J316" i="4"/>
  <c r="K372" i="4"/>
  <c r="BI372" i="4"/>
  <c r="AE372" i="4" s="1"/>
  <c r="BI559" i="4"/>
  <c r="AE559" i="4" s="1"/>
  <c r="AX559" i="4"/>
  <c r="BH360" i="4"/>
  <c r="J360" i="4"/>
  <c r="BH136" i="4"/>
  <c r="AB136" i="4" s="1"/>
  <c r="AW136" i="4"/>
  <c r="BI404" i="4"/>
  <c r="AE404" i="4" s="1"/>
  <c r="AX404" i="4"/>
  <c r="BC404" i="4" s="1"/>
  <c r="K404" i="4"/>
  <c r="AX305" i="4"/>
  <c r="K305" i="4"/>
  <c r="BI305" i="4"/>
  <c r="AE305" i="4" s="1"/>
  <c r="J588" i="4"/>
  <c r="AX602" i="4"/>
  <c r="K637" i="4"/>
  <c r="J647" i="4"/>
  <c r="J493" i="4"/>
  <c r="BI513" i="4"/>
  <c r="AE513" i="4" s="1"/>
  <c r="AX513" i="4"/>
  <c r="BH513" i="4"/>
  <c r="AD513" i="4" s="1"/>
  <c r="J513" i="4"/>
  <c r="AW513" i="4"/>
  <c r="K513" i="4"/>
  <c r="J269" i="4"/>
  <c r="AW269" i="4"/>
  <c r="BC269" i="4" s="1"/>
  <c r="BH269" i="4"/>
  <c r="AD269" i="4" s="1"/>
  <c r="K223" i="4"/>
  <c r="AX223" i="4"/>
  <c r="AV223" i="4" s="1"/>
  <c r="AW122" i="4"/>
  <c r="AL263" i="4"/>
  <c r="M263" i="4"/>
  <c r="K276" i="4"/>
  <c r="K275" i="4" s="1"/>
  <c r="BI276" i="4"/>
  <c r="AE276" i="4" s="1"/>
  <c r="AX276" i="4"/>
  <c r="AV276" i="4" s="1"/>
  <c r="M565" i="4"/>
  <c r="AL565" i="4"/>
  <c r="AU564" i="4" s="1"/>
  <c r="K604" i="4"/>
  <c r="K603" i="4" s="1"/>
  <c r="AX604" i="4"/>
  <c r="BC604" i="4" s="1"/>
  <c r="BI461" i="4"/>
  <c r="AE461" i="4" s="1"/>
  <c r="AX461" i="4"/>
  <c r="BI457" i="4"/>
  <c r="AE457" i="4" s="1"/>
  <c r="AX457" i="4"/>
  <c r="K457" i="4"/>
  <c r="J228" i="4"/>
  <c r="BH228" i="4"/>
  <c r="AD228" i="4" s="1"/>
  <c r="AW228" i="4"/>
  <c r="AL80" i="4"/>
  <c r="M80" i="4"/>
  <c r="AX431" i="4"/>
  <c r="BC431" i="4" s="1"/>
  <c r="K431" i="4"/>
  <c r="BI431" i="4"/>
  <c r="AC431" i="4" s="1"/>
  <c r="K188" i="4"/>
  <c r="AX188" i="4"/>
  <c r="AV188" i="4" s="1"/>
  <c r="BI188" i="4"/>
  <c r="AC188" i="4" s="1"/>
  <c r="BH157" i="4"/>
  <c r="AB157" i="4" s="1"/>
  <c r="J157" i="4"/>
  <c r="J156" i="4" s="1"/>
  <c r="AW157" i="4"/>
  <c r="K87" i="4"/>
  <c r="AX87" i="4"/>
  <c r="AL68" i="4"/>
  <c r="M68" i="4"/>
  <c r="K601" i="4"/>
  <c r="K559" i="4"/>
  <c r="BH367" i="4"/>
  <c r="AD367" i="4" s="1"/>
  <c r="J367" i="4"/>
  <c r="K566" i="4"/>
  <c r="BC547" i="4"/>
  <c r="J488" i="4"/>
  <c r="BH488" i="4"/>
  <c r="AD488" i="4" s="1"/>
  <c r="BH429" i="4"/>
  <c r="AB429" i="4" s="1"/>
  <c r="AW227" i="4"/>
  <c r="J227" i="4"/>
  <c r="BI74" i="4"/>
  <c r="AE74" i="4" s="1"/>
  <c r="K74" i="4"/>
  <c r="J164" i="4"/>
  <c r="BH164" i="4"/>
  <c r="AD164" i="4" s="1"/>
  <c r="AW164" i="4"/>
  <c r="AV164" i="4" s="1"/>
  <c r="BH172" i="4"/>
  <c r="AD172" i="4" s="1"/>
  <c r="J172" i="4"/>
  <c r="BH190" i="4"/>
  <c r="AB190" i="4" s="1"/>
  <c r="J190" i="4"/>
  <c r="K200" i="4"/>
  <c r="BI200" i="4"/>
  <c r="AC200" i="4" s="1"/>
  <c r="AX211" i="4"/>
  <c r="K211" i="4"/>
  <c r="BI211" i="4"/>
  <c r="AC211" i="4" s="1"/>
  <c r="BI209" i="4"/>
  <c r="AC209" i="4" s="1"/>
  <c r="AX209" i="4"/>
  <c r="AV209" i="4" s="1"/>
  <c r="J218" i="4"/>
  <c r="J217" i="4" s="1"/>
  <c r="BH218" i="4"/>
  <c r="AD218" i="4" s="1"/>
  <c r="J224" i="4"/>
  <c r="BH224" i="4"/>
  <c r="AD224" i="4" s="1"/>
  <c r="BI252" i="4"/>
  <c r="AE252" i="4" s="1"/>
  <c r="AX252" i="4"/>
  <c r="K252" i="4"/>
  <c r="BH272" i="4"/>
  <c r="AD272" i="4" s="1"/>
  <c r="J272" i="4"/>
  <c r="BI381" i="4"/>
  <c r="AE381" i="4" s="1"/>
  <c r="K381" i="4"/>
  <c r="K380" i="4" s="1"/>
  <c r="AW400" i="4"/>
  <c r="J400" i="4"/>
  <c r="BH400" i="4"/>
  <c r="AD400" i="4" s="1"/>
  <c r="AL511" i="4"/>
  <c r="M511" i="4"/>
  <c r="BI534" i="4"/>
  <c r="AE534" i="4" s="1"/>
  <c r="K534" i="4"/>
  <c r="BI228" i="4"/>
  <c r="AE228" i="4" s="1"/>
  <c r="K228" i="4"/>
  <c r="AX228" i="4"/>
  <c r="AV228" i="4" s="1"/>
  <c r="J432" i="4"/>
  <c r="BH432" i="4"/>
  <c r="AB432" i="4" s="1"/>
  <c r="AW432" i="4"/>
  <c r="M267" i="4"/>
  <c r="AL267" i="4"/>
  <c r="J223" i="4"/>
  <c r="BH223" i="4"/>
  <c r="AD223" i="4" s="1"/>
  <c r="BI460" i="4"/>
  <c r="AE460" i="4" s="1"/>
  <c r="AX460" i="4"/>
  <c r="BH346" i="4"/>
  <c r="AD346" i="4" s="1"/>
  <c r="J346" i="4"/>
  <c r="BI507" i="4"/>
  <c r="J416" i="4"/>
  <c r="BH371" i="4"/>
  <c r="AD371" i="4" s="1"/>
  <c r="AW363" i="4"/>
  <c r="AV363" i="4" s="1"/>
  <c r="AW369" i="4"/>
  <c r="BC369" i="4" s="1"/>
  <c r="AW371" i="4"/>
  <c r="BC354" i="4"/>
  <c r="AX306" i="4"/>
  <c r="AX312" i="4"/>
  <c r="BI232" i="4"/>
  <c r="AE232" i="4" s="1"/>
  <c r="BI218" i="4"/>
  <c r="AE218" i="4" s="1"/>
  <c r="AW41" i="4"/>
  <c r="BC41" i="4" s="1"/>
  <c r="J30" i="4"/>
  <c r="J29" i="4" s="1"/>
  <c r="AX116" i="4"/>
  <c r="AW116" i="4"/>
  <c r="J111" i="4"/>
  <c r="L17" i="4"/>
  <c r="AX331" i="4"/>
  <c r="AV331" i="4" s="1"/>
  <c r="BF604" i="4"/>
  <c r="O603" i="4"/>
  <c r="K585" i="4"/>
  <c r="BC479" i="4"/>
  <c r="J264" i="4"/>
  <c r="AL161" i="4"/>
  <c r="M161" i="4"/>
  <c r="AX540" i="4"/>
  <c r="BI540" i="4"/>
  <c r="AE540" i="4" s="1"/>
  <c r="BI325" i="4"/>
  <c r="AE325" i="4" s="1"/>
  <c r="BC126" i="4"/>
  <c r="BC331" i="4"/>
  <c r="AX296" i="4"/>
  <c r="K296" i="4"/>
  <c r="AW226" i="4"/>
  <c r="AV226" i="4" s="1"/>
  <c r="J226" i="4"/>
  <c r="J234" i="4"/>
  <c r="K504" i="4"/>
  <c r="BH430" i="4"/>
  <c r="AB430" i="4" s="1"/>
  <c r="J363" i="4"/>
  <c r="J362" i="4" s="1"/>
  <c r="BH242" i="4"/>
  <c r="AD242" i="4" s="1"/>
  <c r="BH268" i="4"/>
  <c r="AD268" i="4" s="1"/>
  <c r="J256" i="4"/>
  <c r="AW203" i="4"/>
  <c r="AX232" i="4"/>
  <c r="BC232" i="4" s="1"/>
  <c r="AX178" i="4"/>
  <c r="AW109" i="4"/>
  <c r="BH115" i="4"/>
  <c r="AD115" i="4" s="1"/>
  <c r="BH134" i="4"/>
  <c r="AB134" i="4" s="1"/>
  <c r="K47" i="4"/>
  <c r="K116" i="4"/>
  <c r="K64" i="4"/>
  <c r="BH111" i="4"/>
  <c r="AD111" i="4" s="1"/>
  <c r="AL83" i="4"/>
  <c r="J64" i="4"/>
  <c r="J65" i="4"/>
  <c r="M19" i="4"/>
  <c r="BH52" i="4"/>
  <c r="AD52" i="4" s="1"/>
  <c r="AW22" i="4"/>
  <c r="AV22" i="4" s="1"/>
  <c r="AX266" i="4"/>
  <c r="K331" i="4"/>
  <c r="M487" i="4"/>
  <c r="BI233" i="4"/>
  <c r="AE233" i="4" s="1"/>
  <c r="J131" i="4"/>
  <c r="J130" i="4" s="1"/>
  <c r="K652" i="4"/>
  <c r="AL642" i="4"/>
  <c r="J646" i="4"/>
  <c r="BI645" i="4"/>
  <c r="AE645" i="4" s="1"/>
  <c r="AX644" i="4"/>
  <c r="K644" i="4"/>
  <c r="AX638" i="4"/>
  <c r="BC638" i="4" s="1"/>
  <c r="BI638" i="4"/>
  <c r="AE638" i="4" s="1"/>
  <c r="BC635" i="4"/>
  <c r="BI630" i="4"/>
  <c r="AE630" i="4" s="1"/>
  <c r="BI628" i="4"/>
  <c r="AE628" i="4" s="1"/>
  <c r="AX626" i="4"/>
  <c r="K626" i="4"/>
  <c r="K618" i="4"/>
  <c r="AX618" i="4"/>
  <c r="BC618" i="4" s="1"/>
  <c r="K619" i="4"/>
  <c r="AX616" i="4"/>
  <c r="K616" i="4"/>
  <c r="K614" i="4"/>
  <c r="BI614" i="4"/>
  <c r="AE614" i="4" s="1"/>
  <c r="K612" i="4"/>
  <c r="BH602" i="4"/>
  <c r="AD602" i="4" s="1"/>
  <c r="BI601" i="4"/>
  <c r="AE601" i="4" s="1"/>
  <c r="K593" i="4"/>
  <c r="AW582" i="4"/>
  <c r="AV582" i="4" s="1"/>
  <c r="AX577" i="4"/>
  <c r="BI577" i="4"/>
  <c r="AC577" i="4" s="1"/>
  <c r="AW580" i="4"/>
  <c r="K573" i="4"/>
  <c r="AW573" i="4"/>
  <c r="AV573" i="4" s="1"/>
  <c r="BH580" i="4"/>
  <c r="BH569" i="4"/>
  <c r="BI569" i="4"/>
  <c r="K569" i="4"/>
  <c r="K568" i="4" s="1"/>
  <c r="K567" i="4" s="1"/>
  <c r="AW569" i="4"/>
  <c r="BC569" i="4" s="1"/>
  <c r="M564" i="4"/>
  <c r="K564" i="4"/>
  <c r="K557" i="4"/>
  <c r="BH560" i="4"/>
  <c r="AD560" i="4" s="1"/>
  <c r="AV552" i="4"/>
  <c r="K556" i="4"/>
  <c r="J550" i="4"/>
  <c r="AX538" i="4"/>
  <c r="AV538" i="4" s="1"/>
  <c r="K538" i="4"/>
  <c r="AX543" i="4"/>
  <c r="BC543" i="4" s="1"/>
  <c r="K537" i="4"/>
  <c r="BI530" i="4"/>
  <c r="AE530" i="4" s="1"/>
  <c r="K530" i="4"/>
  <c r="BH534" i="4"/>
  <c r="AD534" i="4" s="1"/>
  <c r="AW534" i="4"/>
  <c r="J534" i="4"/>
  <c r="BI531" i="4"/>
  <c r="AE531" i="4" s="1"/>
  <c r="K518" i="4"/>
  <c r="K522" i="4"/>
  <c r="BI522" i="4"/>
  <c r="AE522" i="4" s="1"/>
  <c r="AL525" i="4"/>
  <c r="M525" i="4"/>
  <c r="BH519" i="4"/>
  <c r="AD519" i="4" s="1"/>
  <c r="AW522" i="4"/>
  <c r="BC522" i="4" s="1"/>
  <c r="BH524" i="4"/>
  <c r="AD524" i="4" s="1"/>
  <c r="J524" i="4"/>
  <c r="AL517" i="4"/>
  <c r="M517" i="4"/>
  <c r="M524" i="4"/>
  <c r="J514" i="4"/>
  <c r="AW511" i="4"/>
  <c r="BH511" i="4"/>
  <c r="AD511" i="4" s="1"/>
  <c r="AW504" i="4"/>
  <c r="J504" i="4"/>
  <c r="AX496" i="4"/>
  <c r="BI496" i="4"/>
  <c r="K491" i="4"/>
  <c r="AW493" i="4"/>
  <c r="AW492" i="4"/>
  <c r="BH492" i="4"/>
  <c r="AD492" i="4" s="1"/>
  <c r="M492" i="4"/>
  <c r="AX485" i="4"/>
  <c r="BC486" i="4"/>
  <c r="AW490" i="4"/>
  <c r="BC490" i="4" s="1"/>
  <c r="BI485" i="4"/>
  <c r="AE485" i="4" s="1"/>
  <c r="AL485" i="4"/>
  <c r="M485" i="4"/>
  <c r="BH485" i="4"/>
  <c r="AD485" i="4" s="1"/>
  <c r="AW485" i="4"/>
  <c r="AW487" i="4"/>
  <c r="BH487" i="4"/>
  <c r="AD487" i="4" s="1"/>
  <c r="K482" i="4"/>
  <c r="J490" i="4"/>
  <c r="L475" i="4"/>
  <c r="J484" i="4"/>
  <c r="J475" i="4" s="1"/>
  <c r="AL486" i="4"/>
  <c r="M486" i="4"/>
  <c r="BI472" i="4"/>
  <c r="AE472" i="4" s="1"/>
  <c r="M473" i="4"/>
  <c r="AX470" i="4"/>
  <c r="AV470" i="4" s="1"/>
  <c r="K470" i="4"/>
  <c r="AX471" i="4"/>
  <c r="AV471" i="4" s="1"/>
  <c r="M468" i="4"/>
  <c r="BH469" i="4"/>
  <c r="AD469" i="4" s="1"/>
  <c r="J469" i="4"/>
  <c r="BI464" i="4"/>
  <c r="AE464" i="4" s="1"/>
  <c r="AX464" i="4"/>
  <c r="AX472" i="4"/>
  <c r="K473" i="4"/>
  <c r="K468" i="4"/>
  <c r="AL472" i="4"/>
  <c r="M472" i="4"/>
  <c r="AW461" i="4"/>
  <c r="AX459" i="4"/>
  <c r="BI459" i="4"/>
  <c r="AE459" i="4" s="1"/>
  <c r="AW460" i="4"/>
  <c r="AV460" i="4" s="1"/>
  <c r="J460" i="4"/>
  <c r="AL458" i="4"/>
  <c r="M458" i="4"/>
  <c r="J459" i="4"/>
  <c r="BH459" i="4"/>
  <c r="AD459" i="4" s="1"/>
  <c r="BH457" i="4"/>
  <c r="AD457" i="4" s="1"/>
  <c r="J457" i="4"/>
  <c r="AW459" i="4"/>
  <c r="AX462" i="4"/>
  <c r="AX454" i="4"/>
  <c r="AV454" i="4" s="1"/>
  <c r="BI454" i="4"/>
  <c r="AE454" i="4" s="1"/>
  <c r="J454" i="4"/>
  <c r="J453" i="4" s="1"/>
  <c r="BH454" i="4"/>
  <c r="AD454" i="4" s="1"/>
  <c r="AV444" i="4"/>
  <c r="BH451" i="4"/>
  <c r="AD451" i="4" s="1"/>
  <c r="BI446" i="4"/>
  <c r="AE446" i="4" s="1"/>
  <c r="BH444" i="4"/>
  <c r="AD444" i="4" s="1"/>
  <c r="J447" i="4"/>
  <c r="AX447" i="4"/>
  <c r="BC447" i="4" s="1"/>
  <c r="K447" i="4"/>
  <c r="BI447" i="4"/>
  <c r="AE447" i="4" s="1"/>
  <c r="AX449" i="4"/>
  <c r="BI449" i="4"/>
  <c r="AE449" i="4" s="1"/>
  <c r="BH450" i="4"/>
  <c r="AD450" i="4" s="1"/>
  <c r="AX450" i="4"/>
  <c r="AV450" i="4" s="1"/>
  <c r="J444" i="4"/>
  <c r="J451" i="4"/>
  <c r="BI438" i="4"/>
  <c r="AE438" i="4" s="1"/>
  <c r="AX438" i="4"/>
  <c r="BH439" i="4"/>
  <c r="AD439" i="4" s="1"/>
  <c r="AL438" i="4"/>
  <c r="M438" i="4"/>
  <c r="BI432" i="4"/>
  <c r="AC432" i="4" s="1"/>
  <c r="AX432" i="4"/>
  <c r="M423" i="4"/>
  <c r="M422" i="4" s="1"/>
  <c r="M421" i="4" s="1"/>
  <c r="L422" i="4"/>
  <c r="L421" i="4" s="1"/>
  <c r="J418" i="4"/>
  <c r="BH414" i="4"/>
  <c r="AD414" i="4" s="1"/>
  <c r="BH406" i="4"/>
  <c r="AD406" i="4" s="1"/>
  <c r="BI416" i="4"/>
  <c r="AE416" i="4" s="1"/>
  <c r="BC408" i="4"/>
  <c r="BH417" i="4"/>
  <c r="AD417" i="4" s="1"/>
  <c r="J417" i="4"/>
  <c r="AW412" i="4"/>
  <c r="BC412" i="4" s="1"/>
  <c r="K414" i="4"/>
  <c r="J414" i="4"/>
  <c r="J413" i="4"/>
  <c r="BH413" i="4"/>
  <c r="AD413" i="4" s="1"/>
  <c r="AW409" i="4"/>
  <c r="AV409" i="4" s="1"/>
  <c r="J409" i="4"/>
  <c r="BH409" i="4"/>
  <c r="AD409" i="4" s="1"/>
  <c r="AL413" i="4"/>
  <c r="AW417" i="4"/>
  <c r="AX401" i="4"/>
  <c r="BC401" i="4" s="1"/>
  <c r="BI401" i="4"/>
  <c r="AE401" i="4" s="1"/>
  <c r="J396" i="4"/>
  <c r="K391" i="4"/>
  <c r="K390" i="4" s="1"/>
  <c r="AW396" i="4"/>
  <c r="BC396" i="4" s="1"/>
  <c r="BI391" i="4"/>
  <c r="AE391" i="4" s="1"/>
  <c r="AL397" i="4"/>
  <c r="M397" i="4"/>
  <c r="AX394" i="4"/>
  <c r="M383" i="4"/>
  <c r="J385" i="4"/>
  <c r="BH385" i="4"/>
  <c r="AD385" i="4" s="1"/>
  <c r="AW383" i="4"/>
  <c r="BH383" i="4"/>
  <c r="AD383" i="4" s="1"/>
  <c r="J383" i="4"/>
  <c r="AX383" i="4"/>
  <c r="K383" i="4"/>
  <c r="K379" i="4"/>
  <c r="AW373" i="4"/>
  <c r="BH373" i="4"/>
  <c r="AD373" i="4" s="1"/>
  <c r="J373" i="4"/>
  <c r="AX375" i="4"/>
  <c r="K375" i="4"/>
  <c r="AW377" i="4"/>
  <c r="AV377" i="4" s="1"/>
  <c r="BI371" i="4"/>
  <c r="AE371" i="4" s="1"/>
  <c r="AL373" i="4"/>
  <c r="M373" i="4"/>
  <c r="K369" i="4"/>
  <c r="J366" i="4"/>
  <c r="BI369" i="4"/>
  <c r="AE369" i="4" s="1"/>
  <c r="K359" i="4"/>
  <c r="J359" i="4"/>
  <c r="K360" i="4"/>
  <c r="AL355" i="4"/>
  <c r="M355" i="4"/>
  <c r="AX359" i="4"/>
  <c r="BC359" i="4" s="1"/>
  <c r="AX357" i="4"/>
  <c r="AL354" i="4"/>
  <c r="M354" i="4"/>
  <c r="BH350" i="4"/>
  <c r="J350" i="4"/>
  <c r="J349" i="4" s="1"/>
  <c r="J348" i="4" s="1"/>
  <c r="AW335" i="4"/>
  <c r="AL340" i="4"/>
  <c r="M340" i="4"/>
  <c r="AX330" i="4"/>
  <c r="BC330" i="4" s="1"/>
  <c r="K330" i="4"/>
  <c r="AL339" i="4"/>
  <c r="M339" i="4"/>
  <c r="AX339" i="4"/>
  <c r="J331" i="4"/>
  <c r="J336" i="4"/>
  <c r="J335" i="4"/>
  <c r="M332" i="4"/>
  <c r="BH339" i="4"/>
  <c r="AD339" i="4" s="1"/>
  <c r="AW339" i="4"/>
  <c r="J339" i="4"/>
  <c r="AL330" i="4"/>
  <c r="M330" i="4"/>
  <c r="BI341" i="4"/>
  <c r="AE341" i="4" s="1"/>
  <c r="AX341" i="4"/>
  <c r="AV341" i="4" s="1"/>
  <c r="K337" i="4"/>
  <c r="K339" i="4"/>
  <c r="AW333" i="4"/>
  <c r="AX333" i="4"/>
  <c r="BI333" i="4"/>
  <c r="AE333" i="4" s="1"/>
  <c r="K320" i="4"/>
  <c r="BI320" i="4"/>
  <c r="AE320" i="4" s="1"/>
  <c r="J326" i="4"/>
  <c r="M319" i="4"/>
  <c r="BI326" i="4"/>
  <c r="AE326" i="4" s="1"/>
  <c r="K326" i="4"/>
  <c r="AX326" i="4"/>
  <c r="M327" i="4"/>
  <c r="M326" i="4"/>
  <c r="AX322" i="4"/>
  <c r="AW326" i="4"/>
  <c r="BC326" i="4" s="1"/>
  <c r="J314" i="4"/>
  <c r="K313" i="4"/>
  <c r="AW310" i="4"/>
  <c r="J310" i="4"/>
  <c r="AL313" i="4"/>
  <c r="M313" i="4"/>
  <c r="L309" i="4"/>
  <c r="BI313" i="4"/>
  <c r="AE313" i="4" s="1"/>
  <c r="AW314" i="4"/>
  <c r="BC314" i="4" s="1"/>
  <c r="AX308" i="4"/>
  <c r="BI308" i="4"/>
  <c r="AE308" i="4" s="1"/>
  <c r="K308" i="4"/>
  <c r="K307" i="4" s="1"/>
  <c r="AL308" i="4"/>
  <c r="AU307" i="4" s="1"/>
  <c r="M308" i="4"/>
  <c r="M307" i="4" s="1"/>
  <c r="L307" i="4"/>
  <c r="BH303" i="4"/>
  <c r="AD303" i="4" s="1"/>
  <c r="AW303" i="4"/>
  <c r="J303" i="4"/>
  <c r="J299" i="4"/>
  <c r="AW302" i="4"/>
  <c r="BC302" i="4" s="1"/>
  <c r="K300" i="4"/>
  <c r="BH300" i="4"/>
  <c r="AD300" i="4" s="1"/>
  <c r="BI303" i="4"/>
  <c r="AE303" i="4" s="1"/>
  <c r="K303" i="4"/>
  <c r="AX303" i="4"/>
  <c r="J302" i="4"/>
  <c r="AW299" i="4"/>
  <c r="AW300" i="4"/>
  <c r="AV300" i="4" s="1"/>
  <c r="BI304" i="4"/>
  <c r="AE304" i="4" s="1"/>
  <c r="K304" i="4"/>
  <c r="AW296" i="4"/>
  <c r="BH296" i="4"/>
  <c r="AD296" i="4" s="1"/>
  <c r="AX293" i="4"/>
  <c r="BI295" i="4"/>
  <c r="AE295" i="4" s="1"/>
  <c r="K295" i="4"/>
  <c r="BH294" i="4"/>
  <c r="AD294" i="4" s="1"/>
  <c r="AW294" i="4"/>
  <c r="J296" i="4"/>
  <c r="BI290" i="4"/>
  <c r="AE290" i="4" s="1"/>
  <c r="K290" i="4"/>
  <c r="K289" i="4" s="1"/>
  <c r="AW281" i="4"/>
  <c r="BC281" i="4" s="1"/>
  <c r="BH286" i="4"/>
  <c r="AB286" i="4" s="1"/>
  <c r="AW286" i="4"/>
  <c r="K283" i="4"/>
  <c r="BI286" i="4"/>
  <c r="AC286" i="4" s="1"/>
  <c r="AX286" i="4"/>
  <c r="K286" i="4"/>
  <c r="J281" i="4"/>
  <c r="BH277" i="4"/>
  <c r="AD277" i="4" s="1"/>
  <c r="AL277" i="4"/>
  <c r="M277" i="4"/>
  <c r="BI260" i="4"/>
  <c r="AE260" i="4" s="1"/>
  <c r="AW268" i="4"/>
  <c r="J271" i="4"/>
  <c r="AW271" i="4"/>
  <c r="BH271" i="4"/>
  <c r="AD271" i="4" s="1"/>
  <c r="K265" i="4"/>
  <c r="AL272" i="4"/>
  <c r="M272" i="4"/>
  <c r="J273" i="4"/>
  <c r="AW248" i="4"/>
  <c r="K243" i="4"/>
  <c r="K240" i="4"/>
  <c r="BI242" i="4"/>
  <c r="AE242" i="4" s="1"/>
  <c r="K242" i="4"/>
  <c r="AL246" i="4"/>
  <c r="M246" i="4"/>
  <c r="AL236" i="4"/>
  <c r="M236" i="4"/>
  <c r="J236" i="4"/>
  <c r="BI226" i="4"/>
  <c r="AE226" i="4" s="1"/>
  <c r="K226" i="4"/>
  <c r="J231" i="4"/>
  <c r="M226" i="4"/>
  <c r="BI221" i="4"/>
  <c r="AE221" i="4" s="1"/>
  <c r="K221" i="4"/>
  <c r="K210" i="4"/>
  <c r="K216" i="4"/>
  <c r="AX212" i="4"/>
  <c r="AX215" i="4"/>
  <c r="AV215" i="4" s="1"/>
  <c r="K213" i="4"/>
  <c r="K215" i="4"/>
  <c r="J203" i="4"/>
  <c r="K202" i="4"/>
  <c r="K201" i="4" s="1"/>
  <c r="AW185" i="4"/>
  <c r="AV185" i="4" s="1"/>
  <c r="J180" i="4"/>
  <c r="BH180" i="4"/>
  <c r="AD180" i="4" s="1"/>
  <c r="BI178" i="4"/>
  <c r="AE178" i="4" s="1"/>
  <c r="AW176" i="4"/>
  <c r="BH176" i="4"/>
  <c r="AD176" i="4" s="1"/>
  <c r="J176" i="4"/>
  <c r="AX174" i="4"/>
  <c r="AV174" i="4" s="1"/>
  <c r="K174" i="4"/>
  <c r="J168" i="4"/>
  <c r="AV166" i="4"/>
  <c r="BI157" i="4"/>
  <c r="AC157" i="4" s="1"/>
  <c r="AX157" i="4"/>
  <c r="K157" i="4"/>
  <c r="K156" i="4" s="1"/>
  <c r="AX151" i="4"/>
  <c r="BC151" i="4" s="1"/>
  <c r="J143" i="4"/>
  <c r="J142" i="4" s="1"/>
  <c r="K143" i="4"/>
  <c r="K142" i="4" s="1"/>
  <c r="AX143" i="4"/>
  <c r="BH138" i="4"/>
  <c r="AB138" i="4" s="1"/>
  <c r="J136" i="4"/>
  <c r="K136" i="4"/>
  <c r="AX136" i="4"/>
  <c r="BC136" i="4" s="1"/>
  <c r="AL131" i="4"/>
  <c r="AU130" i="4" s="1"/>
  <c r="L130" i="4"/>
  <c r="J128" i="4"/>
  <c r="BI120" i="4"/>
  <c r="AE120" i="4" s="1"/>
  <c r="K120" i="4"/>
  <c r="BI118" i="4"/>
  <c r="AE118" i="4" s="1"/>
  <c r="AX118" i="4"/>
  <c r="M118" i="4"/>
  <c r="BI117" i="4"/>
  <c r="AE117" i="4" s="1"/>
  <c r="AX117" i="4"/>
  <c r="AX122" i="4"/>
  <c r="BI122" i="4"/>
  <c r="AE122" i="4" s="1"/>
  <c r="AW117" i="4"/>
  <c r="J117" i="4"/>
  <c r="M115" i="4"/>
  <c r="AL117" i="4"/>
  <c r="M117" i="4"/>
  <c r="BI119" i="4"/>
  <c r="AE119" i="4" s="1"/>
  <c r="K121" i="4"/>
  <c r="K118" i="4"/>
  <c r="J109" i="4"/>
  <c r="K109" i="4"/>
  <c r="AX109" i="4"/>
  <c r="AX106" i="4"/>
  <c r="BC106" i="4" s="1"/>
  <c r="BI106" i="4"/>
  <c r="AE106" i="4" s="1"/>
  <c r="BH103" i="4"/>
  <c r="AD103" i="4" s="1"/>
  <c r="AX100" i="4"/>
  <c r="BI100" i="4"/>
  <c r="AE100" i="4" s="1"/>
  <c r="K100" i="4"/>
  <c r="BH102" i="4"/>
  <c r="AD102" i="4" s="1"/>
  <c r="J102" i="4"/>
  <c r="AL98" i="4"/>
  <c r="M98" i="4"/>
  <c r="AW100" i="4"/>
  <c r="BH100" i="4"/>
  <c r="AD100" i="4" s="1"/>
  <c r="M100" i="4"/>
  <c r="AX96" i="4"/>
  <c r="BI96" i="4"/>
  <c r="AE96" i="4" s="1"/>
  <c r="K96" i="4"/>
  <c r="M95" i="4"/>
  <c r="BI95" i="4"/>
  <c r="AE95" i="4" s="1"/>
  <c r="K95" i="4"/>
  <c r="K94" i="4" s="1"/>
  <c r="AL95" i="4"/>
  <c r="AU94" i="4" s="1"/>
  <c r="AW83" i="4"/>
  <c r="AW87" i="4"/>
  <c r="AV87" i="4" s="1"/>
  <c r="BH89" i="4"/>
  <c r="AD89" i="4" s="1"/>
  <c r="J87" i="4"/>
  <c r="M90" i="4"/>
  <c r="BI76" i="4"/>
  <c r="AE76" i="4" s="1"/>
  <c r="AX76" i="4"/>
  <c r="BC76" i="4" s="1"/>
  <c r="J76" i="4"/>
  <c r="AX74" i="4"/>
  <c r="BC74" i="4" s="1"/>
  <c r="AX72" i="4"/>
  <c r="BC72" i="4" s="1"/>
  <c r="AW65" i="4"/>
  <c r="BC65" i="4" s="1"/>
  <c r="K68" i="4"/>
  <c r="AW58" i="4"/>
  <c r="J58" i="4"/>
  <c r="BH46" i="4"/>
  <c r="AD46" i="4" s="1"/>
  <c r="J46" i="4"/>
  <c r="AW47" i="4"/>
  <c r="AL42" i="4"/>
  <c r="J41" i="4"/>
  <c r="K42" i="4"/>
  <c r="AW35" i="4"/>
  <c r="AV35" i="4" s="1"/>
  <c r="J38" i="4"/>
  <c r="K23" i="4"/>
  <c r="AL22" i="4"/>
  <c r="AU21" i="4" s="1"/>
  <c r="BI22" i="4"/>
  <c r="K15" i="4"/>
  <c r="J15" i="4"/>
  <c r="J14" i="4" s="1"/>
  <c r="AV30" i="4"/>
  <c r="AW24" i="4"/>
  <c r="AV24" i="4" s="1"/>
  <c r="M27" i="4"/>
  <c r="M26" i="4" s="1"/>
  <c r="BH30" i="4"/>
  <c r="AB30" i="4" s="1"/>
  <c r="BI25" i="4"/>
  <c r="AX22" i="4"/>
  <c r="K34" i="4"/>
  <c r="L26" i="4"/>
  <c r="F38" i="3"/>
  <c r="I38" i="3" s="1"/>
  <c r="BH22" i="4"/>
  <c r="AW42" i="4"/>
  <c r="J42" i="4"/>
  <c r="BI40" i="4"/>
  <c r="AE40" i="4" s="1"/>
  <c r="AX37" i="4"/>
  <c r="K37" i="4"/>
  <c r="AX38" i="4"/>
  <c r="K38" i="4"/>
  <c r="AL38" i="4"/>
  <c r="M38" i="4"/>
  <c r="AW38" i="4"/>
  <c r="AV38" i="4" s="1"/>
  <c r="BI38" i="4"/>
  <c r="AE38" i="4" s="1"/>
  <c r="BH27" i="4"/>
  <c r="AW27" i="4"/>
  <c r="J27" i="4"/>
  <c r="J26" i="4" s="1"/>
  <c r="AX25" i="4"/>
  <c r="AV25" i="4" s="1"/>
  <c r="K16" i="4"/>
  <c r="F35" i="3"/>
  <c r="I35" i="3" s="1"/>
  <c r="BH16" i="4"/>
  <c r="AX15" i="4"/>
  <c r="BC15" i="4" s="1"/>
  <c r="BC414" i="4"/>
  <c r="AV414" i="4"/>
  <c r="BC220" i="4"/>
  <c r="AV220" i="4"/>
  <c r="BC155" i="4"/>
  <c r="AV155" i="4"/>
  <c r="BC242" i="4"/>
  <c r="AV242" i="4"/>
  <c r="BC170" i="4"/>
  <c r="AV170" i="4"/>
  <c r="BC462" i="4"/>
  <c r="AV462" i="4"/>
  <c r="K455" i="4"/>
  <c r="BC16" i="4"/>
  <c r="AV16" i="4"/>
  <c r="BC138" i="4"/>
  <c r="AV128" i="4"/>
  <c r="BC128" i="4"/>
  <c r="BC273" i="4"/>
  <c r="AV273" i="4"/>
  <c r="BC200" i="4"/>
  <c r="AV200" i="4"/>
  <c r="BH458" i="4"/>
  <c r="AD458" i="4" s="1"/>
  <c r="AW458" i="4"/>
  <c r="BC489" i="4"/>
  <c r="AV489" i="4"/>
  <c r="BI515" i="4"/>
  <c r="AE515" i="4" s="1"/>
  <c r="AX515" i="4"/>
  <c r="BC515" i="4" s="1"/>
  <c r="K515" i="4"/>
  <c r="M519" i="4"/>
  <c r="AL519" i="4"/>
  <c r="M415" i="4"/>
  <c r="AL415" i="4"/>
  <c r="AX433" i="4"/>
  <c r="K433" i="4"/>
  <c r="BH387" i="4"/>
  <c r="AD387" i="4" s="1"/>
  <c r="J387" i="4"/>
  <c r="AW387" i="4"/>
  <c r="AX393" i="4"/>
  <c r="BC393" i="4" s="1"/>
  <c r="K393" i="4"/>
  <c r="M408" i="4"/>
  <c r="AL408" i="4"/>
  <c r="M386" i="4"/>
  <c r="AL386" i="4"/>
  <c r="M398" i="4"/>
  <c r="AL398" i="4"/>
  <c r="M344" i="4"/>
  <c r="AL344" i="4"/>
  <c r="M371" i="4"/>
  <c r="AL371" i="4"/>
  <c r="M404" i="4"/>
  <c r="AL404" i="4"/>
  <c r="BH361" i="4"/>
  <c r="AW361" i="4"/>
  <c r="J361" i="4"/>
  <c r="M316" i="4"/>
  <c r="AL316" i="4"/>
  <c r="M299" i="4"/>
  <c r="AL299" i="4"/>
  <c r="K299" i="4"/>
  <c r="BI299" i="4"/>
  <c r="AE299" i="4" s="1"/>
  <c r="BC322" i="4"/>
  <c r="AV322" i="4"/>
  <c r="AL294" i="4"/>
  <c r="M294" i="4"/>
  <c r="BC285" i="4"/>
  <c r="AV285" i="4"/>
  <c r="AV315" i="4"/>
  <c r="BC315" i="4"/>
  <c r="AV203" i="4"/>
  <c r="BC203" i="4"/>
  <c r="AW208" i="4"/>
  <c r="BH208" i="4"/>
  <c r="AB208" i="4" s="1"/>
  <c r="M214" i="4"/>
  <c r="AL214" i="4"/>
  <c r="M222" i="4"/>
  <c r="AL222" i="4"/>
  <c r="AV197" i="4"/>
  <c r="BC197" i="4"/>
  <c r="BH170" i="4"/>
  <c r="AD170" i="4" s="1"/>
  <c r="AX244" i="4"/>
  <c r="K244" i="4"/>
  <c r="BC46" i="4"/>
  <c r="AV46" i="4"/>
  <c r="AW56" i="4"/>
  <c r="BH56" i="4"/>
  <c r="AB56" i="4" s="1"/>
  <c r="BC88" i="4"/>
  <c r="AV88" i="4"/>
  <c r="M35" i="4"/>
  <c r="AL35" i="4"/>
  <c r="L33" i="4"/>
  <c r="BF107" i="4"/>
  <c r="O105" i="4"/>
  <c r="BH84" i="4"/>
  <c r="AD84" i="4" s="1"/>
  <c r="AW84" i="4"/>
  <c r="J84" i="4"/>
  <c r="M89" i="4"/>
  <c r="AL89" i="4"/>
  <c r="M111" i="4"/>
  <c r="AL111" i="4"/>
  <c r="O21" i="4"/>
  <c r="BF22" i="4"/>
  <c r="AL595" i="4"/>
  <c r="M595" i="4"/>
  <c r="AV638" i="4"/>
  <c r="BC573" i="4"/>
  <c r="BC559" i="4"/>
  <c r="AV559" i="4"/>
  <c r="M546" i="4"/>
  <c r="AL546" i="4"/>
  <c r="J458" i="4"/>
  <c r="AL545" i="4"/>
  <c r="M545" i="4"/>
  <c r="O498" i="4"/>
  <c r="BF499" i="4"/>
  <c r="K413" i="4"/>
  <c r="AV449" i="4"/>
  <c r="BC449" i="4"/>
  <c r="BH462" i="4"/>
  <c r="AD462" i="4" s="1"/>
  <c r="BI387" i="4"/>
  <c r="AE387" i="4" s="1"/>
  <c r="AX387" i="4"/>
  <c r="BF420" i="4"/>
  <c r="O418" i="4"/>
  <c r="M346" i="4"/>
  <c r="AL346" i="4"/>
  <c r="L345" i="4"/>
  <c r="BH384" i="4"/>
  <c r="AD384" i="4" s="1"/>
  <c r="K392" i="4"/>
  <c r="L362" i="4"/>
  <c r="M363" i="4"/>
  <c r="M362" i="4" s="1"/>
  <c r="AL363" i="4"/>
  <c r="AU362" i="4" s="1"/>
  <c r="AV398" i="4"/>
  <c r="BC398" i="4"/>
  <c r="J358" i="4"/>
  <c r="L455" i="4"/>
  <c r="M456" i="4"/>
  <c r="AL456" i="4"/>
  <c r="K400" i="4"/>
  <c r="BH357" i="4"/>
  <c r="AB357" i="4" s="1"/>
  <c r="M325" i="4"/>
  <c r="AL325" i="4"/>
  <c r="AW298" i="4"/>
  <c r="J298" i="4"/>
  <c r="BH298" i="4"/>
  <c r="AD298" i="4" s="1"/>
  <c r="K288" i="4"/>
  <c r="BI288" i="4"/>
  <c r="AX367" i="4"/>
  <c r="BC367" i="4" s="1"/>
  <c r="AW265" i="4"/>
  <c r="J293" i="4"/>
  <c r="BC241" i="4"/>
  <c r="AV241" i="4"/>
  <c r="M241" i="4"/>
  <c r="AL241" i="4"/>
  <c r="M300" i="4"/>
  <c r="AL300" i="4"/>
  <c r="L202" i="4"/>
  <c r="L201" i="4" s="1"/>
  <c r="AL203" i="4"/>
  <c r="M203" i="4"/>
  <c r="O217" i="4"/>
  <c r="BF218" i="4"/>
  <c r="O247" i="4"/>
  <c r="BF248" i="4"/>
  <c r="BC204" i="4"/>
  <c r="AV204" i="4"/>
  <c r="J149" i="4"/>
  <c r="BH149" i="4"/>
  <c r="AB149" i="4" s="1"/>
  <c r="BC190" i="4"/>
  <c r="AV190" i="4"/>
  <c r="BI220" i="4"/>
  <c r="AE220" i="4" s="1"/>
  <c r="M244" i="4"/>
  <c r="AL244" i="4"/>
  <c r="M40" i="4"/>
  <c r="AL40" i="4"/>
  <c r="M109" i="4"/>
  <c r="AL109" i="4"/>
  <c r="AW82" i="4"/>
  <c r="BH82" i="4"/>
  <c r="AD82" i="4" s="1"/>
  <c r="J56" i="4"/>
  <c r="BC87" i="4"/>
  <c r="K83" i="4"/>
  <c r="J57" i="4"/>
  <c r="M60" i="4"/>
  <c r="AL60" i="4"/>
  <c r="BC78" i="4"/>
  <c r="AV78" i="4"/>
  <c r="AX141" i="4"/>
  <c r="BC111" i="4"/>
  <c r="AV111" i="4"/>
  <c r="M93" i="4"/>
  <c r="M92" i="4" s="1"/>
  <c r="AL93" i="4"/>
  <c r="AU92" i="4" s="1"/>
  <c r="L92" i="4"/>
  <c r="BI35" i="4"/>
  <c r="AE35" i="4" s="1"/>
  <c r="AX42" i="4"/>
  <c r="M587" i="4"/>
  <c r="AL587" i="4"/>
  <c r="M523" i="4"/>
  <c r="AL523" i="4"/>
  <c r="AW607" i="4"/>
  <c r="J607" i="4"/>
  <c r="BH607" i="4"/>
  <c r="AD607" i="4" s="1"/>
  <c r="M576" i="4"/>
  <c r="AL576" i="4"/>
  <c r="AX580" i="4"/>
  <c r="M493" i="4"/>
  <c r="M491" i="4" s="1"/>
  <c r="L491" i="4"/>
  <c r="AL493" i="4"/>
  <c r="AU491" i="4" s="1"/>
  <c r="AW541" i="4"/>
  <c r="BC546" i="4"/>
  <c r="AV546" i="4"/>
  <c r="M454" i="4"/>
  <c r="M453" i="4" s="1"/>
  <c r="AL454" i="4"/>
  <c r="AU453" i="4" s="1"/>
  <c r="L453" i="4"/>
  <c r="M505" i="4"/>
  <c r="AL505" i="4"/>
  <c r="J509" i="4"/>
  <c r="J508" i="4" s="1"/>
  <c r="M411" i="4"/>
  <c r="AL411" i="4"/>
  <c r="BC406" i="4"/>
  <c r="AV406" i="4"/>
  <c r="M513" i="4"/>
  <c r="AL513" i="4"/>
  <c r="BC429" i="4"/>
  <c r="AV429" i="4"/>
  <c r="M366" i="4"/>
  <c r="AL366" i="4"/>
  <c r="K374" i="4"/>
  <c r="BI374" i="4"/>
  <c r="AE374" i="4" s="1"/>
  <c r="M407" i="4"/>
  <c r="AL407" i="4"/>
  <c r="M357" i="4"/>
  <c r="AL357" i="4"/>
  <c r="AV473" i="4"/>
  <c r="AX456" i="4"/>
  <c r="BC456" i="4" s="1"/>
  <c r="M288" i="4"/>
  <c r="AL288" i="4"/>
  <c r="J311" i="4"/>
  <c r="AV408" i="4"/>
  <c r="BC228" i="4"/>
  <c r="AW293" i="4"/>
  <c r="AL276" i="4"/>
  <c r="AU275" i="4" s="1"/>
  <c r="M276" i="4"/>
  <c r="M275" i="4" s="1"/>
  <c r="L275" i="4"/>
  <c r="M281" i="4"/>
  <c r="AL281" i="4"/>
  <c r="BH273" i="4"/>
  <c r="AD273" i="4" s="1"/>
  <c r="BC300" i="4"/>
  <c r="BI244" i="4"/>
  <c r="AE244" i="4" s="1"/>
  <c r="AX248" i="4"/>
  <c r="O202" i="4"/>
  <c r="O201" i="4" s="1"/>
  <c r="BF203" i="4"/>
  <c r="BC252" i="4"/>
  <c r="AV252" i="4"/>
  <c r="AW168" i="4"/>
  <c r="J220" i="4"/>
  <c r="M283" i="4"/>
  <c r="AL283" i="4"/>
  <c r="BH220" i="4"/>
  <c r="AD220" i="4" s="1"/>
  <c r="BH39" i="4"/>
  <c r="AD39" i="4" s="1"/>
  <c r="AW39" i="4"/>
  <c r="AV41" i="4"/>
  <c r="M41" i="4"/>
  <c r="AL41" i="4"/>
  <c r="J82" i="4"/>
  <c r="M114" i="4"/>
  <c r="AL114" i="4"/>
  <c r="J34" i="4"/>
  <c r="BI121" i="4"/>
  <c r="AE121" i="4" s="1"/>
  <c r="M141" i="4"/>
  <c r="AL141" i="4"/>
  <c r="M85" i="4"/>
  <c r="AL85" i="4"/>
  <c r="M15" i="4"/>
  <c r="AL15" i="4"/>
  <c r="L14" i="4"/>
  <c r="K43" i="4"/>
  <c r="BC98" i="4"/>
  <c r="BH561" i="4"/>
  <c r="AD561" i="4" s="1"/>
  <c r="AW561" i="4"/>
  <c r="BC544" i="4"/>
  <c r="AV544" i="4"/>
  <c r="J561" i="4"/>
  <c r="BC628" i="4"/>
  <c r="O536" i="4"/>
  <c r="BF537" i="4"/>
  <c r="M532" i="4"/>
  <c r="AL532" i="4"/>
  <c r="M483" i="4"/>
  <c r="AL483" i="4"/>
  <c r="M449" i="4"/>
  <c r="AL449" i="4"/>
  <c r="BC505" i="4"/>
  <c r="AV505" i="4"/>
  <c r="M504" i="4"/>
  <c r="AL504" i="4"/>
  <c r="K545" i="4"/>
  <c r="K536" i="4" s="1"/>
  <c r="BF496" i="4"/>
  <c r="O495" i="4"/>
  <c r="O494" i="4" s="1"/>
  <c r="M507" i="4"/>
  <c r="AL507" i="4"/>
  <c r="K509" i="4"/>
  <c r="K508" i="4" s="1"/>
  <c r="BH410" i="4"/>
  <c r="AD410" i="4" s="1"/>
  <c r="AW410" i="4"/>
  <c r="AW448" i="4"/>
  <c r="BC446" i="4"/>
  <c r="AV446" i="4"/>
  <c r="BC513" i="4"/>
  <c r="AV513" i="4"/>
  <c r="BH446" i="4"/>
  <c r="AD446" i="4" s="1"/>
  <c r="M514" i="4"/>
  <c r="AL514" i="4"/>
  <c r="M451" i="4"/>
  <c r="AL451" i="4"/>
  <c r="O435" i="4"/>
  <c r="BF436" i="4"/>
  <c r="BI393" i="4"/>
  <c r="AE393" i="4" s="1"/>
  <c r="AW365" i="4"/>
  <c r="J365" i="4"/>
  <c r="BH365" i="4"/>
  <c r="AD365" i="4" s="1"/>
  <c r="M343" i="4"/>
  <c r="AL343" i="4"/>
  <c r="BC388" i="4"/>
  <c r="AV388" i="4"/>
  <c r="O455" i="4"/>
  <c r="BF456" i="4"/>
  <c r="M360" i="4"/>
  <c r="AL360" i="4"/>
  <c r="AW311" i="4"/>
  <c r="AW287" i="4"/>
  <c r="J287" i="4"/>
  <c r="BH287" i="4"/>
  <c r="AV282" i="4"/>
  <c r="BC282" i="4"/>
  <c r="BH246" i="4"/>
  <c r="AD246" i="4" s="1"/>
  <c r="AW246" i="4"/>
  <c r="M230" i="4"/>
  <c r="AL230" i="4"/>
  <c r="AX288" i="4"/>
  <c r="AX268" i="4"/>
  <c r="K268" i="4"/>
  <c r="AW270" i="4"/>
  <c r="J270" i="4"/>
  <c r="L154" i="4"/>
  <c r="M155" i="4"/>
  <c r="M154" i="4" s="1"/>
  <c r="AL155" i="4"/>
  <c r="AU154" i="4" s="1"/>
  <c r="M211" i="4"/>
  <c r="AL211" i="4"/>
  <c r="BH248" i="4"/>
  <c r="AD248" i="4" s="1"/>
  <c r="AW149" i="4"/>
  <c r="M249" i="4"/>
  <c r="AL249" i="4"/>
  <c r="M190" i="4"/>
  <c r="AL190" i="4"/>
  <c r="K220" i="4"/>
  <c r="AV115" i="4"/>
  <c r="BC115" i="4"/>
  <c r="BC161" i="4"/>
  <c r="J39" i="4"/>
  <c r="M129" i="4"/>
  <c r="AL129" i="4"/>
  <c r="BC117" i="4"/>
  <c r="M78" i="4"/>
  <c r="AL78" i="4"/>
  <c r="O17" i="4"/>
  <c r="BC131" i="4"/>
  <c r="J32" i="4"/>
  <c r="J31" i="4" s="1"/>
  <c r="M628" i="4"/>
  <c r="AL628" i="4"/>
  <c r="AW608" i="4"/>
  <c r="J608" i="4"/>
  <c r="BH608" i="4"/>
  <c r="AD608" i="4" s="1"/>
  <c r="BI580" i="4"/>
  <c r="AW530" i="4"/>
  <c r="BI537" i="4"/>
  <c r="AE537" i="4" s="1"/>
  <c r="M551" i="4"/>
  <c r="AL551" i="4"/>
  <c r="M500" i="4"/>
  <c r="AL500" i="4"/>
  <c r="M529" i="4"/>
  <c r="AL529" i="4"/>
  <c r="L528" i="4"/>
  <c r="AV545" i="4"/>
  <c r="M509" i="4"/>
  <c r="M508" i="4" s="1"/>
  <c r="AL509" i="4"/>
  <c r="AU508" i="4" s="1"/>
  <c r="L508" i="4"/>
  <c r="M471" i="4"/>
  <c r="AL471" i="4"/>
  <c r="BH445" i="4"/>
  <c r="AD445" i="4" s="1"/>
  <c r="AW445" i="4"/>
  <c r="J410" i="4"/>
  <c r="J402" i="4" s="1"/>
  <c r="J448" i="4"/>
  <c r="BF423" i="4"/>
  <c r="O422" i="4"/>
  <c r="O421" i="4" s="1"/>
  <c r="K405" i="4"/>
  <c r="AX436" i="4"/>
  <c r="BC436" i="4" s="1"/>
  <c r="M403" i="4"/>
  <c r="AL403" i="4"/>
  <c r="L402" i="4"/>
  <c r="M341" i="4"/>
  <c r="AL341" i="4"/>
  <c r="J356" i="4"/>
  <c r="AX392" i="4"/>
  <c r="BC392" i="4" s="1"/>
  <c r="M358" i="4"/>
  <c r="AL358" i="4"/>
  <c r="M376" i="4"/>
  <c r="AL376" i="4"/>
  <c r="AX400" i="4"/>
  <c r="BH368" i="4"/>
  <c r="AD368" i="4" s="1"/>
  <c r="M280" i="4"/>
  <c r="L279" i="4"/>
  <c r="AL280" i="4"/>
  <c r="M260" i="4"/>
  <c r="AL260" i="4"/>
  <c r="L259" i="4"/>
  <c r="AL282" i="4"/>
  <c r="M282" i="4"/>
  <c r="J246" i="4"/>
  <c r="BC230" i="4"/>
  <c r="AV230" i="4"/>
  <c r="AX261" i="4"/>
  <c r="AL185" i="4"/>
  <c r="M185" i="4"/>
  <c r="M147" i="4"/>
  <c r="AL147" i="4"/>
  <c r="L146" i="4"/>
  <c r="BI208" i="4"/>
  <c r="AC208" i="4" s="1"/>
  <c r="K168" i="4"/>
  <c r="M162" i="4"/>
  <c r="AL162" i="4"/>
  <c r="BI248" i="4"/>
  <c r="AE248" i="4" s="1"/>
  <c r="BC226" i="4"/>
  <c r="AX283" i="4"/>
  <c r="BC283" i="4" s="1"/>
  <c r="AL210" i="4"/>
  <c r="M210" i="4"/>
  <c r="M120" i="4"/>
  <c r="AL120" i="4"/>
  <c r="M87" i="4"/>
  <c r="AL87" i="4"/>
  <c r="BH90" i="4"/>
  <c r="AD90" i="4" s="1"/>
  <c r="AW90" i="4"/>
  <c r="BI36" i="4"/>
  <c r="AE36" i="4" s="1"/>
  <c r="BC129" i="4"/>
  <c r="AV129" i="4"/>
  <c r="AV74" i="4"/>
  <c r="BC60" i="4"/>
  <c r="AV60" i="4"/>
  <c r="BC66" i="4"/>
  <c r="BC121" i="4"/>
  <c r="AV121" i="4"/>
  <c r="BC107" i="4"/>
  <c r="AV107" i="4"/>
  <c r="BI16" i="4"/>
  <c r="J37" i="4"/>
  <c r="L31" i="4"/>
  <c r="M32" i="4"/>
  <c r="M31" i="4" s="1"/>
  <c r="AL32" i="4"/>
  <c r="AU31" i="4" s="1"/>
  <c r="O632" i="4"/>
  <c r="AW625" i="4"/>
  <c r="J625" i="4"/>
  <c r="J615" i="4" s="1"/>
  <c r="BH625" i="4"/>
  <c r="AD625" i="4" s="1"/>
  <c r="BC595" i="4"/>
  <c r="AV595" i="4"/>
  <c r="AV610" i="4"/>
  <c r="M530" i="4"/>
  <c r="AL530" i="4"/>
  <c r="K490" i="4"/>
  <c r="BI490" i="4"/>
  <c r="AE490" i="4" s="1"/>
  <c r="BI545" i="4"/>
  <c r="AE545" i="4" s="1"/>
  <c r="M470" i="4"/>
  <c r="AL470" i="4"/>
  <c r="BC529" i="4"/>
  <c r="AV529" i="4"/>
  <c r="AV604" i="4"/>
  <c r="BC501" i="4"/>
  <c r="AV501" i="4"/>
  <c r="BC481" i="4"/>
  <c r="AV481" i="4"/>
  <c r="AW509" i="4"/>
  <c r="BI488" i="4"/>
  <c r="AE488" i="4" s="1"/>
  <c r="BC471" i="4"/>
  <c r="BI442" i="4"/>
  <c r="AE442" i="4" s="1"/>
  <c r="AX442" i="4"/>
  <c r="J462" i="4"/>
  <c r="BC514" i="4"/>
  <c r="AV514" i="4"/>
  <c r="M430" i="4"/>
  <c r="AL430" i="4"/>
  <c r="AV403" i="4"/>
  <c r="BC403" i="4"/>
  <c r="BH340" i="4"/>
  <c r="AD340" i="4" s="1"/>
  <c r="AW340" i="4"/>
  <c r="AX413" i="4"/>
  <c r="M375" i="4"/>
  <c r="AL375" i="4"/>
  <c r="BI456" i="4"/>
  <c r="AE456" i="4" s="1"/>
  <c r="J343" i="4"/>
  <c r="BH343" i="4"/>
  <c r="AD343" i="4" s="1"/>
  <c r="BF280" i="4"/>
  <c r="O279" i="4"/>
  <c r="K259" i="4"/>
  <c r="M240" i="4"/>
  <c r="AL240" i="4"/>
  <c r="L239" i="4"/>
  <c r="M274" i="4"/>
  <c r="AL274" i="4"/>
  <c r="M268" i="4"/>
  <c r="AL268" i="4"/>
  <c r="M261" i="4"/>
  <c r="AL261" i="4"/>
  <c r="AV268" i="4"/>
  <c r="BF134" i="4"/>
  <c r="O133" i="4"/>
  <c r="J208" i="4"/>
  <c r="F40" i="3"/>
  <c r="I40" i="3" s="1"/>
  <c r="BC223" i="4"/>
  <c r="BH155" i="4"/>
  <c r="AB155" i="4" s="1"/>
  <c r="AW182" i="4"/>
  <c r="J182" i="4"/>
  <c r="M178" i="4"/>
  <c r="AL178" i="4"/>
  <c r="M221" i="4"/>
  <c r="AL221" i="4"/>
  <c r="BC257" i="4"/>
  <c r="AV257" i="4"/>
  <c r="BF220" i="4"/>
  <c r="O219" i="4"/>
  <c r="BC113" i="4"/>
  <c r="AV113" i="4"/>
  <c r="BC120" i="4"/>
  <c r="AV120" i="4"/>
  <c r="BC80" i="4"/>
  <c r="AV80" i="4"/>
  <c r="M30" i="4"/>
  <c r="M29" i="4" s="1"/>
  <c r="AL30" i="4"/>
  <c r="AU29" i="4" s="1"/>
  <c r="L29" i="4"/>
  <c r="K82" i="4"/>
  <c r="BI82" i="4"/>
  <c r="AE82" i="4" s="1"/>
  <c r="BF34" i="4"/>
  <c r="O33" i="4"/>
  <c r="M74" i="4"/>
  <c r="AL74" i="4"/>
  <c r="BI84" i="4"/>
  <c r="AE84" i="4" s="1"/>
  <c r="AX84" i="4"/>
  <c r="K84" i="4"/>
  <c r="M172" i="4"/>
  <c r="AL172" i="4"/>
  <c r="BH95" i="4"/>
  <c r="AD95" i="4" s="1"/>
  <c r="AW95" i="4"/>
  <c r="J95" i="4"/>
  <c r="J94" i="4" s="1"/>
  <c r="BC68" i="4"/>
  <c r="AV68" i="4"/>
  <c r="O43" i="4"/>
  <c r="K52" i="4"/>
  <c r="K51" i="4" s="1"/>
  <c r="AW32" i="4"/>
  <c r="M556" i="4"/>
  <c r="AL556" i="4"/>
  <c r="BC648" i="4"/>
  <c r="AV648" i="4"/>
  <c r="AW562" i="4"/>
  <c r="J562" i="4"/>
  <c r="AW553" i="4"/>
  <c r="BH553" i="4"/>
  <c r="AD553" i="4" s="1"/>
  <c r="L650" i="4"/>
  <c r="M651" i="4"/>
  <c r="AL651" i="4"/>
  <c r="AV579" i="4"/>
  <c r="BC579" i="4"/>
  <c r="M569" i="4"/>
  <c r="M568" i="4" s="1"/>
  <c r="M567" i="4" s="1"/>
  <c r="AL569" i="4"/>
  <c r="AU568" i="4" s="1"/>
  <c r="L568" i="4"/>
  <c r="L567" i="4" s="1"/>
  <c r="M608" i="4"/>
  <c r="AL608" i="4"/>
  <c r="AW642" i="4"/>
  <c r="J642" i="4"/>
  <c r="BH642" i="4"/>
  <c r="AD642" i="4" s="1"/>
  <c r="K597" i="4"/>
  <c r="AX597" i="4"/>
  <c r="BC597" i="4" s="1"/>
  <c r="AW540" i="4"/>
  <c r="BH540" i="4"/>
  <c r="AD540" i="4" s="1"/>
  <c r="M577" i="4"/>
  <c r="AL577" i="4"/>
  <c r="J541" i="4"/>
  <c r="J536" i="4" s="1"/>
  <c r="K646" i="4"/>
  <c r="AL648" i="4"/>
  <c r="M648" i="4"/>
  <c r="AL591" i="4"/>
  <c r="M591" i="4"/>
  <c r="M521" i="4"/>
  <c r="AL521" i="4"/>
  <c r="AX532" i="4"/>
  <c r="BC532" i="4" s="1"/>
  <c r="J542" i="4"/>
  <c r="M518" i="4"/>
  <c r="AL518" i="4"/>
  <c r="AX556" i="4"/>
  <c r="M480" i="4"/>
  <c r="AL480" i="4"/>
  <c r="AX504" i="4"/>
  <c r="BC504" i="4" s="1"/>
  <c r="O528" i="4"/>
  <c r="BF529" i="4"/>
  <c r="AW496" i="4"/>
  <c r="O508" i="4"/>
  <c r="BF509" i="4"/>
  <c r="J442" i="4"/>
  <c r="AW397" i="4"/>
  <c r="BH397" i="4"/>
  <c r="AD397" i="4" s="1"/>
  <c r="M440" i="4"/>
  <c r="AL440" i="4"/>
  <c r="M444" i="4"/>
  <c r="AL444" i="4"/>
  <c r="K418" i="4"/>
  <c r="M441" i="4"/>
  <c r="AL441" i="4"/>
  <c r="AV430" i="4"/>
  <c r="BC430" i="4"/>
  <c r="M420" i="4"/>
  <c r="AL420" i="4"/>
  <c r="AU418" i="4" s="1"/>
  <c r="BC377" i="4"/>
  <c r="J340" i="4"/>
  <c r="M356" i="4"/>
  <c r="AL356" i="4"/>
  <c r="AW357" i="4"/>
  <c r="AW343" i="4"/>
  <c r="M378" i="4"/>
  <c r="AL378" i="4"/>
  <c r="AX371" i="4"/>
  <c r="BC371" i="4" s="1"/>
  <c r="AX405" i="4"/>
  <c r="AW360" i="4"/>
  <c r="BC378" i="4"/>
  <c r="AV378" i="4"/>
  <c r="BH394" i="4"/>
  <c r="AD394" i="4" s="1"/>
  <c r="M337" i="4"/>
  <c r="AL337" i="4"/>
  <c r="AL258" i="4"/>
  <c r="M258" i="4"/>
  <c r="AV258" i="4"/>
  <c r="BC258" i="4"/>
  <c r="O239" i="4"/>
  <c r="BF240" i="4"/>
  <c r="BC274" i="4"/>
  <c r="AV274" i="4"/>
  <c r="K229" i="4"/>
  <c r="M266" i="4"/>
  <c r="AL266" i="4"/>
  <c r="J242" i="4"/>
  <c r="J239" i="4" s="1"/>
  <c r="BI268" i="4"/>
  <c r="AE268" i="4" s="1"/>
  <c r="AW212" i="4"/>
  <c r="M180" i="4"/>
  <c r="AL180" i="4"/>
  <c r="AW195" i="4"/>
  <c r="BH195" i="4"/>
  <c r="AB195" i="4" s="1"/>
  <c r="K208" i="4"/>
  <c r="AX162" i="4"/>
  <c r="AV162" i="4" s="1"/>
  <c r="K231" i="4"/>
  <c r="J155" i="4"/>
  <c r="J154" i="4" s="1"/>
  <c r="BI223" i="4"/>
  <c r="AE223" i="4" s="1"/>
  <c r="BC221" i="4"/>
  <c r="AV221" i="4"/>
  <c r="M220" i="4"/>
  <c r="AL220" i="4"/>
  <c r="L219" i="4"/>
  <c r="K238" i="4"/>
  <c r="K237" i="4" s="1"/>
  <c r="AL113" i="4"/>
  <c r="M113" i="4"/>
  <c r="O23" i="4"/>
  <c r="BF24" i="4"/>
  <c r="M72" i="4"/>
  <c r="AL72" i="4"/>
  <c r="AW34" i="4"/>
  <c r="M116" i="4"/>
  <c r="AL116" i="4"/>
  <c r="K58" i="4"/>
  <c r="K35" i="4"/>
  <c r="K65" i="4"/>
  <c r="AW147" i="4"/>
  <c r="BC172" i="4"/>
  <c r="AV172" i="4"/>
  <c r="O207" i="4"/>
  <c r="AL16" i="4"/>
  <c r="M16" i="4"/>
  <c r="M37" i="4"/>
  <c r="AL37" i="4"/>
  <c r="L51" i="4"/>
  <c r="M52" i="4"/>
  <c r="M51" i="4" s="1"/>
  <c r="AL52" i="4"/>
  <c r="AU51" i="4" s="1"/>
  <c r="O31" i="4"/>
  <c r="BF32" i="4"/>
  <c r="M602" i="4"/>
  <c r="AL602" i="4"/>
  <c r="J553" i="4"/>
  <c r="AL589" i="4"/>
  <c r="M589" i="4"/>
  <c r="AL579" i="4"/>
  <c r="M579" i="4"/>
  <c r="K647" i="4"/>
  <c r="AV600" i="4"/>
  <c r="BC600" i="4"/>
  <c r="BC620" i="4"/>
  <c r="AV620" i="4"/>
  <c r="AW598" i="4"/>
  <c r="J598" i="4"/>
  <c r="BH598" i="4"/>
  <c r="AD598" i="4" s="1"/>
  <c r="K558" i="4"/>
  <c r="AV480" i="4"/>
  <c r="BC480" i="4"/>
  <c r="L548" i="4"/>
  <c r="M549" i="4"/>
  <c r="AL549" i="4"/>
  <c r="M481" i="4"/>
  <c r="AL481" i="4"/>
  <c r="AX499" i="4"/>
  <c r="BC499" i="4" s="1"/>
  <c r="BH496" i="4"/>
  <c r="AX509" i="4"/>
  <c r="M412" i="4"/>
  <c r="AL412" i="4"/>
  <c r="AV440" i="4"/>
  <c r="BC440" i="4"/>
  <c r="BC415" i="4"/>
  <c r="AV415" i="4"/>
  <c r="M461" i="4"/>
  <c r="AL461" i="4"/>
  <c r="M377" i="4"/>
  <c r="AL377" i="4"/>
  <c r="J355" i="4"/>
  <c r="BH355" i="4"/>
  <c r="AB355" i="4" s="1"/>
  <c r="AW355" i="4"/>
  <c r="M347" i="4"/>
  <c r="AL347" i="4"/>
  <c r="AW375" i="4"/>
  <c r="AX350" i="4"/>
  <c r="BC350" i="4" s="1"/>
  <c r="BI394" i="4"/>
  <c r="AE394" i="4" s="1"/>
  <c r="BF320" i="4"/>
  <c r="O317" i="4"/>
  <c r="M320" i="4"/>
  <c r="AL320" i="4"/>
  <c r="L317" i="4"/>
  <c r="M338" i="4"/>
  <c r="AL338" i="4"/>
  <c r="K335" i="4"/>
  <c r="M321" i="4"/>
  <c r="AL321" i="4"/>
  <c r="AV236" i="4"/>
  <c r="BC236" i="4"/>
  <c r="BH270" i="4"/>
  <c r="AD270" i="4" s="1"/>
  <c r="BC272" i="4"/>
  <c r="AV272" i="4"/>
  <c r="BH251" i="4"/>
  <c r="AD251" i="4" s="1"/>
  <c r="AW251" i="4"/>
  <c r="J251" i="4"/>
  <c r="BC266" i="4"/>
  <c r="AV266" i="4"/>
  <c r="BH236" i="4"/>
  <c r="AD236" i="4" s="1"/>
  <c r="L364" i="4"/>
  <c r="AV180" i="4"/>
  <c r="BC180" i="4"/>
  <c r="AX195" i="4"/>
  <c r="BI195" i="4"/>
  <c r="AC195" i="4" s="1"/>
  <c r="J202" i="4"/>
  <c r="J201" i="4" s="1"/>
  <c r="M231" i="4"/>
  <c r="AL231" i="4"/>
  <c r="J200" i="4"/>
  <c r="J170" i="4"/>
  <c r="J159" i="4" s="1"/>
  <c r="L237" i="4"/>
  <c r="M238" i="4"/>
  <c r="M237" i="4" s="1"/>
  <c r="AL238" i="4"/>
  <c r="AU237" i="4" s="1"/>
  <c r="BH210" i="4"/>
  <c r="AB210" i="4" s="1"/>
  <c r="AW210" i="4"/>
  <c r="J210" i="4"/>
  <c r="M143" i="4"/>
  <c r="AL143" i="4"/>
  <c r="L142" i="4"/>
  <c r="BH18" i="4"/>
  <c r="AW18" i="4"/>
  <c r="BH80" i="4"/>
  <c r="AD80" i="4" s="1"/>
  <c r="J19" i="4"/>
  <c r="J17" i="4" s="1"/>
  <c r="BH19" i="4"/>
  <c r="AW19" i="4"/>
  <c r="AV72" i="4"/>
  <c r="AW70" i="4"/>
  <c r="BH70" i="4"/>
  <c r="AD70" i="4" s="1"/>
  <c r="M25" i="4"/>
  <c r="M23" i="4" s="1"/>
  <c r="AL25" i="4"/>
  <c r="AU23" i="4" s="1"/>
  <c r="L23" i="4"/>
  <c r="M125" i="4"/>
  <c r="AL125" i="4"/>
  <c r="AL166" i="4"/>
  <c r="M166" i="4"/>
  <c r="J72" i="4"/>
  <c r="BC61" i="4"/>
  <c r="AV61" i="4"/>
  <c r="M66" i="4"/>
  <c r="AL66" i="4"/>
  <c r="O97" i="4"/>
  <c r="BH79" i="4"/>
  <c r="AD79" i="4" s="1"/>
  <c r="AW79" i="4"/>
  <c r="J79" i="4"/>
  <c r="AW37" i="4"/>
  <c r="BH62" i="4"/>
  <c r="AW62" i="4"/>
  <c r="J62" i="4"/>
  <c r="AX83" i="4"/>
  <c r="BC83" i="4" s="1"/>
  <c r="AV151" i="4"/>
  <c r="AX34" i="4"/>
  <c r="AW633" i="4"/>
  <c r="J633" i="4"/>
  <c r="BH633" i="4"/>
  <c r="AD633" i="4" s="1"/>
  <c r="AV596" i="4"/>
  <c r="BC584" i="4"/>
  <c r="AV584" i="4"/>
  <c r="K607" i="4"/>
  <c r="AX607" i="4"/>
  <c r="AL601" i="4"/>
  <c r="M601" i="4"/>
  <c r="M541" i="4"/>
  <c r="AL541" i="4"/>
  <c r="M652" i="4"/>
  <c r="AL652" i="4"/>
  <c r="M598" i="4"/>
  <c r="AL598" i="4"/>
  <c r="BC641" i="4"/>
  <c r="AV641" i="4"/>
  <c r="M512" i="4"/>
  <c r="AL512" i="4"/>
  <c r="L510" i="4"/>
  <c r="M542" i="4"/>
  <c r="AL542" i="4"/>
  <c r="M558" i="4"/>
  <c r="AL558" i="4"/>
  <c r="K532" i="4"/>
  <c r="K528" i="4" s="1"/>
  <c r="J555" i="4"/>
  <c r="AW554" i="4"/>
  <c r="AV477" i="4"/>
  <c r="BC477" i="4"/>
  <c r="BC549" i="4"/>
  <c r="AV549" i="4"/>
  <c r="L526" i="4"/>
  <c r="AL527" i="4"/>
  <c r="AU526" i="4" s="1"/>
  <c r="M527" i="4"/>
  <c r="M526" i="4" s="1"/>
  <c r="BC531" i="4"/>
  <c r="AV531" i="4"/>
  <c r="L498" i="4"/>
  <c r="M499" i="4"/>
  <c r="AL499" i="4"/>
  <c r="BC527" i="4"/>
  <c r="AV527" i="4"/>
  <c r="BH507" i="4"/>
  <c r="AL448" i="4"/>
  <c r="M448" i="4"/>
  <c r="K488" i="4"/>
  <c r="K475" i="4" s="1"/>
  <c r="K436" i="4"/>
  <c r="K435" i="4" s="1"/>
  <c r="BC461" i="4"/>
  <c r="M466" i="4"/>
  <c r="AL466" i="4"/>
  <c r="BC374" i="4"/>
  <c r="AV374" i="4"/>
  <c r="M333" i="4"/>
  <c r="AL333" i="4"/>
  <c r="J345" i="4"/>
  <c r="O349" i="4"/>
  <c r="O348" i="4" s="1"/>
  <c r="BF350" i="4"/>
  <c r="M369" i="4"/>
  <c r="AL369" i="4"/>
  <c r="M400" i="4"/>
  <c r="AL400" i="4"/>
  <c r="M414" i="4"/>
  <c r="AL414" i="4"/>
  <c r="AL314" i="4"/>
  <c r="M314" i="4"/>
  <c r="AV320" i="4"/>
  <c r="BC320" i="4"/>
  <c r="AW312" i="4"/>
  <c r="M335" i="4"/>
  <c r="AL335" i="4"/>
  <c r="AX337" i="4"/>
  <c r="BC313" i="4"/>
  <c r="AV313" i="4"/>
  <c r="BC321" i="4"/>
  <c r="AV321" i="4"/>
  <c r="M293" i="4"/>
  <c r="AL293" i="4"/>
  <c r="K255" i="4"/>
  <c r="AX255" i="4"/>
  <c r="BC255" i="4" s="1"/>
  <c r="BH255" i="4"/>
  <c r="AD255" i="4" s="1"/>
  <c r="J255" i="4"/>
  <c r="AV302" i="4"/>
  <c r="M229" i="4"/>
  <c r="AL229" i="4"/>
  <c r="AV330" i="4"/>
  <c r="M242" i="4"/>
  <c r="AL242" i="4"/>
  <c r="BI261" i="4"/>
  <c r="AE261" i="4" s="1"/>
  <c r="BI192" i="4"/>
  <c r="AC192" i="4" s="1"/>
  <c r="K192" i="4"/>
  <c r="AX192" i="4"/>
  <c r="AV192" i="4" s="1"/>
  <c r="BH200" i="4"/>
  <c r="AB200" i="4" s="1"/>
  <c r="K146" i="4"/>
  <c r="AW231" i="4"/>
  <c r="AL149" i="4"/>
  <c r="M149" i="4"/>
  <c r="BC164" i="4"/>
  <c r="J243" i="4"/>
  <c r="BC213" i="4"/>
  <c r="AV213" i="4"/>
  <c r="BC143" i="4"/>
  <c r="K70" i="4"/>
  <c r="BI70" i="4"/>
  <c r="AE70" i="4" s="1"/>
  <c r="BF15" i="4"/>
  <c r="O14" i="4"/>
  <c r="BC116" i="4"/>
  <c r="AV116" i="4"/>
  <c r="BC160" i="4"/>
  <c r="AV160" i="4"/>
  <c r="K33" i="4"/>
  <c r="O187" i="4"/>
  <c r="K141" i="4"/>
  <c r="K133" i="4" s="1"/>
  <c r="BI93" i="4"/>
  <c r="AE93" i="4" s="1"/>
  <c r="K93" i="4"/>
  <c r="K92" i="4" s="1"/>
  <c r="BI79" i="4"/>
  <c r="AE79" i="4" s="1"/>
  <c r="AX79" i="4"/>
  <c r="K79" i="4"/>
  <c r="M20" i="4"/>
  <c r="M17" i="4" s="1"/>
  <c r="AL20" i="4"/>
  <c r="AU17" i="4" s="1"/>
  <c r="BI62" i="4"/>
  <c r="AX62" i="4"/>
  <c r="K62" i="4"/>
  <c r="O51" i="4"/>
  <c r="BF52" i="4"/>
  <c r="O54" i="4"/>
  <c r="AL580" i="4"/>
  <c r="M580" i="4"/>
  <c r="AV503" i="4"/>
  <c r="BC503" i="4"/>
  <c r="AV602" i="4"/>
  <c r="BC602" i="4"/>
  <c r="M554" i="4"/>
  <c r="AL554" i="4"/>
  <c r="AW626" i="4"/>
  <c r="BH626" i="4"/>
  <c r="AD626" i="4" s="1"/>
  <c r="AL611" i="4"/>
  <c r="M611" i="4"/>
  <c r="M637" i="4"/>
  <c r="AL637" i="4"/>
  <c r="AV591" i="4"/>
  <c r="AW542" i="4"/>
  <c r="AL474" i="4"/>
  <c r="M474" i="4"/>
  <c r="AL522" i="4"/>
  <c r="M522" i="4"/>
  <c r="AL531" i="4"/>
  <c r="M531" i="4"/>
  <c r="O526" i="4"/>
  <c r="BF527" i="4"/>
  <c r="BC649" i="4"/>
  <c r="AV649" i="4"/>
  <c r="AX445" i="4"/>
  <c r="K445" i="4"/>
  <c r="M488" i="4"/>
  <c r="AL488" i="4"/>
  <c r="L435" i="4"/>
  <c r="M436" i="4"/>
  <c r="M435" i="4" s="1"/>
  <c r="AL436" i="4"/>
  <c r="AU435" i="4" s="1"/>
  <c r="M433" i="4"/>
  <c r="AL433" i="4"/>
  <c r="BC466" i="4"/>
  <c r="AV466" i="4"/>
  <c r="M374" i="4"/>
  <c r="AL374" i="4"/>
  <c r="BH332" i="4"/>
  <c r="AD332" i="4" s="1"/>
  <c r="AW332" i="4"/>
  <c r="BC347" i="4"/>
  <c r="AV347" i="4"/>
  <c r="M392" i="4"/>
  <c r="AL392" i="4"/>
  <c r="AV432" i="4"/>
  <c r="BC344" i="4"/>
  <c r="AV344" i="4"/>
  <c r="AV396" i="4"/>
  <c r="BC372" i="4"/>
  <c r="AV372" i="4"/>
  <c r="J390" i="4"/>
  <c r="K287" i="4"/>
  <c r="BI287" i="4"/>
  <c r="M336" i="4"/>
  <c r="AL336" i="4"/>
  <c r="M312" i="4"/>
  <c r="AL312" i="4"/>
  <c r="BC254" i="4"/>
  <c r="AV254" i="4"/>
  <c r="BH212" i="4"/>
  <c r="AB212" i="4" s="1"/>
  <c r="M200" i="4"/>
  <c r="AL200" i="4"/>
  <c r="BC134" i="4"/>
  <c r="AV134" i="4"/>
  <c r="M233" i="4"/>
  <c r="AL233" i="4"/>
  <c r="O237" i="4"/>
  <c r="BF238" i="4"/>
  <c r="BC277" i="4"/>
  <c r="AV277" i="4"/>
  <c r="BC93" i="4"/>
  <c r="AV93" i="4"/>
  <c r="BF143" i="4"/>
  <c r="O142" i="4"/>
  <c r="M50" i="4"/>
  <c r="AL50" i="4"/>
  <c r="M136" i="4"/>
  <c r="AL136" i="4"/>
  <c r="AW99" i="4"/>
  <c r="BH99" i="4"/>
  <c r="AD99" i="4" s="1"/>
  <c r="AV15" i="4"/>
  <c r="BH125" i="4"/>
  <c r="AD125" i="4" s="1"/>
  <c r="AW125" i="4"/>
  <c r="J125" i="4"/>
  <c r="M76" i="4"/>
  <c r="AL76" i="4"/>
  <c r="AX103" i="4"/>
  <c r="BC103" i="4" s="1"/>
  <c r="M79" i="4"/>
  <c r="AL79" i="4"/>
  <c r="AV20" i="4"/>
  <c r="BC20" i="4"/>
  <c r="M62" i="4"/>
  <c r="AL62" i="4"/>
  <c r="AX52" i="4"/>
  <c r="AV52" i="4" s="1"/>
  <c r="K651" i="4"/>
  <c r="K650" i="4" s="1"/>
  <c r="BC585" i="4"/>
  <c r="AV585" i="4"/>
  <c r="J597" i="4"/>
  <c r="BH597" i="4"/>
  <c r="AD597" i="4" s="1"/>
  <c r="AW623" i="4"/>
  <c r="J623" i="4"/>
  <c r="BH623" i="4"/>
  <c r="AD623" i="4" s="1"/>
  <c r="M646" i="4"/>
  <c r="AL646" i="4"/>
  <c r="AL620" i="4"/>
  <c r="M620" i="4"/>
  <c r="BH476" i="4"/>
  <c r="AD476" i="4" s="1"/>
  <c r="AW476" i="4"/>
  <c r="BC563" i="4"/>
  <c r="AV563" i="4"/>
  <c r="AV523" i="4"/>
  <c r="BC523" i="4"/>
  <c r="BC524" i="4"/>
  <c r="AV524" i="4"/>
  <c r="BC537" i="4"/>
  <c r="AV537" i="4"/>
  <c r="BH500" i="4"/>
  <c r="AB500" i="4" s="1"/>
  <c r="AW500" i="4"/>
  <c r="J500" i="4"/>
  <c r="AW507" i="4"/>
  <c r="AV488" i="4"/>
  <c r="BC488" i="4"/>
  <c r="M431" i="4"/>
  <c r="AL431" i="4"/>
  <c r="L437" i="4"/>
  <c r="AW452" i="4"/>
  <c r="BC482" i="4"/>
  <c r="AV482" i="4"/>
  <c r="L425" i="4"/>
  <c r="M432" i="4"/>
  <c r="AL432" i="4"/>
  <c r="O475" i="4"/>
  <c r="BC439" i="4"/>
  <c r="AV439" i="4"/>
  <c r="O437" i="4"/>
  <c r="M399" i="4"/>
  <c r="AL399" i="4"/>
  <c r="J332" i="4"/>
  <c r="J329" i="4" s="1"/>
  <c r="K345" i="4"/>
  <c r="M388" i="4"/>
  <c r="AL388" i="4"/>
  <c r="M342" i="4"/>
  <c r="AL342" i="4"/>
  <c r="M367" i="4"/>
  <c r="AL367" i="4"/>
  <c r="AW394" i="4"/>
  <c r="K350" i="4"/>
  <c r="K349" i="4" s="1"/>
  <c r="K348" i="4" s="1"/>
  <c r="O402" i="4"/>
  <c r="BC336" i="4"/>
  <c r="AV336" i="4"/>
  <c r="BI255" i="4"/>
  <c r="AE255" i="4" s="1"/>
  <c r="M228" i="4"/>
  <c r="AL228" i="4"/>
  <c r="M284" i="4"/>
  <c r="AL284" i="4"/>
  <c r="AL324" i="4"/>
  <c r="M324" i="4"/>
  <c r="AX298" i="4"/>
  <c r="AV261" i="4"/>
  <c r="BC185" i="4"/>
  <c r="AX231" i="4"/>
  <c r="J147" i="4"/>
  <c r="AW214" i="4"/>
  <c r="J214" i="4"/>
  <c r="M209" i="4"/>
  <c r="AL209" i="4"/>
  <c r="L207" i="4"/>
  <c r="AX238" i="4"/>
  <c r="BC238" i="4" s="1"/>
  <c r="M243" i="4"/>
  <c r="AL243" i="4"/>
  <c r="BC318" i="4"/>
  <c r="O92" i="4"/>
  <c r="BF93" i="4"/>
  <c r="BH49" i="4"/>
  <c r="AD49" i="4" s="1"/>
  <c r="AW49" i="4"/>
  <c r="O159" i="4"/>
  <c r="AV136" i="4"/>
  <c r="J69" i="4"/>
  <c r="BH69" i="4"/>
  <c r="AD69" i="4" s="1"/>
  <c r="AW69" i="4"/>
  <c r="BC224" i="4"/>
  <c r="AV224" i="4"/>
  <c r="AL160" i="4"/>
  <c r="L159" i="4"/>
  <c r="M160" i="4"/>
  <c r="J99" i="4"/>
  <c r="J97" i="4" s="1"/>
  <c r="AX64" i="4"/>
  <c r="O194" i="4"/>
  <c r="M61" i="4"/>
  <c r="AL61" i="4"/>
  <c r="K17" i="4"/>
  <c r="BC651" i="4"/>
  <c r="AV651" i="4"/>
  <c r="BF617" i="4"/>
  <c r="O615" i="4"/>
  <c r="K633" i="4"/>
  <c r="BI633" i="4"/>
  <c r="AE633" i="4" s="1"/>
  <c r="AX633" i="4"/>
  <c r="M612" i="4"/>
  <c r="AL612" i="4"/>
  <c r="AU605" i="4" s="1"/>
  <c r="K550" i="4"/>
  <c r="M515" i="4"/>
  <c r="AL515" i="4"/>
  <c r="AV617" i="4"/>
  <c r="AV533" i="4"/>
  <c r="BC533" i="4"/>
  <c r="BI607" i="4"/>
  <c r="AE607" i="4" s="1"/>
  <c r="K572" i="4"/>
  <c r="BI573" i="4"/>
  <c r="AC573" i="4" s="1"/>
  <c r="BC575" i="4"/>
  <c r="AV575" i="4"/>
  <c r="K630" i="4"/>
  <c r="AX647" i="4"/>
  <c r="BC647" i="4" s="1"/>
  <c r="AV601" i="4"/>
  <c r="AX652" i="4"/>
  <c r="BC652" i="4" s="1"/>
  <c r="BC578" i="4"/>
  <c r="AV578" i="4"/>
  <c r="BI543" i="4"/>
  <c r="AE543" i="4" s="1"/>
  <c r="AW521" i="4"/>
  <c r="BI558" i="4"/>
  <c r="AE558" i="4" s="1"/>
  <c r="BC539" i="4"/>
  <c r="AV539" i="4"/>
  <c r="AW555" i="4"/>
  <c r="BC483" i="4"/>
  <c r="AV483" i="4"/>
  <c r="BI493" i="4"/>
  <c r="AE493" i="4" s="1"/>
  <c r="AX493" i="4"/>
  <c r="AV493" i="4" s="1"/>
  <c r="K507" i="4"/>
  <c r="AV519" i="4"/>
  <c r="BC519" i="4"/>
  <c r="M484" i="4"/>
  <c r="AL484" i="4"/>
  <c r="K442" i="4"/>
  <c r="AW472" i="4"/>
  <c r="J472" i="4"/>
  <c r="BH434" i="4"/>
  <c r="AW434" i="4"/>
  <c r="BC413" i="4"/>
  <c r="AV413" i="4"/>
  <c r="BH416" i="4"/>
  <c r="AD416" i="4" s="1"/>
  <c r="J429" i="4"/>
  <c r="J425" i="4" s="1"/>
  <c r="O425" i="4"/>
  <c r="BC426" i="4"/>
  <c r="AV426" i="4"/>
  <c r="K387" i="4"/>
  <c r="BC399" i="4"/>
  <c r="AV399" i="4"/>
  <c r="BC366" i="4"/>
  <c r="AV366" i="4"/>
  <c r="AW327" i="4"/>
  <c r="BH327" i="4"/>
  <c r="AD327" i="4" s="1"/>
  <c r="BC342" i="4"/>
  <c r="AV342" i="4"/>
  <c r="BI406" i="4"/>
  <c r="AE406" i="4" s="1"/>
  <c r="K367" i="4"/>
  <c r="M394" i="4"/>
  <c r="AL394" i="4"/>
  <c r="BC376" i="4"/>
  <c r="AV376" i="4"/>
  <c r="BC391" i="4"/>
  <c r="AV391" i="4"/>
  <c r="AX325" i="4"/>
  <c r="AX292" i="4"/>
  <c r="BC292" i="4" s="1"/>
  <c r="AX335" i="4"/>
  <c r="BC335" i="4" s="1"/>
  <c r="BC267" i="4"/>
  <c r="AV267" i="4"/>
  <c r="BC253" i="4"/>
  <c r="AV253" i="4"/>
  <c r="AV227" i="4"/>
  <c r="BC227" i="4"/>
  <c r="BF276" i="4"/>
  <c r="O275" i="4"/>
  <c r="K256" i="4"/>
  <c r="BC304" i="4"/>
  <c r="AV304" i="4"/>
  <c r="J195" i="4"/>
  <c r="M134" i="4"/>
  <c r="AL134" i="4"/>
  <c r="L133" i="4"/>
  <c r="AX229" i="4"/>
  <c r="BC229" i="4" s="1"/>
  <c r="M257" i="4"/>
  <c r="AL257" i="4"/>
  <c r="AW243" i="4"/>
  <c r="BC276" i="4"/>
  <c r="J138" i="4"/>
  <c r="J133" i="4" s="1"/>
  <c r="J49" i="4"/>
  <c r="J48" i="4" s="1"/>
  <c r="M151" i="4"/>
  <c r="AL151" i="4"/>
  <c r="J113" i="4"/>
  <c r="BH113" i="4"/>
  <c r="AD113" i="4" s="1"/>
  <c r="AW57" i="4"/>
  <c r="BF64" i="4"/>
  <c r="O63" i="4"/>
  <c r="K159" i="4"/>
  <c r="K103" i="4"/>
  <c r="J25" i="4"/>
  <c r="J23" i="4" s="1"/>
  <c r="J119" i="4"/>
  <c r="M84" i="4"/>
  <c r="AL84" i="4"/>
  <c r="BC199" i="4"/>
  <c r="AV199" i="4"/>
  <c r="K128" i="4"/>
  <c r="AL101" i="4"/>
  <c r="M101" i="4"/>
  <c r="AL107" i="4"/>
  <c r="M107" i="4"/>
  <c r="L105" i="4"/>
  <c r="BH153" i="4"/>
  <c r="AB153" i="4" s="1"/>
  <c r="AW153" i="4"/>
  <c r="J153" i="4"/>
  <c r="J152" i="4" s="1"/>
  <c r="BC123" i="4"/>
  <c r="K48" i="4"/>
  <c r="M638" i="4"/>
  <c r="AL638" i="4"/>
  <c r="BC558" i="4"/>
  <c r="AV558" i="4"/>
  <c r="BF549" i="4"/>
  <c r="O548" i="4"/>
  <c r="M582" i="4"/>
  <c r="M581" i="4" s="1"/>
  <c r="AL582" i="4"/>
  <c r="AU581" i="4" s="1"/>
  <c r="L581" i="4"/>
  <c r="AX612" i="4"/>
  <c r="AV612" i="4" s="1"/>
  <c r="BF512" i="4"/>
  <c r="O510" i="4"/>
  <c r="M559" i="4"/>
  <c r="AL559" i="4"/>
  <c r="BI550" i="4"/>
  <c r="AE550" i="4" s="1"/>
  <c r="M469" i="4"/>
  <c r="AL469" i="4"/>
  <c r="J465" i="4"/>
  <c r="M452" i="4"/>
  <c r="AL452" i="4"/>
  <c r="AX467" i="4"/>
  <c r="AV467" i="4" s="1"/>
  <c r="K467" i="4"/>
  <c r="M416" i="4"/>
  <c r="AL416" i="4"/>
  <c r="K365" i="4"/>
  <c r="BI365" i="4"/>
  <c r="AE365" i="4" s="1"/>
  <c r="AX365" i="4"/>
  <c r="BC381" i="4"/>
  <c r="AV381" i="4"/>
  <c r="M334" i="4"/>
  <c r="AL334" i="4"/>
  <c r="M401" i="4"/>
  <c r="AL401" i="4"/>
  <c r="BC363" i="4"/>
  <c r="O390" i="4"/>
  <c r="BF391" i="4"/>
  <c r="BH353" i="4"/>
  <c r="AB353" i="4" s="1"/>
  <c r="AW353" i="4"/>
  <c r="J353" i="4"/>
  <c r="O291" i="4"/>
  <c r="BF292" i="4"/>
  <c r="M301" i="4"/>
  <c r="AL301" i="4"/>
  <c r="L418" i="4"/>
  <c r="AL303" i="4"/>
  <c r="M303" i="4"/>
  <c r="O345" i="4"/>
  <c r="AL250" i="4"/>
  <c r="M250" i="4"/>
  <c r="BC263" i="4"/>
  <c r="AV263" i="4"/>
  <c r="K195" i="4"/>
  <c r="K194" i="4" s="1"/>
  <c r="M188" i="4"/>
  <c r="AL188" i="4"/>
  <c r="AU187" i="4" s="1"/>
  <c r="L187" i="4"/>
  <c r="M218" i="4"/>
  <c r="M217" i="4" s="1"/>
  <c r="AL218" i="4"/>
  <c r="AU217" i="4" s="1"/>
  <c r="L217" i="4"/>
  <c r="M252" i="4"/>
  <c r="AL252" i="4"/>
  <c r="BC211" i="4"/>
  <c r="M145" i="4"/>
  <c r="AL145" i="4"/>
  <c r="K56" i="4"/>
  <c r="K54" i="4" s="1"/>
  <c r="BI56" i="4"/>
  <c r="AC56" i="4" s="1"/>
  <c r="AV106" i="4"/>
  <c r="L63" i="4"/>
  <c r="M64" i="4"/>
  <c r="AL64" i="4"/>
  <c r="K119" i="4"/>
  <c r="AL199" i="4"/>
  <c r="M199" i="4"/>
  <c r="M128" i="4"/>
  <c r="AL128" i="4"/>
  <c r="BC101" i="4"/>
  <c r="AV101" i="4"/>
  <c r="AX153" i="4"/>
  <c r="K153" i="4"/>
  <c r="K152" i="4" s="1"/>
  <c r="BI153" i="4"/>
  <c r="AC153" i="4" s="1"/>
  <c r="BH67" i="4"/>
  <c r="AD67" i="4" s="1"/>
  <c r="AW67" i="4"/>
  <c r="J67" i="4"/>
  <c r="AX70" i="4"/>
  <c r="M48" i="4"/>
  <c r="AX47" i="4"/>
  <c r="AW644" i="4"/>
  <c r="BH644" i="4"/>
  <c r="AD644" i="4" s="1"/>
  <c r="M635" i="4"/>
  <c r="AL635" i="4"/>
  <c r="L632" i="4"/>
  <c r="AW634" i="4"/>
  <c r="BH634" i="4"/>
  <c r="AD634" i="4" s="1"/>
  <c r="M614" i="4"/>
  <c r="AL614" i="4"/>
  <c r="BC556" i="4"/>
  <c r="AV556" i="4"/>
  <c r="BH535" i="4"/>
  <c r="AD535" i="4" s="1"/>
  <c r="AW535" i="4"/>
  <c r="M647" i="4"/>
  <c r="AL647" i="4"/>
  <c r="BH525" i="4"/>
  <c r="AD525" i="4" s="1"/>
  <c r="AW525" i="4"/>
  <c r="M619" i="4"/>
  <c r="AL619" i="4"/>
  <c r="L536" i="4"/>
  <c r="M537" i="4"/>
  <c r="AL537" i="4"/>
  <c r="J582" i="4"/>
  <c r="J581" i="4" s="1"/>
  <c r="BI608" i="4"/>
  <c r="AE608" i="4" s="1"/>
  <c r="AX608" i="4"/>
  <c r="K608" i="4"/>
  <c r="AX646" i="4"/>
  <c r="BC646" i="4" s="1"/>
  <c r="M593" i="4"/>
  <c r="AL593" i="4"/>
  <c r="BC621" i="4"/>
  <c r="AV621" i="4"/>
  <c r="AW502" i="4"/>
  <c r="BH502" i="4"/>
  <c r="AB502" i="4" s="1"/>
  <c r="AX572" i="4"/>
  <c r="M573" i="4"/>
  <c r="AL573" i="4"/>
  <c r="AX637" i="4"/>
  <c r="BC637" i="4" s="1"/>
  <c r="M630" i="4"/>
  <c r="AL630" i="4"/>
  <c r="BH520" i="4"/>
  <c r="AD520" i="4" s="1"/>
  <c r="AW520" i="4"/>
  <c r="AV499" i="4"/>
  <c r="AW484" i="4"/>
  <c r="K429" i="4"/>
  <c r="K425" i="4" s="1"/>
  <c r="AV441" i="4"/>
  <c r="AW643" i="4"/>
  <c r="J643" i="4"/>
  <c r="BH643" i="4"/>
  <c r="AD643" i="4" s="1"/>
  <c r="BF651" i="4"/>
  <c r="O650" i="4"/>
  <c r="AL600" i="4"/>
  <c r="M600" i="4"/>
  <c r="BI597" i="4"/>
  <c r="AE597" i="4" s="1"/>
  <c r="J566" i="4"/>
  <c r="J564" i="4" s="1"/>
  <c r="AV645" i="4"/>
  <c r="BC630" i="4"/>
  <c r="AV630" i="4"/>
  <c r="AX593" i="4"/>
  <c r="BC593" i="4" s="1"/>
  <c r="AV611" i="4"/>
  <c r="K586" i="4"/>
  <c r="AX586" i="4"/>
  <c r="BC586" i="4" s="1"/>
  <c r="BC565" i="4"/>
  <c r="AV565" i="4"/>
  <c r="BI511" i="4"/>
  <c r="AE511" i="4" s="1"/>
  <c r="AX511" i="4"/>
  <c r="K517" i="4"/>
  <c r="AX517" i="4"/>
  <c r="BI517" i="4"/>
  <c r="AE517" i="4" s="1"/>
  <c r="M543" i="4"/>
  <c r="AL543" i="4"/>
  <c r="AV518" i="4"/>
  <c r="BC518" i="4"/>
  <c r="AL584" i="4"/>
  <c r="L583" i="4"/>
  <c r="M584" i="4"/>
  <c r="J506" i="4"/>
  <c r="AW506" i="4"/>
  <c r="BI500" i="4"/>
  <c r="AC500" i="4" s="1"/>
  <c r="K500" i="4"/>
  <c r="AX500" i="4"/>
  <c r="M464" i="4"/>
  <c r="AL464" i="4"/>
  <c r="L463" i="4"/>
  <c r="AW465" i="4"/>
  <c r="L495" i="4"/>
  <c r="L494" i="4" s="1"/>
  <c r="M496" i="4"/>
  <c r="M495" i="4" s="1"/>
  <c r="M494" i="4" s="1"/>
  <c r="AL496" i="4"/>
  <c r="AU495" i="4" s="1"/>
  <c r="K499" i="4"/>
  <c r="L571" i="4"/>
  <c r="AL434" i="4"/>
  <c r="M434" i="4"/>
  <c r="J450" i="4"/>
  <c r="BC457" i="4"/>
  <c r="AV457" i="4"/>
  <c r="BC405" i="4"/>
  <c r="AV405" i="4"/>
  <c r="BC469" i="4"/>
  <c r="BI439" i="4"/>
  <c r="AE439" i="4" s="1"/>
  <c r="M462" i="4"/>
  <c r="AL462" i="4"/>
  <c r="AV417" i="4"/>
  <c r="BC417" i="4"/>
  <c r="BI466" i="4"/>
  <c r="AE466" i="4" s="1"/>
  <c r="BH319" i="4"/>
  <c r="AD319" i="4" s="1"/>
  <c r="AW319" i="4"/>
  <c r="BF381" i="4"/>
  <c r="O380" i="4"/>
  <c r="BC334" i="4"/>
  <c r="AV334" i="4"/>
  <c r="AW379" i="4"/>
  <c r="J379" i="4"/>
  <c r="BH379" i="4"/>
  <c r="AD379" i="4" s="1"/>
  <c r="AW358" i="4"/>
  <c r="BC386" i="4"/>
  <c r="AV386" i="4"/>
  <c r="AW384" i="4"/>
  <c r="M323" i="4"/>
  <c r="AL323" i="4"/>
  <c r="M306" i="4"/>
  <c r="AL306" i="4"/>
  <c r="L352" i="4"/>
  <c r="M353" i="4"/>
  <c r="AL353" i="4"/>
  <c r="M322" i="4"/>
  <c r="AL322" i="4"/>
  <c r="O382" i="4"/>
  <c r="BI294" i="4"/>
  <c r="AE294" i="4" s="1"/>
  <c r="K294" i="4"/>
  <c r="K291" i="4" s="1"/>
  <c r="AX294" i="4"/>
  <c r="AV250" i="4"/>
  <c r="BC250" i="4"/>
  <c r="BH267" i="4"/>
  <c r="AD267" i="4" s="1"/>
  <c r="J267" i="4"/>
  <c r="AX284" i="4"/>
  <c r="K284" i="4"/>
  <c r="K279" i="4" s="1"/>
  <c r="BI284" i="4"/>
  <c r="AC284" i="4" s="1"/>
  <c r="AX256" i="4"/>
  <c r="BC256" i="4" s="1"/>
  <c r="M254" i="4"/>
  <c r="AL254" i="4"/>
  <c r="O309" i="4"/>
  <c r="K241" i="4"/>
  <c r="K239" i="4" s="1"/>
  <c r="AX299" i="4"/>
  <c r="M223" i="4"/>
  <c r="AL223" i="4"/>
  <c r="BH192" i="4"/>
  <c r="AB192" i="4" s="1"/>
  <c r="J192" i="4"/>
  <c r="J187" i="4" s="1"/>
  <c r="AX214" i="4"/>
  <c r="K214" i="4"/>
  <c r="M182" i="4"/>
  <c r="AL182" i="4"/>
  <c r="M204" i="4"/>
  <c r="AL204" i="4"/>
  <c r="BC222" i="4"/>
  <c r="AV222" i="4"/>
  <c r="M213" i="4"/>
  <c r="AL213" i="4"/>
  <c r="AW178" i="4"/>
  <c r="M183" i="4"/>
  <c r="AL183" i="4"/>
  <c r="AX243" i="4"/>
  <c r="AX82" i="4"/>
  <c r="M45" i="4"/>
  <c r="AL45" i="4"/>
  <c r="AX58" i="4"/>
  <c r="BC58" i="4" s="1"/>
  <c r="BI151" i="4"/>
  <c r="AC151" i="4" s="1"/>
  <c r="F36" i="3"/>
  <c r="I36" i="3" s="1"/>
  <c r="M119" i="4"/>
  <c r="AL119" i="4"/>
  <c r="J83" i="4"/>
  <c r="BC114" i="4"/>
  <c r="AV114" i="4"/>
  <c r="M65" i="4"/>
  <c r="AL65" i="4"/>
  <c r="M36" i="4"/>
  <c r="AL36" i="4"/>
  <c r="M153" i="4"/>
  <c r="M152" i="4" s="1"/>
  <c r="AL153" i="4"/>
  <c r="AU152" i="4" s="1"/>
  <c r="L152" i="4"/>
  <c r="BI67" i="4"/>
  <c r="AE67" i="4" s="1"/>
  <c r="AX67" i="4"/>
  <c r="K67" i="4"/>
  <c r="K63" i="4" s="1"/>
  <c r="AV126" i="4"/>
  <c r="L48" i="4"/>
  <c r="BF569" i="4"/>
  <c r="O568" i="4"/>
  <c r="O567" i="4" s="1"/>
  <c r="BI651" i="4"/>
  <c r="AE651" i="4" s="1"/>
  <c r="M618" i="4"/>
  <c r="AL618" i="4"/>
  <c r="K520" i="4"/>
  <c r="BI520" i="4"/>
  <c r="AE520" i="4" s="1"/>
  <c r="BH572" i="4"/>
  <c r="AB572" i="4" s="1"/>
  <c r="AW572" i="4"/>
  <c r="J572" i="4"/>
  <c r="J571" i="4" s="1"/>
  <c r="BC550" i="4"/>
  <c r="AV550" i="4"/>
  <c r="J586" i="4"/>
  <c r="BH586" i="4"/>
  <c r="AD586" i="4" s="1"/>
  <c r="AL639" i="4"/>
  <c r="M639" i="4"/>
  <c r="K576" i="4"/>
  <c r="AX576" i="4"/>
  <c r="AV576" i="4" s="1"/>
  <c r="AV543" i="4"/>
  <c r="BC551" i="4"/>
  <c r="AV551" i="4"/>
  <c r="O571" i="4"/>
  <c r="K450" i="4"/>
  <c r="BI429" i="4"/>
  <c r="AC429" i="4" s="1"/>
  <c r="BC438" i="4"/>
  <c r="AV438" i="4"/>
  <c r="O463" i="4"/>
  <c r="AX416" i="4"/>
  <c r="BC416" i="4" s="1"/>
  <c r="AL439" i="4"/>
  <c r="AU437" i="4" s="1"/>
  <c r="M439" i="4"/>
  <c r="M385" i="4"/>
  <c r="M382" i="4" s="1"/>
  <c r="AL385" i="4"/>
  <c r="L382" i="4"/>
  <c r="AV420" i="4"/>
  <c r="BC420" i="4"/>
  <c r="BC395" i="4"/>
  <c r="AV395" i="4"/>
  <c r="AW356" i="4"/>
  <c r="BF363" i="4"/>
  <c r="O362" i="4"/>
  <c r="M368" i="4"/>
  <c r="AL368" i="4"/>
  <c r="J455" i="4"/>
  <c r="M391" i="4"/>
  <c r="AL391" i="4"/>
  <c r="L390" i="4"/>
  <c r="M311" i="4"/>
  <c r="AL311" i="4"/>
  <c r="K311" i="4"/>
  <c r="K309" i="4" s="1"/>
  <c r="BI311" i="4"/>
  <c r="AE311" i="4" s="1"/>
  <c r="AW301" i="4"/>
  <c r="O364" i="4"/>
  <c r="M328" i="4"/>
  <c r="AL328" i="4"/>
  <c r="AX265" i="4"/>
  <c r="O329" i="4"/>
  <c r="M256" i="4"/>
  <c r="AL256" i="4"/>
  <c r="BH284" i="4"/>
  <c r="AB284" i="4" s="1"/>
  <c r="AW284" i="4"/>
  <c r="J284" i="4"/>
  <c r="M251" i="4"/>
  <c r="AL251" i="4"/>
  <c r="AV290" i="4"/>
  <c r="AX287" i="4"/>
  <c r="BC389" i="4"/>
  <c r="AV389" i="4"/>
  <c r="AW216" i="4"/>
  <c r="BH216" i="4"/>
  <c r="AX168" i="4"/>
  <c r="BC233" i="4"/>
  <c r="AV233" i="4"/>
  <c r="AW183" i="4"/>
  <c r="AV140" i="4"/>
  <c r="M102" i="4"/>
  <c r="AL102" i="4"/>
  <c r="BH44" i="4"/>
  <c r="AD44" i="4" s="1"/>
  <c r="AW44" i="4"/>
  <c r="J55" i="4"/>
  <c r="J54" i="4" s="1"/>
  <c r="BH55" i="4"/>
  <c r="AB55" i="4" s="1"/>
  <c r="AW55" i="4"/>
  <c r="M138" i="4"/>
  <c r="AL138" i="4"/>
  <c r="K99" i="4"/>
  <c r="BI99" i="4"/>
  <c r="AE99" i="4" s="1"/>
  <c r="AX125" i="4"/>
  <c r="K125" i="4"/>
  <c r="BI125" i="4"/>
  <c r="AE125" i="4" s="1"/>
  <c r="AW119" i="4"/>
  <c r="AX36" i="4"/>
  <c r="M94" i="4"/>
  <c r="M67" i="4"/>
  <c r="AL67" i="4"/>
  <c r="AU48" i="4"/>
  <c r="AX56" i="4"/>
  <c r="J554" i="4"/>
  <c r="BC582" i="4"/>
  <c r="M617" i="4"/>
  <c r="AL617" i="4"/>
  <c r="AU615" i="4" s="1"/>
  <c r="L615" i="4"/>
  <c r="J634" i="4"/>
  <c r="K643" i="4"/>
  <c r="BI643" i="4"/>
  <c r="AE643" i="4" s="1"/>
  <c r="AX643" i="4"/>
  <c r="M503" i="4"/>
  <c r="AL503" i="4"/>
  <c r="J530" i="4"/>
  <c r="J528" i="4" s="1"/>
  <c r="M550" i="4"/>
  <c r="AL550" i="4"/>
  <c r="K625" i="4"/>
  <c r="BI625" i="4"/>
  <c r="AE625" i="4" s="1"/>
  <c r="AX625" i="4"/>
  <c r="AL575" i="4"/>
  <c r="M575" i="4"/>
  <c r="M555" i="4"/>
  <c r="AL555" i="4"/>
  <c r="L605" i="4"/>
  <c r="AX619" i="4"/>
  <c r="BC619" i="4" s="1"/>
  <c r="M578" i="4"/>
  <c r="AL578" i="4"/>
  <c r="AU571" i="4" s="1"/>
  <c r="BI598" i="4"/>
  <c r="AE598" i="4" s="1"/>
  <c r="AX598" i="4"/>
  <c r="K598" i="4"/>
  <c r="BH566" i="4"/>
  <c r="AD566" i="4" s="1"/>
  <c r="AL574" i="4"/>
  <c r="M574" i="4"/>
  <c r="M557" i="4"/>
  <c r="AL557" i="4"/>
  <c r="O583" i="4"/>
  <c r="BF584" i="4"/>
  <c r="AV599" i="4"/>
  <c r="AL490" i="4"/>
  <c r="M490" i="4"/>
  <c r="M477" i="4"/>
  <c r="M475" i="4" s="1"/>
  <c r="AL477" i="4"/>
  <c r="AL465" i="4"/>
  <c r="M465" i="4"/>
  <c r="J470" i="4"/>
  <c r="BH470" i="4"/>
  <c r="AD470" i="4" s="1"/>
  <c r="BI467" i="4"/>
  <c r="AE467" i="4" s="1"/>
  <c r="AW442" i="4"/>
  <c r="M418" i="4"/>
  <c r="M645" i="4"/>
  <c r="AL645" i="4"/>
  <c r="M562" i="4"/>
  <c r="AL562" i="4"/>
  <c r="K602" i="4"/>
  <c r="M563" i="4"/>
  <c r="AL563" i="4"/>
  <c r="J563" i="4"/>
  <c r="J644" i="4"/>
  <c r="BC639" i="4"/>
  <c r="AV639" i="4"/>
  <c r="AW587" i="4"/>
  <c r="J587" i="4"/>
  <c r="BH587" i="4"/>
  <c r="AD587" i="4" s="1"/>
  <c r="J510" i="4"/>
  <c r="BC574" i="4"/>
  <c r="AV574" i="4"/>
  <c r="AV532" i="4"/>
  <c r="BC557" i="4"/>
  <c r="AV557" i="4"/>
  <c r="AX506" i="4"/>
  <c r="M459" i="4"/>
  <c r="AL459" i="4"/>
  <c r="M460" i="4"/>
  <c r="AL460" i="4"/>
  <c r="BC487" i="4"/>
  <c r="AV487" i="4"/>
  <c r="M489" i="4"/>
  <c r="AL489" i="4"/>
  <c r="BI433" i="4"/>
  <c r="BH427" i="4"/>
  <c r="AB427" i="4" s="1"/>
  <c r="AW427" i="4"/>
  <c r="AV385" i="4"/>
  <c r="BC385" i="4"/>
  <c r="M395" i="4"/>
  <c r="AL395" i="4"/>
  <c r="AV447" i="4"/>
  <c r="K357" i="4"/>
  <c r="K352" i="4" s="1"/>
  <c r="M359" i="4"/>
  <c r="AL359" i="4"/>
  <c r="AL361" i="4"/>
  <c r="M361" i="4"/>
  <c r="BH301" i="4"/>
  <c r="AD301" i="4" s="1"/>
  <c r="AW306" i="4"/>
  <c r="J306" i="4"/>
  <c r="BH306" i="4"/>
  <c r="AD306" i="4" s="1"/>
  <c r="J288" i="4"/>
  <c r="AV292" i="4"/>
  <c r="L291" i="4"/>
  <c r="M292" i="4"/>
  <c r="AL292" i="4"/>
  <c r="K322" i="4"/>
  <c r="K317" i="4" s="1"/>
  <c r="BC338" i="4"/>
  <c r="AV338" i="4"/>
  <c r="AV328" i="4"/>
  <c r="BC328" i="4"/>
  <c r="AL269" i="4"/>
  <c r="M269" i="4"/>
  <c r="J265" i="4"/>
  <c r="BC295" i="4"/>
  <c r="AV295" i="4"/>
  <c r="J260" i="4"/>
  <c r="J259" i="4" s="1"/>
  <c r="AW260" i="4"/>
  <c r="AW324" i="4"/>
  <c r="J324" i="4"/>
  <c r="J317" i="4" s="1"/>
  <c r="M315" i="4"/>
  <c r="AL315" i="4"/>
  <c r="BH204" i="4"/>
  <c r="M168" i="4"/>
  <c r="AL168" i="4"/>
  <c r="M216" i="4"/>
  <c r="AL216" i="4"/>
  <c r="O259" i="4"/>
  <c r="L247" i="4"/>
  <c r="M248" i="4"/>
  <c r="AL248" i="4"/>
  <c r="M170" i="4"/>
  <c r="AL170" i="4"/>
  <c r="M232" i="4"/>
  <c r="AL232" i="4"/>
  <c r="M197" i="4"/>
  <c r="AL197" i="4"/>
  <c r="AU194" i="4" s="1"/>
  <c r="L194" i="4"/>
  <c r="AX240" i="4"/>
  <c r="BC240" i="4" s="1"/>
  <c r="BH244" i="4"/>
  <c r="AD244" i="4" s="1"/>
  <c r="AW244" i="4"/>
  <c r="J244" i="4"/>
  <c r="J80" i="4"/>
  <c r="AV102" i="4"/>
  <c r="BC102" i="4"/>
  <c r="J44" i="4"/>
  <c r="J43" i="4" s="1"/>
  <c r="M122" i="4"/>
  <c r="AL122" i="4"/>
  <c r="M46" i="4"/>
  <c r="AL46" i="4"/>
  <c r="BI85" i="4"/>
  <c r="AE85" i="4" s="1"/>
  <c r="M57" i="4"/>
  <c r="AL57" i="4"/>
  <c r="M88" i="4"/>
  <c r="AL88" i="4"/>
  <c r="M58" i="4"/>
  <c r="AL58" i="4"/>
  <c r="M212" i="4"/>
  <c r="AL212" i="4"/>
  <c r="AX85" i="4"/>
  <c r="AV85" i="4" s="1"/>
  <c r="AW89" i="4"/>
  <c r="BI114" i="4"/>
  <c r="AE114" i="4" s="1"/>
  <c r="AW36" i="4"/>
  <c r="J36" i="4"/>
  <c r="O146" i="4"/>
  <c r="L54" i="4"/>
  <c r="AV652" i="4" l="1"/>
  <c r="AV316" i="4"/>
  <c r="BC145" i="4"/>
  <c r="BC325" i="4"/>
  <c r="AV218" i="4"/>
  <c r="AV401" i="4"/>
  <c r="BC470" i="4"/>
  <c r="BC339" i="4"/>
  <c r="BC341" i="4"/>
  <c r="AV461" i="4"/>
  <c r="BC423" i="4"/>
  <c r="AV326" i="4"/>
  <c r="AV569" i="4"/>
  <c r="BC560" i="4"/>
  <c r="BC86" i="4"/>
  <c r="AV369" i="4"/>
  <c r="AV512" i="4"/>
  <c r="AV618" i="4"/>
  <c r="BC460" i="4"/>
  <c r="J309" i="4"/>
  <c r="AV588" i="4"/>
  <c r="K14" i="4"/>
  <c r="BC22" i="4"/>
  <c r="AV143" i="4"/>
  <c r="BC409" i="4"/>
  <c r="BC454" i="4"/>
  <c r="BC485" i="4"/>
  <c r="BC474" i="4"/>
  <c r="AV490" i="4"/>
  <c r="BC538" i="4"/>
  <c r="AV65" i="4"/>
  <c r="AV76" i="4"/>
  <c r="AV109" i="4"/>
  <c r="BC576" i="4"/>
  <c r="BC612" i="4"/>
  <c r="O351" i="4"/>
  <c r="AV566" i="4"/>
  <c r="BC47" i="4"/>
  <c r="BC209" i="4"/>
  <c r="AV614" i="4"/>
  <c r="AV368" i="4"/>
  <c r="AV423" i="4"/>
  <c r="BC268" i="4"/>
  <c r="AV407" i="4"/>
  <c r="AV468" i="4"/>
  <c r="AV249" i="4"/>
  <c r="BC450" i="4"/>
  <c r="K187" i="4"/>
  <c r="K132" i="4" s="1"/>
  <c r="AV264" i="4"/>
  <c r="BC35" i="4"/>
  <c r="AV400" i="4"/>
  <c r="BC288" i="4"/>
  <c r="BC109" i="4"/>
  <c r="BC38" i="4"/>
  <c r="BC141" i="4"/>
  <c r="AV404" i="4"/>
  <c r="J382" i="4"/>
  <c r="AV359" i="4"/>
  <c r="AV117" i="4"/>
  <c r="BC248" i="4"/>
  <c r="BC432" i="4"/>
  <c r="BC157" i="4"/>
  <c r="AV637" i="4"/>
  <c r="BC188" i="4"/>
  <c r="AV269" i="4"/>
  <c r="AV288" i="4"/>
  <c r="AV451" i="4"/>
  <c r="BC24" i="4"/>
  <c r="AV232" i="4"/>
  <c r="BC383" i="4"/>
  <c r="AV580" i="4"/>
  <c r="BC215" i="4"/>
  <c r="AV314" i="4"/>
  <c r="AV515" i="4"/>
  <c r="AV281" i="4"/>
  <c r="BC280" i="4"/>
  <c r="BC174" i="4"/>
  <c r="AV431" i="4"/>
  <c r="O28" i="4"/>
  <c r="BC234" i="4"/>
  <c r="AV412" i="4"/>
  <c r="AV323" i="4"/>
  <c r="AV122" i="4"/>
  <c r="BC299" i="4"/>
  <c r="AV157" i="4"/>
  <c r="AV50" i="4"/>
  <c r="BC305" i="4"/>
  <c r="AV305" i="4"/>
  <c r="M650" i="4"/>
  <c r="AV647" i="4"/>
  <c r="AU632" i="4"/>
  <c r="M632" i="4"/>
  <c r="K615" i="4"/>
  <c r="M615" i="4"/>
  <c r="BC616" i="4"/>
  <c r="AV616" i="4"/>
  <c r="M605" i="4"/>
  <c r="K583" i="4"/>
  <c r="AV593" i="4"/>
  <c r="J583" i="4"/>
  <c r="BC580" i="4"/>
  <c r="M571" i="4"/>
  <c r="BC577" i="4"/>
  <c r="AV577" i="4"/>
  <c r="K548" i="4"/>
  <c r="J548" i="4"/>
  <c r="BC534" i="4"/>
  <c r="AV534" i="4"/>
  <c r="K510" i="4"/>
  <c r="AV522" i="4"/>
  <c r="M510" i="4"/>
  <c r="J498" i="4"/>
  <c r="M498" i="4"/>
  <c r="BC492" i="4"/>
  <c r="AV492" i="4"/>
  <c r="AU475" i="4"/>
  <c r="AV485" i="4"/>
  <c r="K463" i="4"/>
  <c r="BC464" i="4"/>
  <c r="AV464" i="4"/>
  <c r="AV459" i="4"/>
  <c r="BC459" i="4"/>
  <c r="K437" i="4"/>
  <c r="M437" i="4"/>
  <c r="J437" i="4"/>
  <c r="M425" i="4"/>
  <c r="K402" i="4"/>
  <c r="AV393" i="4"/>
  <c r="AU390" i="4"/>
  <c r="AV383" i="4"/>
  <c r="AU382" i="4"/>
  <c r="K382" i="4"/>
  <c r="BC373" i="4"/>
  <c r="AV373" i="4"/>
  <c r="AU364" i="4"/>
  <c r="M364" i="4"/>
  <c r="J352" i="4"/>
  <c r="AV335" i="4"/>
  <c r="K329" i="4"/>
  <c r="BC333" i="4"/>
  <c r="AV333" i="4"/>
  <c r="AV339" i="4"/>
  <c r="M317" i="4"/>
  <c r="AU309" i="4"/>
  <c r="M309" i="4"/>
  <c r="BC310" i="4"/>
  <c r="AV310" i="4"/>
  <c r="BC308" i="4"/>
  <c r="AV308" i="4"/>
  <c r="M291" i="4"/>
  <c r="AV299" i="4"/>
  <c r="AV303" i="4"/>
  <c r="BC303" i="4"/>
  <c r="AV296" i="4"/>
  <c r="BC296" i="4"/>
  <c r="J279" i="4"/>
  <c r="AV286" i="4"/>
  <c r="BC286" i="4"/>
  <c r="AV271" i="4"/>
  <c r="BC271" i="4"/>
  <c r="K247" i="4"/>
  <c r="J247" i="4"/>
  <c r="AV238" i="4"/>
  <c r="J219" i="4"/>
  <c r="J194" i="4"/>
  <c r="M194" i="4"/>
  <c r="BC192" i="4"/>
  <c r="M187" i="4"/>
  <c r="BC176" i="4"/>
  <c r="AV176" i="4"/>
  <c r="M159" i="4"/>
  <c r="BC162" i="4"/>
  <c r="AU146" i="4"/>
  <c r="J146" i="4"/>
  <c r="M105" i="4"/>
  <c r="J105" i="4"/>
  <c r="J53" i="4" s="1"/>
  <c r="BC122" i="4"/>
  <c r="BC118" i="4"/>
  <c r="AV118" i="4"/>
  <c r="K105" i="4"/>
  <c r="K97" i="4"/>
  <c r="M97" i="4"/>
  <c r="BC100" i="4"/>
  <c r="AV100" i="4"/>
  <c r="AV96" i="4"/>
  <c r="BC96" i="4"/>
  <c r="J63" i="4"/>
  <c r="AV83" i="4"/>
  <c r="L53" i="4"/>
  <c r="M54" i="4"/>
  <c r="AU54" i="4"/>
  <c r="BC52" i="4"/>
  <c r="K28" i="4"/>
  <c r="M43" i="4"/>
  <c r="AU43" i="4"/>
  <c r="BC42" i="4"/>
  <c r="BC25" i="4"/>
  <c r="AU33" i="4"/>
  <c r="AV42" i="4"/>
  <c r="BC27" i="4"/>
  <c r="AV27" i="4"/>
  <c r="I45" i="3"/>
  <c r="K278" i="4"/>
  <c r="J13" i="4"/>
  <c r="BC89" i="4"/>
  <c r="AV89" i="4"/>
  <c r="BC44" i="4"/>
  <c r="AV44" i="4"/>
  <c r="BC243" i="4"/>
  <c r="AV243" i="4"/>
  <c r="AU498" i="4"/>
  <c r="AU219" i="4"/>
  <c r="BC496" i="4"/>
  <c r="AV496" i="4"/>
  <c r="J207" i="4"/>
  <c r="BC625" i="4"/>
  <c r="AV625" i="4"/>
  <c r="M279" i="4"/>
  <c r="M402" i="4"/>
  <c r="BC400" i="4"/>
  <c r="BC85" i="4"/>
  <c r="BC265" i="4"/>
  <c r="AV265" i="4"/>
  <c r="AV56" i="4"/>
  <c r="BC56" i="4"/>
  <c r="BC484" i="4"/>
  <c r="AV484" i="4"/>
  <c r="J12" i="4"/>
  <c r="AV19" i="4"/>
  <c r="BC19" i="4"/>
  <c r="BC251" i="4"/>
  <c r="AV251" i="4"/>
  <c r="M219" i="4"/>
  <c r="BC32" i="4"/>
  <c r="AV32" i="4"/>
  <c r="AV58" i="4"/>
  <c r="O132" i="4"/>
  <c r="AV90" i="4"/>
  <c r="BC90" i="4"/>
  <c r="BC530" i="4"/>
  <c r="AV530" i="4"/>
  <c r="AV541" i="4"/>
  <c r="BC541" i="4"/>
  <c r="BC467" i="4"/>
  <c r="BC306" i="4"/>
  <c r="AV306" i="4"/>
  <c r="AV502" i="4"/>
  <c r="BC502" i="4"/>
  <c r="BC644" i="4"/>
  <c r="AV644" i="4"/>
  <c r="AV99" i="4"/>
  <c r="BC99" i="4"/>
  <c r="L497" i="4"/>
  <c r="BC360" i="4"/>
  <c r="AV360" i="4"/>
  <c r="O278" i="4"/>
  <c r="M146" i="4"/>
  <c r="BC561" i="4"/>
  <c r="AV561" i="4"/>
  <c r="J33" i="4"/>
  <c r="J28" i="4" s="1"/>
  <c r="AV325" i="4"/>
  <c r="BC284" i="4"/>
  <c r="AV284" i="4"/>
  <c r="BC294" i="4"/>
  <c r="AV294" i="4"/>
  <c r="BC465" i="4"/>
  <c r="AV465" i="4"/>
  <c r="AV434" i="4"/>
  <c r="BC434" i="4"/>
  <c r="AU159" i="4"/>
  <c r="BC394" i="4"/>
  <c r="AV394" i="4"/>
  <c r="AV586" i="4"/>
  <c r="BC62" i="4"/>
  <c r="AV62" i="4"/>
  <c r="AV208" i="4"/>
  <c r="BC208" i="4"/>
  <c r="BC244" i="4"/>
  <c r="AV244" i="4"/>
  <c r="BC587" i="4"/>
  <c r="AV587" i="4"/>
  <c r="AV119" i="4"/>
  <c r="BC119" i="4"/>
  <c r="BC358" i="4"/>
  <c r="AV358" i="4"/>
  <c r="AV517" i="4"/>
  <c r="BC517" i="4"/>
  <c r="L424" i="4"/>
  <c r="K605" i="4"/>
  <c r="BC598" i="4"/>
  <c r="AV598" i="4"/>
  <c r="AU528" i="4"/>
  <c r="J364" i="4"/>
  <c r="BC168" i="4"/>
  <c r="AV168" i="4"/>
  <c r="AV229" i="4"/>
  <c r="AV392" i="4"/>
  <c r="M202" i="4"/>
  <c r="M201" i="4" s="1"/>
  <c r="BC84" i="4"/>
  <c r="AV84" i="4"/>
  <c r="K13" i="4"/>
  <c r="K12" i="4"/>
  <c r="BC178" i="4"/>
  <c r="AV178" i="4"/>
  <c r="AU463" i="4"/>
  <c r="K632" i="4"/>
  <c r="L206" i="4"/>
  <c r="AV256" i="4"/>
  <c r="AV436" i="4"/>
  <c r="AU510" i="4"/>
  <c r="BC37" i="4"/>
  <c r="AV37" i="4"/>
  <c r="BC18" i="4"/>
  <c r="AV18" i="4"/>
  <c r="AV375" i="4"/>
  <c r="BC375" i="4"/>
  <c r="BC34" i="4"/>
  <c r="AV34" i="4"/>
  <c r="M528" i="4"/>
  <c r="BC608" i="4"/>
  <c r="AV608" i="4"/>
  <c r="AV287" i="4"/>
  <c r="BC287" i="4"/>
  <c r="AV365" i="4"/>
  <c r="BC365" i="4"/>
  <c r="AV47" i="4"/>
  <c r="AV283" i="4"/>
  <c r="AU202" i="4"/>
  <c r="BC493" i="4"/>
  <c r="BC183" i="4"/>
  <c r="AV183" i="4"/>
  <c r="M390" i="4"/>
  <c r="M463" i="4"/>
  <c r="BC511" i="4"/>
  <c r="AV511" i="4"/>
  <c r="AV535" i="4"/>
  <c r="BC535" i="4"/>
  <c r="AU63" i="4"/>
  <c r="BC153" i="4"/>
  <c r="AV153" i="4"/>
  <c r="L132" i="4"/>
  <c r="BC327" i="4"/>
  <c r="AV327" i="4"/>
  <c r="BC472" i="4"/>
  <c r="AV472" i="4"/>
  <c r="BC555" i="4"/>
  <c r="AV555" i="4"/>
  <c r="AV69" i="4"/>
  <c r="BC69" i="4"/>
  <c r="AU207" i="4"/>
  <c r="BC542" i="4"/>
  <c r="AV542" i="4"/>
  <c r="AU650" i="4"/>
  <c r="BC311" i="4"/>
  <c r="AV311" i="4"/>
  <c r="BC448" i="4"/>
  <c r="AV448" i="4"/>
  <c r="BC293" i="4"/>
  <c r="AV293" i="4"/>
  <c r="BC520" i="4"/>
  <c r="AV520" i="4"/>
  <c r="M63" i="4"/>
  <c r="AU133" i="4"/>
  <c r="M207" i="4"/>
  <c r="BC452" i="4"/>
  <c r="AV452" i="4"/>
  <c r="BC623" i="4"/>
  <c r="AV623" i="4"/>
  <c r="BC79" i="4"/>
  <c r="AV79" i="4"/>
  <c r="AV540" i="4"/>
  <c r="BC540" i="4"/>
  <c r="BC410" i="4"/>
  <c r="AV410" i="4"/>
  <c r="AV298" i="4"/>
  <c r="BC298" i="4"/>
  <c r="BC442" i="4"/>
  <c r="AV442" i="4"/>
  <c r="BC353" i="4"/>
  <c r="AV353" i="4"/>
  <c r="K364" i="4"/>
  <c r="BC57" i="4"/>
  <c r="AV57" i="4"/>
  <c r="M133" i="4"/>
  <c r="K571" i="4"/>
  <c r="AU142" i="4"/>
  <c r="AV355" i="4"/>
  <c r="BC355" i="4"/>
  <c r="BC95" i="4"/>
  <c r="AV95" i="4"/>
  <c r="L28" i="4"/>
  <c r="AV504" i="4"/>
  <c r="BC270" i="4"/>
  <c r="AV270" i="4"/>
  <c r="O497" i="4"/>
  <c r="BC361" i="4"/>
  <c r="AV361" i="4"/>
  <c r="BC67" i="4"/>
  <c r="AV67" i="4"/>
  <c r="AV619" i="4"/>
  <c r="BC332" i="4"/>
  <c r="AV332" i="4"/>
  <c r="O53" i="4"/>
  <c r="BC337" i="4"/>
  <c r="AV337" i="4"/>
  <c r="J632" i="4"/>
  <c r="M142" i="4"/>
  <c r="K207" i="4"/>
  <c r="BC343" i="4"/>
  <c r="AV343" i="4"/>
  <c r="BC509" i="4"/>
  <c r="AV509" i="4"/>
  <c r="AV367" i="4"/>
  <c r="K219" i="4"/>
  <c r="L653" i="4"/>
  <c r="L13" i="4"/>
  <c r="L12" i="4"/>
  <c r="AV103" i="4"/>
  <c r="AU352" i="4"/>
  <c r="BC506" i="4"/>
  <c r="AV506" i="4"/>
  <c r="AU105" i="4"/>
  <c r="BC521" i="4"/>
  <c r="AV521" i="4"/>
  <c r="BC633" i="4"/>
  <c r="AV633" i="4"/>
  <c r="AV141" i="4"/>
  <c r="AU548" i="4"/>
  <c r="O206" i="4"/>
  <c r="BC357" i="4"/>
  <c r="AV357" i="4"/>
  <c r="BC553" i="4"/>
  <c r="AV553" i="4"/>
  <c r="BC182" i="4"/>
  <c r="AV182" i="4"/>
  <c r="AU14" i="4"/>
  <c r="AU345" i="4"/>
  <c r="M33" i="4"/>
  <c r="BC387" i="4"/>
  <c r="AV387" i="4"/>
  <c r="BC379" i="4"/>
  <c r="AV379" i="4"/>
  <c r="AV216" i="4"/>
  <c r="BC216" i="4"/>
  <c r="M352" i="4"/>
  <c r="BC214" i="4"/>
  <c r="AV214" i="4"/>
  <c r="BC125" i="4"/>
  <c r="AV125" i="4"/>
  <c r="BC210" i="4"/>
  <c r="AV210" i="4"/>
  <c r="M548" i="4"/>
  <c r="AV195" i="4"/>
  <c r="BC195" i="4"/>
  <c r="AV340" i="4"/>
  <c r="BC340" i="4"/>
  <c r="BC445" i="4"/>
  <c r="AV445" i="4"/>
  <c r="AV371" i="4"/>
  <c r="M14" i="4"/>
  <c r="M345" i="4"/>
  <c r="BC324" i="4"/>
  <c r="AV324" i="4"/>
  <c r="AV356" i="4"/>
  <c r="BC356" i="4"/>
  <c r="L351" i="4"/>
  <c r="BC319" i="4"/>
  <c r="AV319" i="4"/>
  <c r="L570" i="4"/>
  <c r="M583" i="4"/>
  <c r="BC643" i="4"/>
  <c r="AV643" i="4"/>
  <c r="AU536" i="4"/>
  <c r="AU97" i="4"/>
  <c r="BC49" i="4"/>
  <c r="AV49" i="4"/>
  <c r="AV646" i="4"/>
  <c r="BC312" i="4"/>
  <c r="AV312" i="4"/>
  <c r="AU329" i="4"/>
  <c r="AV70" i="4"/>
  <c r="BC70" i="4"/>
  <c r="AV397" i="4"/>
  <c r="BC397" i="4"/>
  <c r="BC642" i="4"/>
  <c r="AV642" i="4"/>
  <c r="AV562" i="4"/>
  <c r="BC562" i="4"/>
  <c r="AU239" i="4"/>
  <c r="AU259" i="4"/>
  <c r="AV248" i="4"/>
  <c r="AV350" i="4"/>
  <c r="BC384" i="4"/>
  <c r="AV384" i="4"/>
  <c r="BC260" i="4"/>
  <c r="AV260" i="4"/>
  <c r="AV55" i="4"/>
  <c r="BC55" i="4"/>
  <c r="BC301" i="4"/>
  <c r="AV301" i="4"/>
  <c r="M536" i="4"/>
  <c r="BC634" i="4"/>
  <c r="AV634" i="4"/>
  <c r="BC507" i="4"/>
  <c r="AV507" i="4"/>
  <c r="BC476" i="4"/>
  <c r="AV476" i="4"/>
  <c r="O13" i="4"/>
  <c r="O12" i="4"/>
  <c r="BC231" i="4"/>
  <c r="AV231" i="4"/>
  <c r="M329" i="4"/>
  <c r="AV554" i="4"/>
  <c r="BC554" i="4"/>
  <c r="AV147" i="4"/>
  <c r="BC147" i="4"/>
  <c r="M239" i="4"/>
  <c r="M259" i="4"/>
  <c r="AV597" i="4"/>
  <c r="BC607" i="4"/>
  <c r="AV607" i="4"/>
  <c r="AV240" i="4"/>
  <c r="BC458" i="4"/>
  <c r="AV458" i="4"/>
  <c r="O570" i="4"/>
  <c r="AV572" i="4"/>
  <c r="BC572" i="4"/>
  <c r="AU583" i="4"/>
  <c r="O424" i="4"/>
  <c r="AV255" i="4"/>
  <c r="BC212" i="4"/>
  <c r="AV212" i="4"/>
  <c r="AU279" i="4"/>
  <c r="AV149" i="4"/>
  <c r="BC149" i="4"/>
  <c r="BC39" i="4"/>
  <c r="AV39" i="4"/>
  <c r="AV416" i="4"/>
  <c r="AV82" i="4"/>
  <c r="BC82" i="4"/>
  <c r="AU455" i="4"/>
  <c r="AV456" i="4"/>
  <c r="BC433" i="4"/>
  <c r="AV433" i="4"/>
  <c r="BC525" i="4"/>
  <c r="AV525" i="4"/>
  <c r="AU291" i="4"/>
  <c r="BC36" i="4"/>
  <c r="AV36" i="4"/>
  <c r="AU247" i="4"/>
  <c r="M247" i="4"/>
  <c r="AV427" i="4"/>
  <c r="BC427" i="4"/>
  <c r="K498" i="4"/>
  <c r="J463" i="4"/>
  <c r="BC64" i="4"/>
  <c r="AV64" i="4"/>
  <c r="AV500" i="4"/>
  <c r="BC500" i="4"/>
  <c r="BC626" i="4"/>
  <c r="AV626" i="4"/>
  <c r="AU317" i="4"/>
  <c r="AU425" i="4"/>
  <c r="L278" i="4"/>
  <c r="AU402" i="4"/>
  <c r="AV246" i="4"/>
  <c r="BC246" i="4"/>
  <c r="J291" i="4"/>
  <c r="M455" i="4"/>
  <c r="J278" i="4" l="1"/>
  <c r="K53" i="4"/>
  <c r="J351" i="4"/>
  <c r="J132" i="4"/>
  <c r="J206" i="4"/>
  <c r="J424" i="4"/>
  <c r="M28" i="4"/>
  <c r="M53" i="4"/>
  <c r="J497" i="4"/>
  <c r="J570" i="4"/>
  <c r="K570" i="4"/>
  <c r="M570" i="4"/>
  <c r="M497" i="4"/>
  <c r="K497" i="4"/>
  <c r="K424" i="4"/>
  <c r="M424" i="4"/>
  <c r="K351" i="4"/>
  <c r="M278" i="4"/>
  <c r="M206" i="4"/>
  <c r="M653" i="4"/>
  <c r="M13" i="4"/>
  <c r="M12" i="4"/>
  <c r="K206" i="4"/>
  <c r="M132" i="4"/>
  <c r="B16" i="5"/>
  <c r="M351" i="4"/>
  <c r="C16" i="5" l="1"/>
</calcChain>
</file>

<file path=xl/sharedStrings.xml><?xml version="1.0" encoding="utf-8"?>
<sst xmlns="http://schemas.openxmlformats.org/spreadsheetml/2006/main" count="14135" uniqueCount="1391">
  <si>
    <t>Stavební rozpočet</t>
  </si>
  <si>
    <t>Název stavby:</t>
  </si>
  <si>
    <t>Doba výstavby:</t>
  </si>
  <si>
    <t>Objednatel:</t>
  </si>
  <si>
    <t>Druh stavby:</t>
  </si>
  <si>
    <t>Začátek výstavby:</t>
  </si>
  <si>
    <t>Projektant:</t>
  </si>
  <si>
    <t>Lokalita:</t>
  </si>
  <si>
    <t>Konec výstavby:</t>
  </si>
  <si>
    <t>Zhotovitel:</t>
  </si>
  <si>
    <t>JKSO:</t>
  </si>
  <si>
    <t>Zpracováno dne:</t>
  </si>
  <si>
    <t>Zpracoval:</t>
  </si>
  <si>
    <t>Č</t>
  </si>
  <si>
    <t>Kód</t>
  </si>
  <si>
    <t>Zkrácený popis</t>
  </si>
  <si>
    <t>MJ</t>
  </si>
  <si>
    <t>Množství</t>
  </si>
  <si>
    <t>GROUPCODE</t>
  </si>
  <si>
    <t>ISWORK</t>
  </si>
  <si>
    <t xml:space="preserve"> </t>
  </si>
  <si>
    <t/>
  </si>
  <si>
    <t>Všeobecné práce</t>
  </si>
  <si>
    <t>VORN</t>
  </si>
  <si>
    <t>Vedlejší a ostatní rozpočtové náklady</t>
  </si>
  <si>
    <t>01VRN</t>
  </si>
  <si>
    <t>Průzkumy, geodetické a projektové práce</t>
  </si>
  <si>
    <t>013002VRN</t>
  </si>
  <si>
    <t>Projektové práce - dokumentace skutečného provedení</t>
  </si>
  <si>
    <t>Soubor</t>
  </si>
  <si>
    <t>012002VRN</t>
  </si>
  <si>
    <t>Geodetické práce - vytyčení trasy teplovodu + zaměření skutečné trasy teplovodu</t>
  </si>
  <si>
    <t>02VRN</t>
  </si>
  <si>
    <t>Příprava staveniště</t>
  </si>
  <si>
    <t>020001VRN</t>
  </si>
  <si>
    <t>021002VRN</t>
  </si>
  <si>
    <t>Zabezpečovací práce - proti vniknutí, či zranění nepovolaných osob na staveništi</t>
  </si>
  <si>
    <t>023002VRN</t>
  </si>
  <si>
    <t>Vyklizení a úprava plochy (jednotlivých pavilonů, výměníkové stanice, plochy pro areálový teplovod)</t>
  </si>
  <si>
    <t>03VRN</t>
  </si>
  <si>
    <t>Zařízení staveniště</t>
  </si>
  <si>
    <t>039002VRN</t>
  </si>
  <si>
    <t>Odstranění případného zařízení staveniště, uvedení všech prostorů do původního stavu, úklid</t>
  </si>
  <si>
    <t>04VRN</t>
  </si>
  <si>
    <t>Inženýrské činnosti</t>
  </si>
  <si>
    <t>043002VRN</t>
  </si>
  <si>
    <t>Zkoušky - tlakové, provozní, topné, proplach, kontrola svarů,...</t>
  </si>
  <si>
    <t>044002VRN</t>
  </si>
  <si>
    <t>Revize - komplet</t>
  </si>
  <si>
    <t>09VRN</t>
  </si>
  <si>
    <t>Ostatní náklady</t>
  </si>
  <si>
    <t>092002VRN</t>
  </si>
  <si>
    <t>Zaškolení obsluhy (min. 8 hodin)</t>
  </si>
  <si>
    <t>Výměníková stanice - demontáže</t>
  </si>
  <si>
    <t>0</t>
  </si>
  <si>
    <t>Všeobecné konstrukce a práce</t>
  </si>
  <si>
    <t>000002VD</t>
  </si>
  <si>
    <t>Ochrana již dokončených povrchů při demontáži (karton, obaly, papír, igelit...)</t>
  </si>
  <si>
    <t>soubor</t>
  </si>
  <si>
    <t>713</t>
  </si>
  <si>
    <t>Izolace tepelné</t>
  </si>
  <si>
    <t>713400821R00</t>
  </si>
  <si>
    <t>Odstranění izolace z potrubí</t>
  </si>
  <si>
    <t>m</t>
  </si>
  <si>
    <t>732</t>
  </si>
  <si>
    <t>Strojovny</t>
  </si>
  <si>
    <t>722190901R00</t>
  </si>
  <si>
    <t>Uzavření/otevření soustavy při opravě</t>
  </si>
  <si>
    <t>kus</t>
  </si>
  <si>
    <t>732227811R00</t>
  </si>
  <si>
    <t>Vypuštění vody z výměníku</t>
  </si>
  <si>
    <t>722212440R00</t>
  </si>
  <si>
    <t>Štítky orientační na zeď</t>
  </si>
  <si>
    <t>724311811R00</t>
  </si>
  <si>
    <t>Demontáž nádrže expanzní</t>
  </si>
  <si>
    <t>732214815R00</t>
  </si>
  <si>
    <t>Vypuštění vody z ohříváků o obsahu do 1600 l</t>
  </si>
  <si>
    <t>732212815R00</t>
  </si>
  <si>
    <t>Demontáž ohříváků zásobníkových stojat.do 1600 l</t>
  </si>
  <si>
    <t>732292810R00</t>
  </si>
  <si>
    <t>Rozřezání podpěrných konstrukcí ohříváků TUV</t>
  </si>
  <si>
    <t>732213814R00</t>
  </si>
  <si>
    <t>Rozřezání demontovaných ohříváků do 1600 l</t>
  </si>
  <si>
    <t>730099VD</t>
  </si>
  <si>
    <t>Odvoz a likvidace demontovaných materiálů, kontejner 7t (vč. přesunu v rámci stavby)</t>
  </si>
  <si>
    <t>733</t>
  </si>
  <si>
    <t>Rozvod potrubí</t>
  </si>
  <si>
    <t>733193928R00</t>
  </si>
  <si>
    <t>Oprava-zaslepení potrubí dýnkem D 108 mm</t>
  </si>
  <si>
    <t>722130919R00</t>
  </si>
  <si>
    <t>Provedení opravy ocelového potrubí/přeřezání ocelové trubky do DN 100 mm</t>
  </si>
  <si>
    <t>733120832R00</t>
  </si>
  <si>
    <t>Demontáž potrubí z hladkých trubek do D 133</t>
  </si>
  <si>
    <t>733170804R00</t>
  </si>
  <si>
    <t>Demontáž potrubí z plastových trubek do D 50 mm</t>
  </si>
  <si>
    <t>734</t>
  </si>
  <si>
    <t>Armatury</t>
  </si>
  <si>
    <t>734100812R00</t>
  </si>
  <si>
    <t>Demontáž armatur se dvěma přírubami do DN 100</t>
  </si>
  <si>
    <t>734200824R00</t>
  </si>
  <si>
    <t>Demontáž armatur se 2závity do G 2</t>
  </si>
  <si>
    <t>767</t>
  </si>
  <si>
    <t>Konstrukce doplňkové stavební (zámečnické)</t>
  </si>
  <si>
    <t>767996804R00</t>
  </si>
  <si>
    <t>Demontáž atypických ocelových konstr. do 500 kg</t>
  </si>
  <si>
    <t>kg</t>
  </si>
  <si>
    <t>Výměníková stanice - montáž</t>
  </si>
  <si>
    <t>000732001VD</t>
  </si>
  <si>
    <t>Komplexní zaregulování a spuštění systému</t>
  </si>
  <si>
    <t>hodina</t>
  </si>
  <si>
    <t>001001VD</t>
  </si>
  <si>
    <t>Stavební/zednická přípomoc nad rámec obsažený v položkách (zapravení prostupů, povrchů,...)</t>
  </si>
  <si>
    <t>hod</t>
  </si>
  <si>
    <t>732199100RM1</t>
  </si>
  <si>
    <t>Montáž orientačního štítku</t>
  </si>
  <si>
    <t>735191910R00</t>
  </si>
  <si>
    <t>Napuštění vody do otopného systému</t>
  </si>
  <si>
    <t>RTS komentář:</t>
  </si>
  <si>
    <t>Měrnou jednotkou je otopná plocha těles</t>
  </si>
  <si>
    <t>735191905R00</t>
  </si>
  <si>
    <t>Oprava - odvzdušnění soustavy</t>
  </si>
  <si>
    <t>998732193R00</t>
  </si>
  <si>
    <t>Příplatek zvětšený přesun, strojovny do 500 m</t>
  </si>
  <si>
    <t>t</t>
  </si>
  <si>
    <t>998732101R00</t>
  </si>
  <si>
    <t>Přesun hmot pro strojovny, výšky do 6 m</t>
  </si>
  <si>
    <t>722</t>
  </si>
  <si>
    <t>Vnitřní vodovod</t>
  </si>
  <si>
    <t>722221113R00</t>
  </si>
  <si>
    <t>Kohout vypouštěcí kulový, IVAR.EURO M, DN 20 mm</t>
  </si>
  <si>
    <t>722171917R00</t>
  </si>
  <si>
    <t>Odříznutí plastové trubky D 63 mm</t>
  </si>
  <si>
    <t>722170914R00</t>
  </si>
  <si>
    <t>Oprava plastového potrubí, vsazení odbočky D 63 mm</t>
  </si>
  <si>
    <t>722172316R00</t>
  </si>
  <si>
    <t>Potrubí plastové PP-R Instaplast, včetně zednických výpomocí, D 63 x 8,6 mm, PN 16</t>
  </si>
  <si>
    <t>722172313R00</t>
  </si>
  <si>
    <t>Potrubí plastové PP-R Instaplast, včetně zednických výpomocí, D 32 x 4,4 mm, PN 16</t>
  </si>
  <si>
    <t>722172312R00</t>
  </si>
  <si>
    <t>Potrubí plastové PP-R Instaplast, včetně zednických výpomocí, D 25 x 3,5 mm, PN 16</t>
  </si>
  <si>
    <t>722181242RY3</t>
  </si>
  <si>
    <t>Izolace návleková MIRELON STABIL tl. stěny 9 mm, vnitřní průměr 63 mm</t>
  </si>
  <si>
    <t>V položce je kalkulována dodávka izolační trubice, spon a lepicí pásky</t>
  </si>
  <si>
    <t>722181245RU1</t>
  </si>
  <si>
    <t>Izolace návleková MIRELON STABIL tl. stěny 25 mm, vnitřní průměr 32 mm</t>
  </si>
  <si>
    <t>722181242RU1</t>
  </si>
  <si>
    <t>Izolace návleková MIRELON STABIL tl. stěny 9 mm, vnitřní průměr 32 mm</t>
  </si>
  <si>
    <t>722181245RT8</t>
  </si>
  <si>
    <t>Izolace návleková MIRELON STABIL tl. stěny 25 mm, vnitřní průměr 25 mm</t>
  </si>
  <si>
    <t>722235113R00</t>
  </si>
  <si>
    <t>Kohout vodovodní, kulový, vnitřní-vnitřní závit, IVAR PERFECTA, DN 25 mm</t>
  </si>
  <si>
    <t>722235112R00</t>
  </si>
  <si>
    <t>Kohout vodovodní, kulový, vnitřní-vnitřní závit, IVAR PERFECTA, DN 20 mm</t>
  </si>
  <si>
    <t>722264324R00</t>
  </si>
  <si>
    <t>Vodoměr bytový SV Enbra ET DN 20 x 130 mm, Qn 4</t>
  </si>
  <si>
    <t>Položka obsahuje montáž vodoměru včetně nátrubků a šroubení.</t>
  </si>
  <si>
    <t>722235653R00</t>
  </si>
  <si>
    <t>Ventil vodovodní, zpětný, EURA-SPRINT,IVAR.CIM 30 VA, DN 25 mm</t>
  </si>
  <si>
    <t>722235652R00</t>
  </si>
  <si>
    <t>Ventil vodovodní, zpětný, EURA-SPRINT,IVAR.CIM 30 VA, DN 20 mm</t>
  </si>
  <si>
    <t>722235522R00</t>
  </si>
  <si>
    <t>Filtr, vodovodní, vnitřní-vnitřní závit, IVAR FIV.08412, DN 20 mm</t>
  </si>
  <si>
    <t>000VN722002VD</t>
  </si>
  <si>
    <t>Cirkulační čerpadlo Grundfos 25-60N</t>
  </si>
  <si>
    <t>734413142R00</t>
  </si>
  <si>
    <t>Teploměr IVAR jímka</t>
  </si>
  <si>
    <t>722231192R00</t>
  </si>
  <si>
    <t>Ventil vodovodní pojistný pružinový P10-237-616,</t>
  </si>
  <si>
    <t>001722001VD</t>
  </si>
  <si>
    <t>Expanzní ventil FlowJet 3/4"</t>
  </si>
  <si>
    <t>732339102R00</t>
  </si>
  <si>
    <t>Montáž nádoby expanzní</t>
  </si>
  <si>
    <t>48466596</t>
  </si>
  <si>
    <t>Nádoba expanzní membránová Refix 18 litrů</t>
  </si>
  <si>
    <t>Závěsná neprůtočná tlaková expanzní nádoba s vakovou membránou (dle ČSN EN 13831) pro rozvody vody, na které se nevztahuje norma DIN 1988. Např. rozvody požární a užitkové vody, podlahové vytápění nebo instalace tepelných zdrojů.  Nevyměnitelná butylová membrána ve formě vaku (vyměnitelná od 50 l) Závitové připojení, bez uzavírání a vypouštění Provozní teplota do 70 °C Provozní tlak 10 bar (předtlak plynu 4 bar) Epoxidový modrý nátě</t>
  </si>
  <si>
    <t>725</t>
  </si>
  <si>
    <t>Zařizovací předměty</t>
  </si>
  <si>
    <t>725534223R01</t>
  </si>
  <si>
    <t>Ohřívač kombinovaný, zásobníkový, závěsný, DZ Dražice OKC 80, 2,2kW patrona</t>
  </si>
  <si>
    <t>73242001VD</t>
  </si>
  <si>
    <t>Oběhové čerpadlo Grundfos MAGNA3 25-60</t>
  </si>
  <si>
    <t>732421313R00</t>
  </si>
  <si>
    <t>Čerpadlo oběhové Grundfos ALPHA2 25-60</t>
  </si>
  <si>
    <t>722100010RAA</t>
  </si>
  <si>
    <t>Přerušení ocelového potrubí, vsazení odbočky</t>
  </si>
  <si>
    <t>733121216R00</t>
  </si>
  <si>
    <t>Potrubí hladké bezešvé v kotelnách D 44,5 x 2,6 mm</t>
  </si>
  <si>
    <t>733121215R00</t>
  </si>
  <si>
    <t>Potrubí hladké bezešvé v kotelnách D 38 x 2,6 mm</t>
  </si>
  <si>
    <t>001VSVD</t>
  </si>
  <si>
    <t>Montáž tepelné izolace - trubice</t>
  </si>
  <si>
    <t>631547317</t>
  </si>
  <si>
    <t>Pouzdro potrubní izolační ROCKWOOL 800 - 48/50 mm</t>
  </si>
  <si>
    <t>Potrubní pouzdro z kamenné vlny je opatřeno polepem hliníkovou fólií vyztuženou skleněnou mřížkou s označením názvu výrobku na povrchu fólie. Fólie zvyšuje mechanické vlastnosti pouzdra, zmenšuje tepelné ztráty a zlepšuje estetický vzhled. Pouzdro je na podélném spoji opatřeno přesahem fólie se samolepicí páskou pro dokonalé uzavření pouzdra, která nenahrazuje nosné spoje. V souladu se standardem v zemích EU doporučujeme stáhnout potrubní izolační pouzdro v příčném směru (po obvodě) hliníkovou samolepicí ALS páskou nebo drátem na třech místech na běžný metr délky pouzdra. Nízký obsah chloridů zamezuje vzniku koroze nerezové oceli (AS kvalita). Pouzdro má tvar dutého podélně děleného válce.  Nehořlavá izolace pro: – tepelné izolace rozvodů tepla a teplé vody, centrálního vytápění, technologického tepla, teplé užitkové vody, tepelných uzlů – akustické izolace potrubí  Délka: 1000 mm Reakce na oheň: A2L-s1,d0 Nejvyšší provozní teplota 250 °C (100°C)  Značení: 1. číselný údaj - vnitřní průměr v mm 2. číselný údaj - tloušťka tepelné izolace v m</t>
  </si>
  <si>
    <t>734109314R00</t>
  </si>
  <si>
    <t>Montáž přírub.armatur se 2 přírub. (výměna ventilu vč. osazení servopohonu)</t>
  </si>
  <si>
    <t>55138020201</t>
  </si>
  <si>
    <t>Ventil dvoucestný, přírubový, DN50, Kvs=31,5, pohon (např. VVF63.50-31,5)</t>
  </si>
  <si>
    <t xml:space="preserve">1 4218 80  s měřícími ventilky  kvs = 48,5  </t>
  </si>
  <si>
    <t>422112871</t>
  </si>
  <si>
    <t>Ventil regulační, přírubový, 2 cestný, Kvs 1,6 (např. VVF53.15-1,6)</t>
  </si>
  <si>
    <t xml:space="preserve">litý z uhlíkové oceli ovládaný táhlovým servomotorem, pro teploty do 400 stupňů C servopohon : PNT 6 s vysílačem  Ventil uzavírací s elektrickým servomotorem V30113540  PN 40  POUŽITÍ V základním provedení jako uzavírací orgán pro vodu a vodní páru, na zvláštní požadavek i pro jiné neagresivní kapaliny a plyny, pro pracovní tlaky a teploty:  TECHNICKÝ POPIS Ventil je víkový. V tělese je navařeno sedlo, na které dosedá uzavírací kuželka. Kuželka je otočně spojená s vřetenem. Vřeteno je ve třmenu utěsněno ucpávkou. Směr proudění pracovní látky je pro DN 15 ÷ 100 pod kuželku. Pro jmenovité světlosti DN 125 ÷ 150 je směr proudění nad kuželku s vnitřním obtokem, který slouží k vytvoření potřebného tlakového spádu.  MATERIÁL Těleso a třmen uhlíková ocel na odlitky  Ucp. víko do DN 100 vč. temperovaná litina  Ucp. víko od DN 125 uhlíková ocel na odlitky  Kuželka do DN 100 vč. korozivzdorná ocel  Kuželka od DN 125 uhlíková ocel s návarem těsnící plochy nerezovou elektrodou  Vřeteno korozivzdorná ocel  Sedlo korozivzdorná ocel (návar)  Těsnění vřetene volí se dle druhu pracovní látky  ZKOUŠENÍ Ventil je zkoušen podle ČSN 13 3060, část 2.  MONTÁŽ Ventil je doporučeno montovat do vodorovného potrubí se servomotorem nad ventilem. V ostatních polohách je nutná ochrana servomotoru proti případnému unikání a stékání pracovní tekutiny a servomotor musí být podepřen nebo uchycen na závěsu.  OVLÁDÁNÍ Ventil se ovládá elektrickým servomotorem. Při přerušení dodávky elektrického proudu lze ventil ovládat ručně.  * hmotnost bez servopohonu  </t>
  </si>
  <si>
    <t>734114114R00</t>
  </si>
  <si>
    <t>Ventil uzav.přírub.STRÖMAX-AGF DN 40 s nav.přírub</t>
  </si>
  <si>
    <t xml:space="preserve">  </t>
  </si>
  <si>
    <t>734111835R00</t>
  </si>
  <si>
    <t>Ventily uzavírací s el.servom. DN 40</t>
  </si>
  <si>
    <t>734121613R00</t>
  </si>
  <si>
    <t>Ventily zpětné přírubové DN 40</t>
  </si>
  <si>
    <t>734413146R00</t>
  </si>
  <si>
    <t>Teploměr s jímkou</t>
  </si>
  <si>
    <t>734421150R00</t>
  </si>
  <si>
    <t>Tlakoměr deformační</t>
  </si>
  <si>
    <t>734255135R00</t>
  </si>
  <si>
    <t>Ventil pojistný, pružinový, DN 25</t>
  </si>
  <si>
    <t>734312114R00</t>
  </si>
  <si>
    <t>Ventily vypouštěcí DN 20</t>
  </si>
  <si>
    <t>734233114R00</t>
  </si>
  <si>
    <t>Kohout kulový, vnitř.-vnitř.z. IVAR PERFECTA DN 32</t>
  </si>
  <si>
    <t>734233113R00</t>
  </si>
  <si>
    <t>Kohout kulový, vnitř.-vnitř.z. IVAR PERFECTA DN 25</t>
  </si>
  <si>
    <t>734223832R00</t>
  </si>
  <si>
    <t>Ventil vyvažov.vnitř.z.měř.vent.IVAR.CIM 747 DN 20</t>
  </si>
  <si>
    <t>734200822R00</t>
  </si>
  <si>
    <t>Demontáž armatur se 2závity do G 1</t>
  </si>
  <si>
    <t>422114331</t>
  </si>
  <si>
    <t>Ventil regulační přímý + servopohon</t>
  </si>
  <si>
    <t xml:space="preserve">přírubový, pro ruční regulaci, se zúženým sedlem,  Ventil s regulační kuželkou V41111540  PN 40  POUŽITÍ V základním provedení jako regulační orgán pro vodu a vodní páru, na zvláštní požadavek i pro jiné neagresivní kapaliny a plyny, pro pracovní tlaky a teploty: U ventilu z titulu funkce nelze zaručit těsnost, a proto v případě požadavku těsnosti je třeba zařadit do potrubí ventil uzavírací.  TECHNICKÝ POPIS Ventil je třmenový. V tělese je navařeno sedlo, na které dosedá regulační kuželka. Kuželka je otočně spojena s vřetenem. Vřeteno je ve třmenu utěsněno ucpávkou. Směr proudění pracovní látky je pod kuželku.  FUNKCE Ventil reguluje průtok pracovní látky v sedle ventilu regulační kuželkou. Kuželka je řešena pro lineární charakteristiku. Hodnotu objemového množství pracovní látky udává Kv číslo (objemový průtok vody v m3/h o hustotě 1000 kg/m3 při tlakovém spádu na ventilu 0,1 MPa).  MATERIÁL Těleso, třmen uhlíková ocel na odlitky  Ucp. víko do DN 100 vč. temperovaná litina  Ucp. víko od DN 125 uhlíková ocel na odlitky  Kuželka, vřeteno korozivzdorná ocel  Sedlo korozivzdorná ocel (návar)  Těsnění vřetene volí se dle druhu pracovní látky  ZKOUŠENÍ Ventil je zkoušen podle ČSN 13 3060, část 2.  MONTÁŽ Ventil je možno montovat do vodorovného i svislého potrubí.  OVLÁDÁNÍ Ventil je možno ovládat ručním kolem (ON 13 3110) nebo řetězovým pohonem (ON 13 3130) nebo ze stojanu (ON 13 3140 a ON 13 3142). </t>
  </si>
  <si>
    <t>734293223R00</t>
  </si>
  <si>
    <t>Filtr, vnitřní-vnitřní z. IVAR FIV.08412 DN 25</t>
  </si>
  <si>
    <t>734293111R00</t>
  </si>
  <si>
    <t>Ventil směšovací třícestný, vč. servopohonu ESBE, Kv2,5, DN15</t>
  </si>
  <si>
    <t>734244423R00</t>
  </si>
  <si>
    <t>Klapka zpětná pružinová,2xvnitřní závit HERZ DN 25</t>
  </si>
  <si>
    <t>734213112R00</t>
  </si>
  <si>
    <t>Ventil automatický odvzdušňovací, IVAR VARIA DN 15</t>
  </si>
  <si>
    <t>734233111R00</t>
  </si>
  <si>
    <t>Kohout kulový, vnitř.-vnitř.z. IVAR PERFECTA DN 15</t>
  </si>
  <si>
    <t>767995105R00</t>
  </si>
  <si>
    <t>Výroba a montáž kov. atypických konstr. do 100 kg</t>
  </si>
  <si>
    <t>Areálové teplovody</t>
  </si>
  <si>
    <t>11</t>
  </si>
  <si>
    <t>Přípravné a přidružené práce</t>
  </si>
  <si>
    <t>113106002RAC</t>
  </si>
  <si>
    <t>Odstranění zám.dlažby 6 cm vč.podkladu, přes 50 m2, složení vedle výkopu</t>
  </si>
  <si>
    <t>m2</t>
  </si>
  <si>
    <t>Položka obsahuje: - rozebrání zámkové dlažby tl. 6 cm  - odstranění štěrkodrtě tl. 10 cm  Položka neobsahuje nakládání, odvoz na skládku a poplatek za skládku</t>
  </si>
  <si>
    <t>113107100RAB</t>
  </si>
  <si>
    <t>Odstranění bet.povrchu, kryt tl. 8 cm, pl.do 50 m2 včetně naložení a odvozu na skládku</t>
  </si>
  <si>
    <t>Položka obsahuje: - řezání betonového krytu - odstranění betonového krytu tl. 8 cm - odstranění kameniva zpevněného cementem tl. 12 cm - odstranění kameniva drceného tl. 10 cm  - nakládání suti - vodorovná doprava suti do 1 km  Položka neobsahuje poplatek za skládku</t>
  </si>
  <si>
    <t>113201012RAC</t>
  </si>
  <si>
    <t>Vytrhání obrubníků chodníkových a parkových s přemístěním hmot do 3 m nebo s naložením</t>
  </si>
  <si>
    <t>Položka obsahuje: - vytrhání obrubníků s vybouráním lože, s přemístěním hmot na vzdálenost do 3 m nebo naložením na dopravní prostředek  Položka neobsahuje poplatek za skládku</t>
  </si>
  <si>
    <t>119000002RAA</t>
  </si>
  <si>
    <t>Dočasné zajištění kabelů ve výkopu, ztížená vykopávka, ruční výkop</t>
  </si>
  <si>
    <t>Odvoz a likvidace demontovaných materiálů, kontejner 7t</t>
  </si>
  <si>
    <t>12</t>
  </si>
  <si>
    <t>Odkopávky a prokopávky</t>
  </si>
  <si>
    <t>122100010RAC</t>
  </si>
  <si>
    <t>Odkopávky (stávajícího vedení) nezapažené v hornině 1-4, naložení, odvoz na skládku, uložení</t>
  </si>
  <si>
    <t>m3</t>
  </si>
  <si>
    <t>V položce není kalkulován poplatek za skládku zeminy. Tyto náklady se oceňují individuálně podle místních podmínek</t>
  </si>
  <si>
    <t>199000005R00</t>
  </si>
  <si>
    <t>Poplatek za skládku zeminy/sypaniny</t>
  </si>
  <si>
    <t>17</t>
  </si>
  <si>
    <t>Konstrukce ze zemin</t>
  </si>
  <si>
    <t>451572111RK1</t>
  </si>
  <si>
    <t>Lože pod potrubí z kameniva těženého 0 - 4 mm</t>
  </si>
  <si>
    <t>Položka je určena pro práce v otevřeném výkopu, pro práce ve štole se k položce používá příplatek 45154-1192</t>
  </si>
  <si>
    <t>175101101RT2</t>
  </si>
  <si>
    <t>Obsyp potrubí bez prohození sypaniny s dodáním štěrkopísku frakce 0 - 8 mm</t>
  </si>
  <si>
    <t>Včetně dodávky kameniva</t>
  </si>
  <si>
    <t>174100010RAF</t>
  </si>
  <si>
    <t>Zásyp jam, rýh a šachet sypaninou, dovoz sypaniny ze vzdálenosti do 15 km</t>
  </si>
  <si>
    <t>18</t>
  </si>
  <si>
    <t>Povrchové úpravy terénu</t>
  </si>
  <si>
    <t>181050010RA0</t>
  </si>
  <si>
    <t>Terénní modelace, úprava dotčeného korydoru po dokončení prací, ozelenění, dodání osiva</t>
  </si>
  <si>
    <t>38</t>
  </si>
  <si>
    <t>Různé kompletní konstrukce nedělitelné do stav. dílů</t>
  </si>
  <si>
    <t>380320070RAA</t>
  </si>
  <si>
    <t>Kompletní kce ŽB z betonu C 25/30 vodostavebního, bednění a odbednění, výztuž do 90 kg/m3</t>
  </si>
  <si>
    <t>59</t>
  </si>
  <si>
    <t>Kryty pozemních komunikací, letišť a ploch dlážděných (předlažby)</t>
  </si>
  <si>
    <t>591100020RA0</t>
  </si>
  <si>
    <t>Chodník z dlažby zámkové, podklad štěrkodrť, vč. osazení parkových obrub</t>
  </si>
  <si>
    <t>Skladba: podklad ze štěrkodrti  15 cm lože z kameniva  4 cm dlažba zámková, betonová  6 cm celkem  25 cm  Včetně zemních prací. 5.11.2015 Změna podkladu ze štěrkopísku tl.10 cm na štěrkodrť tl. 15 cm</t>
  </si>
  <si>
    <t>733190099VD</t>
  </si>
  <si>
    <t>Demontáž tepelné izolace z předizolovaného potrubí</t>
  </si>
  <si>
    <t>733120826R01</t>
  </si>
  <si>
    <t>Demontáž a rozřezání potrubí z hladkých trubek do D 89 ve výkopu</t>
  </si>
  <si>
    <t>2860018171</t>
  </si>
  <si>
    <t>Trubka předizolovaná min 115°C PN 16, de 90 mm, Dmax 162 mm (vč. kolena, redukce, odbočky)</t>
  </si>
  <si>
    <t>304400115038  Předizolované potrubí  NRG FiberFlex single, vyrobené ze síťovaného polyetylénu PE-Xa se síťkou z aramidového vlákna a kyslíkovou bariérou. Pro rozvody média o teplotním rozsahu od 0°C do 115°C a maximálním tlakem 16 bar. Certifikována Class B dle ofi ZG200-2  Izolace z polyuretanové pěny  Vnější opláštění černé, balení potrubí v kotouči</t>
  </si>
  <si>
    <t>733184107RT1</t>
  </si>
  <si>
    <t>Montáž předizolovaného potrubí DN 80 mm, vnější průměr předizolovaného potrubí D 160 mm</t>
  </si>
  <si>
    <t>Cena jednoduchého vedení obsahuje: uložení potrubí, 1 svar a spoj na 6 m potrubí, montáž alarm.systému, zkoušky potrubí. Odlišné množství spojů lze ocenit odpočtem nebo přípočtem položek 73318-5. V položce nejsou započteny náklady na dodávku potrubí a tvarovek.  Potrubí se oceňuje ve specifikaci s tím, že pro přepočet na tepelnou síť (t.j. dodávka potrubí včetně tvarovek) se specifikace navýší koeficientem 1,3 až 1,4 dle členitosti vedení. Dodávka a montáž závěsů nebo zemní práce pro potrubí se rozpočtují samostatně.</t>
  </si>
  <si>
    <t>2860018161</t>
  </si>
  <si>
    <t>Trubka předizolovaná min 115°C PN 16, de 75 mm, Dmax 142 mm (vč. kolena, redukce, odbočky)</t>
  </si>
  <si>
    <t>304400115032  Předizolované potrubí  NRG FiberFlex single, vyrobené ze síťovaného polyetylénu PE-Xa se síťkou z aramidového vlákna a kyslíkovou bariérou. Pro rozvody média o teplotním rozsahu od 0°C do 115°C a maximálním tlakem 16 bar. Certifikována Class B dle ofi ZG200-2  Izolace z polyuretanové pěny  Vnější opláštění černé, balení potrubí v kotouči</t>
  </si>
  <si>
    <t>733184106RT1</t>
  </si>
  <si>
    <t>Montáž předizolovaného potrubí DN 65 mm vnější průměr předizolovaného potrubí D 140 mm</t>
  </si>
  <si>
    <t>2860018151</t>
  </si>
  <si>
    <t>Trubka předizolovaná min 115°C PN 16, de 63 mm, Dmax 126 mm (vč. kolena, redukce, odbočky)</t>
  </si>
  <si>
    <t>304400115026  Předizolované potrubí  NRG FiberFlex single, vyrobené ze síťovaného polyetylénu PE-Xa se síťkou z aramidového vlákna a kyslíkovou bariérou. Pro rozvody média o teplotním rozsahu od 0°C do 115°C a maximálním tlakem 16 bar. Certifikována Class B dle ofi ZG200-2  Izolace z polyuretanové pěny  Vnější opláštění černé, balení potrubí v kotouči</t>
  </si>
  <si>
    <t>733184105RT1</t>
  </si>
  <si>
    <t>Montáž předizolovaného potrubí DN 50 mm vnější průměr předizolovaného potrubí D 125 mm</t>
  </si>
  <si>
    <t>286001781</t>
  </si>
  <si>
    <t>Trubka předizolovaná min 115°C PN 16, de 32 mm, Dmax 91 mm (vč. kolena, redukce, odbočky)</t>
  </si>
  <si>
    <t>200100032091  Předizolované potrubí  NRG FiberFlex Pro single, vyrobené ze síťovaného polyetylénu PE-Xa se síťkou z aramidového vlákna a kyslíkovou bariérou. Pro rozvody média o teplotním rozsahu od 0°C do 115°C a maximálním tlakem 10 bar. Certifikována Class B dle ofi ZG200-2  Izolace z polyuretanové pěny, součinitel tepelné vodivosti 0,0210 W/mK  Vnější opláštění černé, balení potrubí v kotouči</t>
  </si>
  <si>
    <t>733184102RT1</t>
  </si>
  <si>
    <t>Montáž předizolovaného potrubí DN 25 mm, vnější průměr předizolovaného potrubí D 90 mm</t>
  </si>
  <si>
    <t>28600151</t>
  </si>
  <si>
    <t>Trubka předizolovaná plastová SDR 11, de 32 mm, Dmax 125 mm (vč. kolena, redukce, odbočky)</t>
  </si>
  <si>
    <t>114APE125132  Předizolované potrubí  NRG AustroPUR single, SDR 11, vyrobené ze síťovaného polyetylénu PE-Xa; SDR 7,4 s kyslíkovou bariérou. Pro rozvody média o teplotním rozsahu od 0°C do 95°C a maximálním tlakem 6 bar.  Izolace z polyuretanové pěny v kombinaci s PE-X, součinitel tepelné vodivosti 0,0219 W/mK  Vnější opláštění černé, balení potrubí v kotouči</t>
  </si>
  <si>
    <t>733184102RT3</t>
  </si>
  <si>
    <t>Montáž předizolovaného potrubí DN 25 mm vnější průměr předizolovaného potrubí D 125 mm</t>
  </si>
  <si>
    <t>767312739R00</t>
  </si>
  <si>
    <t>Úprava pro prostup potrubí</t>
  </si>
  <si>
    <t>931981015R00</t>
  </si>
  <si>
    <t>Těsnění trubních prostupů spodní stavbou (vč. navázání na svislou hydroizolaci)</t>
  </si>
  <si>
    <t>Bentonitové bobtnající těsnění chráněné silikonovou fólií k utěsnění prostupů rour v betonových stěnách. Používá se v nádržích s pitnou vodou, čističkách atd.  Položka obsahuje montáž a dodávku samolepicího těsnění</t>
  </si>
  <si>
    <t>5512964577</t>
  </si>
  <si>
    <t>Předizolovaná uzavírací armatura DN80, komplet</t>
  </si>
  <si>
    <t>271102090090  Předizolovaný uzavírací kulový ventil v trubních systémech 10 bar pro otopné systémy, teplovody a chladicí systémy. Maximální provozní tlak: 10 bar Maximální provozní teplota: 115 °</t>
  </si>
  <si>
    <t>87</t>
  </si>
  <si>
    <t>Potrubí z trub plastických, skleněných a čedičových</t>
  </si>
  <si>
    <t>871161121R00</t>
  </si>
  <si>
    <t>Montáž trubek polyetylenových ve výkopu d 32 mm</t>
  </si>
  <si>
    <t>V položce je uvažováno použití svitku. Případné spoje se dorozpočtují přirážkou za spoj pol. 877 ..-2121 V položce není zakalkulována dodávka trub, spojek a tvarovek. Jejich dodávka se oceňuje ve specifikaci. Montáž elektrotvarovek se oceňuje pol. č. 877 ..-2121  podle množství a průměru potřebných spojů</t>
  </si>
  <si>
    <t>286134112</t>
  </si>
  <si>
    <t>Trubka tlaková AQUALINE RC1 PE100 32x3,0 mm PN16</t>
  </si>
  <si>
    <t xml:space="preserve">RC1-032030/100  Vodovodní PE tlaková trubka AQUALINE RC1 dle normy EN 12 201-2 Jednovrstvá - celý průřez stěny z PE 100RC Černá s modrými pruhy (doprava pitné a užitkové vody)  Použití: vhodná do otevřeného výkopu bez pískového lože (možnost bodového zatížení)  a pro méně náročné metody bezvýkopové pokládky  Návin 100 </t>
  </si>
  <si>
    <t>28655379</t>
  </si>
  <si>
    <t>Přechod PE - kov vnější závit d32/1"</t>
  </si>
  <si>
    <t>Rozebíratelné svěrné spoje z polyetylenu pro trubky z lineárního HDPE  25PVN3210</t>
  </si>
  <si>
    <t>89</t>
  </si>
  <si>
    <t>Ostatní konstrukce a práce na trubním vedení</t>
  </si>
  <si>
    <t>898011911RA0</t>
  </si>
  <si>
    <t>Kabelová chránička z PVC DN 110 mm vč. obsypu (propojení mezi pavilony - rezerva)</t>
  </si>
  <si>
    <t>Položka obsahuje dodávku a montáž kabelové chráničky včetně obsypu</t>
  </si>
  <si>
    <t>899102111RT2</t>
  </si>
  <si>
    <t>Osazení poklopu s rámem do 100 kg, včetně dodávky poklopu lit. s rámem 600 x 600</t>
  </si>
  <si>
    <t>Položka je určena pro osazení poklopů litinových a ocelových včetně rámů a platí i pro osazení rektifikačních kroužků nebo rámečků. V položkách jsou zakalkulovány náklady na dodání poklopu litinového s rámem 600x600. V položce jsou zakalkulovány i náklady na cementovou maltu</t>
  </si>
  <si>
    <t>899721112R00</t>
  </si>
  <si>
    <t>Fólie výstražná z PVC, šířka 30 cm</t>
  </si>
  <si>
    <t>899731114R00</t>
  </si>
  <si>
    <t>Vodič signalizační CYY 6 mm2</t>
  </si>
  <si>
    <t>06VRN</t>
  </si>
  <si>
    <t>Územní vlivy</t>
  </si>
  <si>
    <t>063002VRN</t>
  </si>
  <si>
    <t>Příplatek za špatně dostupné území - trasa v kanále pod pavilonem 1</t>
  </si>
  <si>
    <t>998276101R00</t>
  </si>
  <si>
    <t>Přesun hmot, trubní vedení, otevř. výkop</t>
  </si>
  <si>
    <t>Položka je určena pro trubní vedení (vodovod nebo kanalizace) hloubené nebo ražené z trub z plastických hmot nebo sklolaminátových včetně drobných objektů. Platnost položky je vymezena pro nejmenší skladovací plochu 50 m2 + 1,30 m2/t, pro největší dopravní vzdálenost 15 m od hrany výkopu na povrchu nebo 15 m od okraje šachty k těžišti skládek na povrchu. V případech, kdy nejsou splněny tyto podmínky použije se příplatek - 6115 až - 6119</t>
  </si>
  <si>
    <t>Lokální příprava TV - Kuchyně</t>
  </si>
  <si>
    <t>Vypuštění vody ze systému</t>
  </si>
  <si>
    <t>722220864R00</t>
  </si>
  <si>
    <t>Demontáž armatur s dvěma závity</t>
  </si>
  <si>
    <t>722170804R00</t>
  </si>
  <si>
    <t>Demontáž rozvodů vody z plastů do D 63 mm</t>
  </si>
  <si>
    <t>722170911R00</t>
  </si>
  <si>
    <t>Oprava plastového potrubí, vsazení odbočky do D 32 mm</t>
  </si>
  <si>
    <t>Izolace návleková MIRELON STABIL tl. stěny 25 mm</t>
  </si>
  <si>
    <t>722181242RT8</t>
  </si>
  <si>
    <t>Izolace návleková MIRELON STABIL tl. stěny 9 mm</t>
  </si>
  <si>
    <t>722234233R00</t>
  </si>
  <si>
    <t>Filtr vodovodní, proplachovací DN25</t>
  </si>
  <si>
    <t>722231191R00</t>
  </si>
  <si>
    <t>Ventil vodovodní pojistný pružinový P10-237-616, G 1/2"</t>
  </si>
  <si>
    <t>722235143R00</t>
  </si>
  <si>
    <t>Kohout vodovodní, kulový s vypouštěním, vnitřní-vnitřní závit, IVAR, DN 25 mm</t>
  </si>
  <si>
    <t>722235523R00</t>
  </si>
  <si>
    <t>Filtr, vodovodní, vnitřní-vnitřní závit, IVAR FIV.08412, DN 25 mm</t>
  </si>
  <si>
    <t>Cirkulační čerpadlo ALPHA2 15-40N</t>
  </si>
  <si>
    <t>4843470221</t>
  </si>
  <si>
    <t>Zásobníkový ohřívač kombinovaný, 150 l, 2,2 kW, přímotopný</t>
  </si>
  <si>
    <t>142015DA02  Ocelový zásobníkový ohřívač  s vnitřní povrchovou úpravou SMALGLASS s jedním pevně integrovaným výměníkem do 1000 litrů s přírubou O 180 mm, od 1500 litrů s přírubou O 290 mm izolace v ceně nádoby - do 600 litrů je z tvrdého PU 50mm, tloušťky 50 mm - od 800 litrů je snímatelná z měkkého PU, tloušťky 100 mm antikorozní ochrana hořčíkovou anodou max. provozní teplota 95 °C max. provozní tlak nádoby 10 bar (od objemu 1500 litrů pouze 8 bar) max. provozní tlak výměníku 6 bar na objednávku provedení nere</t>
  </si>
  <si>
    <t>728311123R00</t>
  </si>
  <si>
    <t>Montáž ohřívače</t>
  </si>
  <si>
    <t>73</t>
  </si>
  <si>
    <t>Ústřední vytápění</t>
  </si>
  <si>
    <t>732199100R00</t>
  </si>
  <si>
    <t>732110811R00</t>
  </si>
  <si>
    <t>Demontáž těles rozdělovačů a sběračů, do DN 100 mm</t>
  </si>
  <si>
    <t>732119190R00</t>
  </si>
  <si>
    <t>Montáž rozdělovačů a sběračů DN 80</t>
  </si>
  <si>
    <t>732111125R00</t>
  </si>
  <si>
    <t>Tělesa rozdělovačů a sběračů DN 80 dl 1m + izolace a ukotvení</t>
  </si>
  <si>
    <t>Oběhové čerpadlo ALPHA3 25-60</t>
  </si>
  <si>
    <t>732229631R01</t>
  </si>
  <si>
    <t>Montáž výměníku tepla</t>
  </si>
  <si>
    <t>484323314</t>
  </si>
  <si>
    <t>Výměník tepla nerezový, voda/voda, 75kW teplovod/TV, např. typ RHB + tepelná izolace + kotvení</t>
  </si>
  <si>
    <t>733193810R00</t>
  </si>
  <si>
    <t>Rozřezání konzol pro potrubí z úhel.L 50x50x5 mm</t>
  </si>
  <si>
    <t>733194915R00</t>
  </si>
  <si>
    <t>Oprava-navaření odbočky na potrubí</t>
  </si>
  <si>
    <t>733192912R00</t>
  </si>
  <si>
    <t>Oprava-přepojení stávající větve</t>
  </si>
  <si>
    <t>733120826R00</t>
  </si>
  <si>
    <t>Demontáž potrubí z hladkých trubek do D 89</t>
  </si>
  <si>
    <t>733121218R00</t>
  </si>
  <si>
    <t>Potrubí hladké bezešvé v kotelnách D 57 x 2,9 mm</t>
  </si>
  <si>
    <t>733164105RT5</t>
  </si>
  <si>
    <t>Montáž potrubí z měděných trubek vytápění D 28 mm</t>
  </si>
  <si>
    <t>733164102RT5</t>
  </si>
  <si>
    <t>Montáž potrubí z měděných trubek vytápění D 15 mm</t>
  </si>
  <si>
    <t>631547319</t>
  </si>
  <si>
    <t>Pouzdro potrubní izolační ROCKWOOL 800 - 60/50 mm</t>
  </si>
  <si>
    <t>631547114</t>
  </si>
  <si>
    <t>Pouzdro potrubní izolační ROCKWOOL 800 - 28/30 mm</t>
  </si>
  <si>
    <t>631547011</t>
  </si>
  <si>
    <t>Pouzdro potrubní izolační ROCKWOOL 800 - 15/20 mm</t>
  </si>
  <si>
    <t>734114115R00</t>
  </si>
  <si>
    <t>Ventil uzav.přírub.STRÖMAX-AGF DN 50 s nav.přírub</t>
  </si>
  <si>
    <t>734413144R00</t>
  </si>
  <si>
    <t>Teploměr</t>
  </si>
  <si>
    <t>734421160R00</t>
  </si>
  <si>
    <t>Tlakoměr</t>
  </si>
  <si>
    <t>734194126R00</t>
  </si>
  <si>
    <t>Ventil vyvažovací, přírubový DN40</t>
  </si>
  <si>
    <t>734224831R00</t>
  </si>
  <si>
    <t>Ventil přepouštěcí DN 15</t>
  </si>
  <si>
    <t>734233143R00</t>
  </si>
  <si>
    <t>Kohout kulový s odvodn. vnitř.-vnitř.z. IVAR DN 25</t>
  </si>
  <si>
    <t>734243125R00</t>
  </si>
  <si>
    <t>Ventil zpětný EURA-SPRINT, IVAR.CIM 30 VA DN 40</t>
  </si>
  <si>
    <t>734233120R00</t>
  </si>
  <si>
    <t>Kohout kulový,vnitřní-vnitřní z. IVAR.KK 51 DN 10</t>
  </si>
  <si>
    <t>734213111R00</t>
  </si>
  <si>
    <t>Ventil automatický odvzdušňovací, IVAR VARIA DN 10</t>
  </si>
  <si>
    <t>734191712R00</t>
  </si>
  <si>
    <t>Ventil dvoucestný DN25 se servopohonem</t>
  </si>
  <si>
    <t>734291113R00</t>
  </si>
  <si>
    <t>Kohouty plnící a vypouštěcí G 1/2</t>
  </si>
  <si>
    <t>734293312R00</t>
  </si>
  <si>
    <t>Kohout kulový vypouštěcí, IVAR.EURO M DN 15</t>
  </si>
  <si>
    <t>734233145R00</t>
  </si>
  <si>
    <t>Kohout kulový s odvodn. vnitř.-vnitř.z. IVAR DN 40</t>
  </si>
  <si>
    <t>767996801R00</t>
  </si>
  <si>
    <t>Demontáž atypických ocelových konstr. do 50 kg</t>
  </si>
  <si>
    <t>767990010RA0</t>
  </si>
  <si>
    <t>Typové ocelové konstrukce - kotvení potrubí</t>
  </si>
  <si>
    <t>Lokální příprava TV - Dílna</t>
  </si>
  <si>
    <t>Zásobníkový ohřívač kombinovaný, 100 l, 2,2 kW, přímotopný</t>
  </si>
  <si>
    <t>Výměník tepla nerezový, voda/voda, 30kW teplovod/TV, např. typ RHB + tepelná izolace + kotvení</t>
  </si>
  <si>
    <t>Méně dostupné prostředí - ztížené podmínky vlivem prostoru</t>
  </si>
  <si>
    <t>Lokální příprava TV - Učebny</t>
  </si>
  <si>
    <t>Lokální příprava TV - Tělocvična</t>
  </si>
  <si>
    <t>722172311R00</t>
  </si>
  <si>
    <t>Potrubí plastové PP-R Instaplast, včetně zednických výpomocí, D 20 x 2,8 mm, PN 16</t>
  </si>
  <si>
    <t>722181244RT7</t>
  </si>
  <si>
    <t>Izolace návleková MIRELON STABIL tl. stěny 20 mm</t>
  </si>
  <si>
    <t>7241001VD</t>
  </si>
  <si>
    <t>Cirkulační čerpadlo COMFORT 15-14 BDT PM</t>
  </si>
  <si>
    <t>Položka je určena i pro montáž rozdělovačů a sběračů kombinovaných.</t>
  </si>
  <si>
    <t xml:space="preserve">Pájený deskový výměník tepla  Pájené deskové výměníky tepla CB- přenos tepla při kompaktních rozměrech. Použití • Ohřev a chlazení HVAC • Olejové chlazení • Ohřev a chlazení v průmyslu Výhody • Kompaktní • Snadná instalace • Samočistící • Bez těsnění Konstrukce Pájecí materiál utěsňuje a spojuje desky v styčných bodech a zajišťuje optimální účinnost přenosu tepla a odolnost proti tlaku. </t>
  </si>
  <si>
    <t>V položce je započten 1 spoj na 3 m délky rozvodu. Odlišné množství spojů lze ocenit odpočtem nebo přípočtem položek 73316 5201 až 5206. V pložce nejsou započteny náklady na dodávku potrubí a tvarovek. Toto se oceňuje ve specifikaci. Ztratné pro potrubí Cu se doporučuje 3 %.  Položka obsahuje i náklady na dodávku a montáž závěsů.</t>
  </si>
  <si>
    <t>Celkem:</t>
  </si>
  <si>
    <t>IČO/DIČ:</t>
  </si>
  <si>
    <t>07117043/</t>
  </si>
  <si>
    <t>Položek:</t>
  </si>
  <si>
    <t>Datum:</t>
  </si>
  <si>
    <t>Rozpočtové náklady v Kč</t>
  </si>
  <si>
    <t>A</t>
  </si>
  <si>
    <t>Základní rozpočtové náklady</t>
  </si>
  <si>
    <t>B</t>
  </si>
  <si>
    <t>Doplňkové náklady</t>
  </si>
  <si>
    <t>C</t>
  </si>
  <si>
    <t>Náklady na umístění stavby (NUS)</t>
  </si>
  <si>
    <t>HSV</t>
  </si>
  <si>
    <t>Dodávky</t>
  </si>
  <si>
    <t>Práce přesčas</t>
  </si>
  <si>
    <t>Montáž</t>
  </si>
  <si>
    <t>Bez pevné podl.</t>
  </si>
  <si>
    <t>Mimostav. doprava</t>
  </si>
  <si>
    <t>PSV</t>
  </si>
  <si>
    <t>Kulturní památka</t>
  </si>
  <si>
    <t>Provozní vlivy</t>
  </si>
  <si>
    <t>"M"</t>
  </si>
  <si>
    <t>Ostatní</t>
  </si>
  <si>
    <t>NUS z rozpočtu</t>
  </si>
  <si>
    <t>Ostatní materiál</t>
  </si>
  <si>
    <t>Přesun hmot a sutí</t>
  </si>
  <si>
    <t>ZRN celkem</t>
  </si>
  <si>
    <t>DN celkem</t>
  </si>
  <si>
    <t>NUS celkem</t>
  </si>
  <si>
    <t>DN celkem z obj.</t>
  </si>
  <si>
    <t>NUS celkem z obj.</t>
  </si>
  <si>
    <t>VORN celkem</t>
  </si>
  <si>
    <t>VORN celkem z obj.</t>
  </si>
  <si>
    <t>Základ 0%</t>
  </si>
  <si>
    <t>Základ 12%</t>
  </si>
  <si>
    <t>DPH 12%</t>
  </si>
  <si>
    <t>Celkem bez DPH</t>
  </si>
  <si>
    <t>Základ 21%</t>
  </si>
  <si>
    <t>DPH 21%</t>
  </si>
  <si>
    <t>Celkem včetně DPH</t>
  </si>
  <si>
    <t>Projektant</t>
  </si>
  <si>
    <t>Objednatel</t>
  </si>
  <si>
    <t>Zhotovitel</t>
  </si>
  <si>
    <t>Datum, razítko a podpis</t>
  </si>
  <si>
    <t>Poznámka:</t>
  </si>
  <si>
    <t>Vedlejší rozpočtové náklady VRN</t>
  </si>
  <si>
    <t>Doplňkové náklady DN</t>
  </si>
  <si>
    <t>Kč</t>
  </si>
  <si>
    <t>%</t>
  </si>
  <si>
    <t>Základna</t>
  </si>
  <si>
    <t>Celkem DN</t>
  </si>
  <si>
    <t>Celkem NUS</t>
  </si>
  <si>
    <t>Celkem VRN</t>
  </si>
  <si>
    <t>Vedlejší a ostatní rozpočtové náklady VORN</t>
  </si>
  <si>
    <t>Ostatní rozpočtové náklady (VORN)</t>
  </si>
  <si>
    <t>Finanční náklady</t>
  </si>
  <si>
    <t>Náklady na pracovníky</t>
  </si>
  <si>
    <t>Vlastní VORN</t>
  </si>
  <si>
    <t>Celkem VORN</t>
  </si>
  <si>
    <t>ZŠ U Červených domků - rekonstrukce teplovodů</t>
  </si>
  <si>
    <t>Město Hodonín,, Masarykovo nám. 53/1, 695 35 Hodon</t>
  </si>
  <si>
    <t>Rekonstrukce zdroje tepla a jeho distribuční sítě v areálu ZŠ U Červených domků</t>
  </si>
  <si>
    <t>VS-ingline, s.r.o.</t>
  </si>
  <si>
    <t>Hodonín, ZŠ U Červených domků</t>
  </si>
  <si>
    <t> </t>
  </si>
  <si>
    <t>28.12.2023</t>
  </si>
  <si>
    <t>Ing. Miloš Červený</t>
  </si>
  <si>
    <t>Objekt</t>
  </si>
  <si>
    <t>Cena/MJ</t>
  </si>
  <si>
    <t>Sazba DPH</t>
  </si>
  <si>
    <t>Náklady (Kč)</t>
  </si>
  <si>
    <t>Hmotnost (t)</t>
  </si>
  <si>
    <t>Cenová</t>
  </si>
  <si>
    <t>VATTAX</t>
  </si>
  <si>
    <t>Rozměry</t>
  </si>
  <si>
    <t>(Kč)</t>
  </si>
  <si>
    <t>Dodávka</t>
  </si>
  <si>
    <t>Celkem</t>
  </si>
  <si>
    <t>Celkem vč. DPH</t>
  </si>
  <si>
    <t>Jednot.</t>
  </si>
  <si>
    <t>soustava</t>
  </si>
  <si>
    <t>Přesuny</t>
  </si>
  <si>
    <t>Typ skupiny</t>
  </si>
  <si>
    <t>HSV mat</t>
  </si>
  <si>
    <t>HSV prac</t>
  </si>
  <si>
    <t>PSV mat</t>
  </si>
  <si>
    <t>PSV prac</t>
  </si>
  <si>
    <t>Mont mat</t>
  </si>
  <si>
    <t>Mont prac</t>
  </si>
  <si>
    <t>Ostatní mat.</t>
  </si>
  <si>
    <t>MAT</t>
  </si>
  <si>
    <t>WORK</t>
  </si>
  <si>
    <t>CELK</t>
  </si>
  <si>
    <t>D.0</t>
  </si>
  <si>
    <t>1</t>
  </si>
  <si>
    <t>21</t>
  </si>
  <si>
    <t>RTS I / 2023</t>
  </si>
  <si>
    <t>99</t>
  </si>
  <si>
    <t>01VRN_</t>
  </si>
  <si>
    <t>D.0_Â _</t>
  </si>
  <si>
    <t>D.0_</t>
  </si>
  <si>
    <t>2</t>
  </si>
  <si>
    <t>3</t>
  </si>
  <si>
    <t>02VRN_</t>
  </si>
  <si>
    <t>4</t>
  </si>
  <si>
    <t>5</t>
  </si>
  <si>
    <t>6</t>
  </si>
  <si>
    <t>03VRN_</t>
  </si>
  <si>
    <t>7</t>
  </si>
  <si>
    <t>04VRN_</t>
  </si>
  <si>
    <t>8</t>
  </si>
  <si>
    <t>9</t>
  </si>
  <si>
    <t>09VRN_</t>
  </si>
  <si>
    <t>D.1.1</t>
  </si>
  <si>
    <t>10</t>
  </si>
  <si>
    <t>0_</t>
  </si>
  <si>
    <t>D.1.1_0_</t>
  </si>
  <si>
    <t>D.1.1_</t>
  </si>
  <si>
    <t>RTS II / 2024</t>
  </si>
  <si>
    <t>713_</t>
  </si>
  <si>
    <t>D.1.1_71_</t>
  </si>
  <si>
    <t>732_</t>
  </si>
  <si>
    <t>D.1.1_73_</t>
  </si>
  <si>
    <t>13</t>
  </si>
  <si>
    <t>14</t>
  </si>
  <si>
    <t>15</t>
  </si>
  <si>
    <t>16</t>
  </si>
  <si>
    <t>19</t>
  </si>
  <si>
    <t>20</t>
  </si>
  <si>
    <t>733_</t>
  </si>
  <si>
    <t>22</t>
  </si>
  <si>
    <t>23</t>
  </si>
  <si>
    <t>24</t>
  </si>
  <si>
    <t>25</t>
  </si>
  <si>
    <t>734_</t>
  </si>
  <si>
    <t>26</t>
  </si>
  <si>
    <t>27</t>
  </si>
  <si>
    <t>767_</t>
  </si>
  <si>
    <t>D.1.1_76_</t>
  </si>
  <si>
    <t>D.1.2</t>
  </si>
  <si>
    <t>28</t>
  </si>
  <si>
    <t>D.1.2_0_</t>
  </si>
  <si>
    <t>D.1.2_</t>
  </si>
  <si>
    <t>29</t>
  </si>
  <si>
    <t>30</t>
  </si>
  <si>
    <t>31</t>
  </si>
  <si>
    <t>RTS II / 2023</t>
  </si>
  <si>
    <t>32</t>
  </si>
  <si>
    <t>33</t>
  </si>
  <si>
    <t>34</t>
  </si>
  <si>
    <t>35</t>
  </si>
  <si>
    <t>722_</t>
  </si>
  <si>
    <t>D.1.2_72_</t>
  </si>
  <si>
    <t>36</t>
  </si>
  <si>
    <t>37</t>
  </si>
  <si>
    <t>39</t>
  </si>
  <si>
    <t>40</t>
  </si>
  <si>
    <t>41</t>
  </si>
  <si>
    <t>42</t>
  </si>
  <si>
    <t>43</t>
  </si>
  <si>
    <t>44</t>
  </si>
  <si>
    <t>45</t>
  </si>
  <si>
    <t>46</t>
  </si>
  <si>
    <t>47</t>
  </si>
  <si>
    <t>48</t>
  </si>
  <si>
    <t>49</t>
  </si>
  <si>
    <t>50</t>
  </si>
  <si>
    <t>51</t>
  </si>
  <si>
    <t>52</t>
  </si>
  <si>
    <t>53</t>
  </si>
  <si>
    <t>54</t>
  </si>
  <si>
    <t>55</t>
  </si>
  <si>
    <t>56</t>
  </si>
  <si>
    <t>57</t>
  </si>
  <si>
    <t>725_</t>
  </si>
  <si>
    <t>58</t>
  </si>
  <si>
    <t>D.1.2_73_</t>
  </si>
  <si>
    <t>60</t>
  </si>
  <si>
    <t>61</t>
  </si>
  <si>
    <t>62</t>
  </si>
  <si>
    <t>63</t>
  </si>
  <si>
    <t>64</t>
  </si>
  <si>
    <t>65</t>
  </si>
  <si>
    <t>66</t>
  </si>
  <si>
    <t>67</t>
  </si>
  <si>
    <t>68</t>
  </si>
  <si>
    <t>69</t>
  </si>
  <si>
    <t>70</t>
  </si>
  <si>
    <t>71</t>
  </si>
  <si>
    <t>72</t>
  </si>
  <si>
    <t>74</t>
  </si>
  <si>
    <t>75</t>
  </si>
  <si>
    <t>76</t>
  </si>
  <si>
    <t>77</t>
  </si>
  <si>
    <t>78</t>
  </si>
  <si>
    <t>79</t>
  </si>
  <si>
    <t>80</t>
  </si>
  <si>
    <t>81</t>
  </si>
  <si>
    <t>82</t>
  </si>
  <si>
    <t>83</t>
  </si>
  <si>
    <t>84</t>
  </si>
  <si>
    <t>85</t>
  </si>
  <si>
    <t>86</t>
  </si>
  <si>
    <t>D.1.2_76_</t>
  </si>
  <si>
    <t>D.2.2</t>
  </si>
  <si>
    <t>11_</t>
  </si>
  <si>
    <t>D.2.2_1_</t>
  </si>
  <si>
    <t>D.2.2_</t>
  </si>
  <si>
    <t>88</t>
  </si>
  <si>
    <t>90</t>
  </si>
  <si>
    <t>91</t>
  </si>
  <si>
    <t>92</t>
  </si>
  <si>
    <t>12_</t>
  </si>
  <si>
    <t>93</t>
  </si>
  <si>
    <t>94</t>
  </si>
  <si>
    <t>17_</t>
  </si>
  <si>
    <t>95</t>
  </si>
  <si>
    <t>96</t>
  </si>
  <si>
    <t>97</t>
  </si>
  <si>
    <t>18_</t>
  </si>
  <si>
    <t>98</t>
  </si>
  <si>
    <t>38_</t>
  </si>
  <si>
    <t>D.2.2_3_</t>
  </si>
  <si>
    <t>59_</t>
  </si>
  <si>
    <t>D.2.2_5_</t>
  </si>
  <si>
    <t>100</t>
  </si>
  <si>
    <t>D.2.2_73_</t>
  </si>
  <si>
    <t>101</t>
  </si>
  <si>
    <t>102</t>
  </si>
  <si>
    <t>103</t>
  </si>
  <si>
    <t>104</t>
  </si>
  <si>
    <t>105</t>
  </si>
  <si>
    <t>106</t>
  </si>
  <si>
    <t>107</t>
  </si>
  <si>
    <t>108</t>
  </si>
  <si>
    <t>109</t>
  </si>
  <si>
    <t>110</t>
  </si>
  <si>
    <t>111</t>
  </si>
  <si>
    <t>112</t>
  </si>
  <si>
    <t>113</t>
  </si>
  <si>
    <t>114</t>
  </si>
  <si>
    <t>115</t>
  </si>
  <si>
    <t>87_</t>
  </si>
  <si>
    <t>D.2.2_8_</t>
  </si>
  <si>
    <t>116</t>
  </si>
  <si>
    <t>117</t>
  </si>
  <si>
    <t>118</t>
  </si>
  <si>
    <t>89_</t>
  </si>
  <si>
    <t>119</t>
  </si>
  <si>
    <t>120</t>
  </si>
  <si>
    <t>121</t>
  </si>
  <si>
    <t>122</t>
  </si>
  <si>
    <t>06VRN_</t>
  </si>
  <si>
    <t>D.2.2_Â _</t>
  </si>
  <si>
    <t>123</t>
  </si>
  <si>
    <t>D.3.1</t>
  </si>
  <si>
    <t>124</t>
  </si>
  <si>
    <t>D.3.1_0_</t>
  </si>
  <si>
    <t>D.3.1_</t>
  </si>
  <si>
    <t>125</t>
  </si>
  <si>
    <t>126</t>
  </si>
  <si>
    <t>127</t>
  </si>
  <si>
    <t>128</t>
  </si>
  <si>
    <t>129</t>
  </si>
  <si>
    <t>130</t>
  </si>
  <si>
    <t>131</t>
  </si>
  <si>
    <t>132</t>
  </si>
  <si>
    <t>133</t>
  </si>
  <si>
    <t>D.3.1_71_</t>
  </si>
  <si>
    <t>134</t>
  </si>
  <si>
    <t>D.3.1_72_</t>
  </si>
  <si>
    <t>135</t>
  </si>
  <si>
    <t>136</t>
  </si>
  <si>
    <t>137</t>
  </si>
  <si>
    <t>138</t>
  </si>
  <si>
    <t>139</t>
  </si>
  <si>
    <t>140</t>
  </si>
  <si>
    <t>141</t>
  </si>
  <si>
    <t>142</t>
  </si>
  <si>
    <t>143</t>
  </si>
  <si>
    <t>144</t>
  </si>
  <si>
    <t>145</t>
  </si>
  <si>
    <t>146</t>
  </si>
  <si>
    <t>147</t>
  </si>
  <si>
    <t>148</t>
  </si>
  <si>
    <t>149</t>
  </si>
  <si>
    <t>73_</t>
  </si>
  <si>
    <t>D.3.1_73_</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</si>
  <si>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</si>
  <si>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</si>
  <si>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</si>
  <si>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</si>
  <si>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</si>
  <si>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</si>
  <si>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</si>
  <si>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</si>
  <si>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</si>
  <si>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</si>
  <si>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</si>
  <si>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</si>
  <si>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</si>
  <si>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</si>
  <si>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</si>
  <si>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</si>
  <si>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</si>
  <si>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</si>
  <si>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</si>
  <si>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</si>
  <si>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</si>
  <si>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</si>
  <si>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</si>
  <si>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</si>
  <si>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</si>
  <si>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</si>
  <si>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</si>
  <si>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</si>
  <si>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</si>
  <si>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</si>
  <si>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</si>
  <si>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</si>
  <si>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</si>
  <si>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</si>
  <si>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D.3.1_76_</t>
  </si>
  <si>
    <t>184</t>
  </si>
  <si>
    <t>D.3.2</t>
  </si>
  <si>
    <t>185</t>
  </si>
  <si>
    <t>D.3.2_0_</t>
  </si>
  <si>
    <t>D.3.2_</t>
  </si>
  <si>
    <t>186</t>
  </si>
  <si>
    <t>187</t>
  </si>
  <si>
    <t>188</t>
  </si>
  <si>
    <t>189</t>
  </si>
  <si>
    <t>190</t>
  </si>
  <si>
    <t>191</t>
  </si>
  <si>
    <t>192</t>
  </si>
  <si>
    <t>193</t>
  </si>
  <si>
    <t>194</t>
  </si>
  <si>
    <t>D.3.2_71_</t>
  </si>
  <si>
    <t>195</t>
  </si>
  <si>
    <t>D.3.2_72_</t>
  </si>
  <si>
    <t>196</t>
  </si>
  <si>
    <t>197</t>
  </si>
  <si>
    <t>198</t>
  </si>
  <si>
    <t>199</t>
  </si>
  <si>
    <t>200</t>
  </si>
  <si>
    <t>201</t>
  </si>
  <si>
    <t>202</t>
  </si>
  <si>
    <t>203</t>
  </si>
  <si>
    <t>204</t>
  </si>
  <si>
    <t>205</t>
  </si>
  <si>
    <t>206</t>
  </si>
  <si>
    <t>207</t>
  </si>
  <si>
    <t>208</t>
  </si>
  <si>
    <t>209</t>
  </si>
  <si>
    <t>D.3.2_73_</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</si>
  <si>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</si>
  <si>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</si>
  <si>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</si>
  <si>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</si>
  <si>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</si>
  <si>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</si>
  <si>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</si>
  <si>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</si>
  <si>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</si>
  <si>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</si>
  <si>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</si>
  <si>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</si>
  <si>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</si>
  <si>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</si>
  <si>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</si>
  <si>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</si>
  <si>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</si>
  <si>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</si>
  <si>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</si>
  <si>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</si>
  <si>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</si>
  <si>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</si>
  <si>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</si>
  <si>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</si>
  <si>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</si>
  <si>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</si>
  <si>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</si>
  <si>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</si>
  <si>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</si>
  <si>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</si>
  <si>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</si>
  <si>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</si>
  <si>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</si>
  <si>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</si>
  <si>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D.3.2_76_</t>
  </si>
  <si>
    <t>244</t>
  </si>
  <si>
    <t>245</t>
  </si>
  <si>
    <t>D.3.2_Â _</t>
  </si>
  <si>
    <t>D.3.3</t>
  </si>
  <si>
    <t>246</t>
  </si>
  <si>
    <t>D.3.3_0_</t>
  </si>
  <si>
    <t>D.3.3_</t>
  </si>
  <si>
    <t>247</t>
  </si>
  <si>
    <t>248</t>
  </si>
  <si>
    <t>249</t>
  </si>
  <si>
    <t>250</t>
  </si>
  <si>
    <t>251</t>
  </si>
  <si>
    <t>252</t>
  </si>
  <si>
    <t>253</t>
  </si>
  <si>
    <t>254</t>
  </si>
  <si>
    <t>255</t>
  </si>
  <si>
    <t>D.3.3_71_</t>
  </si>
  <si>
    <t>256</t>
  </si>
  <si>
    <t>D.3.3_72_</t>
  </si>
  <si>
    <t>257</t>
  </si>
  <si>
    <t>258</t>
  </si>
  <si>
    <t>259</t>
  </si>
  <si>
    <t>260</t>
  </si>
  <si>
    <t>261</t>
  </si>
  <si>
    <t>262</t>
  </si>
  <si>
    <t>263</t>
  </si>
  <si>
    <t>264</t>
  </si>
  <si>
    <t>265</t>
  </si>
  <si>
    <t>266</t>
  </si>
  <si>
    <t>267</t>
  </si>
  <si>
    <t>268</t>
  </si>
  <si>
    <t>269</t>
  </si>
  <si>
    <t>270</t>
  </si>
  <si>
    <t>D.3.3_73_</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</si>
  <si>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</si>
  <si>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</si>
  <si>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</si>
  <si>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</si>
  <si>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</si>
  <si>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</si>
  <si>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</si>
  <si>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</si>
  <si>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</si>
  <si>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</si>
  <si>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</si>
  <si>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</si>
  <si>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</si>
  <si>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</si>
  <si>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</si>
  <si>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</si>
  <si>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</si>
  <si>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</si>
  <si>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</si>
  <si>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</si>
  <si>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</si>
  <si>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</si>
  <si>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</si>
  <si>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</si>
  <si>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</si>
  <si>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</si>
  <si>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</si>
  <si>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</si>
  <si>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</si>
  <si>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</si>
  <si>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</si>
  <si>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</si>
  <si>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</si>
  <si>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</si>
  <si>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D.3.3_76_</t>
  </si>
  <si>
    <t>305</t>
  </si>
  <si>
    <t>306</t>
  </si>
  <si>
    <t>D.3.3_Â _</t>
  </si>
  <si>
    <t>D.3.4</t>
  </si>
  <si>
    <t>307</t>
  </si>
  <si>
    <t>D.3.4_0_</t>
  </si>
  <si>
    <t>D.3.4_</t>
  </si>
  <si>
    <t>308</t>
  </si>
  <si>
    <t>309</t>
  </si>
  <si>
    <t>310</t>
  </si>
  <si>
    <t>311</t>
  </si>
  <si>
    <t>312</t>
  </si>
  <si>
    <t>313</t>
  </si>
  <si>
    <t>314</t>
  </si>
  <si>
    <t>315</t>
  </si>
  <si>
    <t>316</t>
  </si>
  <si>
    <t>D.3.4_71_</t>
  </si>
  <si>
    <t>317</t>
  </si>
  <si>
    <t>D.3.4_72_</t>
  </si>
  <si>
    <t>318</t>
  </si>
  <si>
    <t>319</t>
  </si>
  <si>
    <t>320</t>
  </si>
  <si>
    <t>321</t>
  </si>
  <si>
    <t>322</t>
  </si>
  <si>
    <t>323</t>
  </si>
  <si>
    <t>324</t>
  </si>
  <si>
    <t>325</t>
  </si>
  <si>
    <t>326</t>
  </si>
  <si>
    <t>327</t>
  </si>
  <si>
    <t>328</t>
  </si>
  <si>
    <t>329</t>
  </si>
  <si>
    <t>330</t>
  </si>
  <si>
    <t>331</t>
  </si>
  <si>
    <t>D.3.4_73_</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</si>
  <si>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</si>
  <si>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</si>
  <si>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</si>
  <si>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</si>
  <si>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</si>
  <si>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</si>
  <si>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</si>
  <si>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</si>
  <si>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</si>
  <si>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</si>
  <si>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</si>
  <si>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</si>
  <si>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</si>
  <si>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</si>
  <si>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</si>
  <si>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</si>
  <si>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</si>
  <si>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</si>
  <si>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</si>
  <si>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</si>
  <si>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</si>
  <si>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</si>
  <si>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</si>
  <si>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</si>
  <si>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</si>
  <si>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</si>
  <si>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</si>
  <si>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</si>
  <si>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</si>
  <si>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</si>
  <si>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</si>
  <si>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</si>
  <si>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</si>
  <si>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</si>
  <si>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D.3.4_76_</t>
  </si>
  <si>
    <t>366</t>
  </si>
  <si>
    <t>367</t>
  </si>
  <si>
    <t>D.3.4_Â _</t>
  </si>
  <si>
    <t>D.3.5</t>
  </si>
  <si>
    <t>368</t>
  </si>
  <si>
    <t>D.3.5_0_</t>
  </si>
  <si>
    <t>D.3.5_</t>
  </si>
  <si>
    <t>369</t>
  </si>
  <si>
    <t>370</t>
  </si>
  <si>
    <t>371</t>
  </si>
  <si>
    <t>372</t>
  </si>
  <si>
    <t>373</t>
  </si>
  <si>
    <t>374</t>
  </si>
  <si>
    <t>375</t>
  </si>
  <si>
    <t>376</t>
  </si>
  <si>
    <t>377</t>
  </si>
  <si>
    <t>D.3.5_71_</t>
  </si>
  <si>
    <t>378</t>
  </si>
  <si>
    <t>D.3.5_72_</t>
  </si>
  <si>
    <t>379</t>
  </si>
  <si>
    <t>380</t>
  </si>
  <si>
    <t>381</t>
  </si>
  <si>
    <t>382</t>
  </si>
  <si>
    <t>383</t>
  </si>
  <si>
    <t>384</t>
  </si>
  <si>
    <t>385</t>
  </si>
  <si>
    <t>386</t>
  </si>
  <si>
    <t>387</t>
  </si>
  <si>
    <t>388</t>
  </si>
  <si>
    <t>389</t>
  </si>
  <si>
    <t>390</t>
  </si>
  <si>
    <t>391</t>
  </si>
  <si>
    <t>392</t>
  </si>
  <si>
    <t>D.3.5_73_</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</si>
  <si>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</si>
  <si>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</si>
  <si>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</si>
  <si>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</si>
  <si>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</si>
  <si>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</si>
  <si>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</si>
  <si>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</si>
  <si>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</si>
  <si>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</si>
  <si>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</si>
  <si>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</si>
  <si>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</si>
  <si>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</si>
  <si>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</si>
  <si>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</si>
  <si>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</si>
  <si>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</si>
  <si>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</si>
  <si>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</si>
  <si>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</si>
  <si>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</si>
  <si>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</si>
  <si>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</si>
  <si>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</si>
  <si>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</si>
  <si>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</si>
  <si>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</si>
  <si>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</si>
  <si>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</si>
  <si>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</si>
  <si>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</si>
  <si>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</si>
  <si>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</si>
  <si>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D.3.5_76_</t>
  </si>
  <si>
    <t>427</t>
  </si>
  <si>
    <t>428</t>
  </si>
  <si>
    <t>D.3.5_Â _</t>
  </si>
  <si>
    <t>D.3.6</t>
  </si>
  <si>
    <t>429</t>
  </si>
  <si>
    <t>D.3.6_0_</t>
  </si>
  <si>
    <t>D.3.6_</t>
  </si>
  <si>
    <t>430</t>
  </si>
  <si>
    <t>431</t>
  </si>
  <si>
    <t>432</t>
  </si>
  <si>
    <t>433</t>
  </si>
  <si>
    <t>434</t>
  </si>
  <si>
    <t>435</t>
  </si>
  <si>
    <t>436</t>
  </si>
  <si>
    <t>437</t>
  </si>
  <si>
    <t>438</t>
  </si>
  <si>
    <t>D.3.6_71_</t>
  </si>
  <si>
    <t>439</t>
  </si>
  <si>
    <t>D.3.6_72_</t>
  </si>
  <si>
    <t>440</t>
  </si>
  <si>
    <t>441</t>
  </si>
  <si>
    <t>442</t>
  </si>
  <si>
    <t>443</t>
  </si>
  <si>
    <t>444</t>
  </si>
  <si>
    <t>445</t>
  </si>
  <si>
    <t>446</t>
  </si>
  <si>
    <t>447</t>
  </si>
  <si>
    <t>448</t>
  </si>
  <si>
    <t>449</t>
  </si>
  <si>
    <t>450</t>
  </si>
  <si>
    <t>451</t>
  </si>
  <si>
    <t>452</t>
  </si>
  <si>
    <t>453</t>
  </si>
  <si>
    <t>454</t>
  </si>
  <si>
    <t>455</t>
  </si>
  <si>
    <t>D.3.6_73_</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</si>
  <si>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</si>
  <si>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</si>
  <si>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</si>
  <si>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</si>
  <si>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</si>
  <si>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</si>
  <si>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</si>
  <si>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</si>
  <si>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</si>
  <si>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</si>
  <si>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</si>
  <si>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</si>
  <si>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</si>
  <si>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</si>
  <si>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</si>
  <si>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</si>
  <si>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</si>
  <si>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</si>
  <si>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</si>
  <si>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</si>
  <si>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</si>
  <si>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</si>
  <si>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</si>
  <si>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</si>
  <si>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</si>
  <si>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</si>
  <si>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</si>
  <si>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</si>
  <si>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</si>
  <si>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</si>
  <si>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</si>
  <si>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</si>
  <si>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</si>
  <si>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</si>
  <si>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D.3.6_76_</t>
  </si>
  <si>
    <t>490</t>
  </si>
  <si>
    <t>celkem</t>
  </si>
  <si>
    <t>mar</t>
  </si>
  <si>
    <t>technologie</t>
  </si>
  <si>
    <t>Cena vč. 21% DPH</t>
  </si>
  <si>
    <t>Cena bez DPH</t>
  </si>
  <si>
    <t>Popis</t>
  </si>
  <si>
    <t>D.1.4.8  - ROZPOČET</t>
  </si>
  <si>
    <t>STAVBA :</t>
  </si>
  <si>
    <t>ZŠ U ČERVENÝCH DOMKŮ - REKONSTRUKCE TEPLOVODŮ</t>
  </si>
  <si>
    <t>INVESTOR:</t>
  </si>
  <si>
    <t>MĚSTO HODONÍN MASARIKOVO NÁMĚSTÍ 53/1</t>
  </si>
  <si>
    <t>ČÁST:</t>
  </si>
  <si>
    <t>D.1.4.8 MĚŘENÍ a REGULACE</t>
  </si>
  <si>
    <t>p.č.</t>
  </si>
  <si>
    <t>Položka</t>
  </si>
  <si>
    <t>Typ</t>
  </si>
  <si>
    <t>m.j.</t>
  </si>
  <si>
    <t>Počet</t>
  </si>
  <si>
    <t>Jedn.
cena</t>
  </si>
  <si>
    <t>Dodávka
Celkem</t>
  </si>
  <si>
    <t>Montáž
cena/jedn.</t>
  </si>
  <si>
    <t>Mont.
/celkem</t>
  </si>
  <si>
    <t>Periférie</t>
  </si>
  <si>
    <t>ROZVADĚC DT1</t>
  </si>
  <si>
    <t>Výměníková stanice</t>
  </si>
  <si>
    <t>B1- B5, B17, B18</t>
  </si>
  <si>
    <t>Ponorné teplotní čidlo Pt1000 - do jímky 100 mm, -30…+130°C</t>
  </si>
  <si>
    <t>ks</t>
  </si>
  <si>
    <t>Stávající</t>
  </si>
  <si>
    <t>B12, B13</t>
  </si>
  <si>
    <t>Nové</t>
  </si>
  <si>
    <t>B7</t>
  </si>
  <si>
    <t>Kabelové teplotní čidlo Ni1000, 1,5 m, -30…+180°C</t>
  </si>
  <si>
    <t>B6</t>
  </si>
  <si>
    <t>Venkovní teplotní čidlo Pt1000, -50...+70°C</t>
  </si>
  <si>
    <t>B9, B11</t>
  </si>
  <si>
    <t>Příložné teplotní čidlo Pt1000, -30…+130°C</t>
  </si>
  <si>
    <t>F1, F2</t>
  </si>
  <si>
    <t>Omezovací termostat (TW), 40 až 120 °C, nastavení žádané hodnoty pod krytem</t>
  </si>
  <si>
    <t>F3</t>
  </si>
  <si>
    <t>Omezovací termostat (TW), 15 až 95°C, nastavení žádané hodnoty pod krytem</t>
  </si>
  <si>
    <t>P1</t>
  </si>
  <si>
    <t>Čidlo tlaku 0…16 bar, 0…10 V</t>
  </si>
  <si>
    <t>P2</t>
  </si>
  <si>
    <t>Čidlo tlaku 0…4 bar, 0…10 V</t>
  </si>
  <si>
    <t>P3</t>
  </si>
  <si>
    <t>E1, E2</t>
  </si>
  <si>
    <t>Zaplavení prostoru (havarijní hlášení)</t>
  </si>
  <si>
    <t>Sdružený dvojsondový snímač hladiny (nerez) v krabici</t>
  </si>
  <si>
    <t>Q1-Q4</t>
  </si>
  <si>
    <t>MĚŘIČ TEPLA, VODOMĚR</t>
  </si>
  <si>
    <t>DODÁVKA ÚT</t>
  </si>
  <si>
    <t>Yv1-Yv4</t>
  </si>
  <si>
    <t xml:space="preserve">Přímý ventil a servopohon </t>
  </si>
  <si>
    <t>Yv1-Yv5</t>
  </si>
  <si>
    <t>Yk1-Yk3</t>
  </si>
  <si>
    <t>Škrtící klapky</t>
  </si>
  <si>
    <t>Yk1, Yk2</t>
  </si>
  <si>
    <t>Pomocný kontakt pro pohony</t>
  </si>
  <si>
    <t>Pohon pro škrtící klapky</t>
  </si>
  <si>
    <t>Montáž a zapojení oběhových čerpadel atd..</t>
  </si>
  <si>
    <t>h</t>
  </si>
  <si>
    <t>DDC - ROZVADĚC DT1</t>
  </si>
  <si>
    <t>DDC1</t>
  </si>
  <si>
    <t>Modulární podstanice PX, 200x I/O, BACnet/LonTalk</t>
  </si>
  <si>
    <t>Stávající  DDC Z ROKU 2019</t>
  </si>
  <si>
    <t>SOUČÁSTÍ MONTÁŽE V ROZVADĚČI</t>
  </si>
  <si>
    <t>N1</t>
  </si>
  <si>
    <t>Napájecí modul 1.2 A</t>
  </si>
  <si>
    <t>N2</t>
  </si>
  <si>
    <t>Sběrnicový modul</t>
  </si>
  <si>
    <t>A1-A3</t>
  </si>
  <si>
    <t>Univerzální modul, 8x UIO</t>
  </si>
  <si>
    <t>A4-A5</t>
  </si>
  <si>
    <t>Modul digitálních vstupů, 16 I/O</t>
  </si>
  <si>
    <t>A6-A8</t>
  </si>
  <si>
    <t>Modul digitálních výstupů, 6 I/O</t>
  </si>
  <si>
    <t>PXM</t>
  </si>
  <si>
    <t>Ovládací panel pro podstanice</t>
  </si>
  <si>
    <t>Kabel 3m pro panel ovládaci panel</t>
  </si>
  <si>
    <t>Adresovací kolíčky   1 …12, + resetovací</t>
  </si>
  <si>
    <t>DDC2</t>
  </si>
  <si>
    <t>Router BACnet/IP na BACnet/LonTalk a BACnet/MSTP</t>
  </si>
  <si>
    <t>Ukončovač sběrnice LON</t>
  </si>
  <si>
    <t>GSM hlásič, 4 vstupy, 2 výstupní silová relé. pracovní pásmo GSM mo
dul - E-GSM 900 / 1800 MHz</t>
  </si>
  <si>
    <t>AN-05 prutová GSM anténa 900 / 1800MHz, používá se k výrobkům:
 Jablotron GD-04. 3m</t>
  </si>
  <si>
    <t>Průmyslové zářivkové svítidlo TOPLINE 2xG13/36W/230V 1272 mm IP65</t>
  </si>
  <si>
    <t xml:space="preserve">Instalační krabice univerzální KU </t>
  </si>
  <si>
    <t>ZS1, ZS2</t>
  </si>
  <si>
    <t>Zásuvka jednonásobná IP44/230V - montáž na stěnu</t>
  </si>
  <si>
    <t>ZS6</t>
  </si>
  <si>
    <t>Zásuvka průmyslová IP 67, nástěnná, 400V, 16A, 4p</t>
  </si>
  <si>
    <t>ZS7</t>
  </si>
  <si>
    <t>Zásuvka průmyslová IP 67, nástěnná, 400V, 32A, 4p</t>
  </si>
  <si>
    <t>Rozvaděč (v x š x h) 2000x800x400mm, oceloplechový, krytí IP44/20, zámek dveří, kapsa na dokumentaci, osvětlení rozvaděče, přepěťová ochrana, typ 2.st, 3.st + dálková signalizace, servisní zásuvka 230V AC/10A, proudový chraniče, jističe, stykače, pojistkový odpojovač, montáž rozvaděče, elekto revize atd..., relé 230V AC, relé 24V AC, Patice pro relé, Pojistkový odpojovač (230V, 24V), Trubičkové pojistky(230V, 24V), přepínače R-0-A, LED diody, tlačíka, průchodky, drobný instalační materiál, Svorka řadová na DIN lištu</t>
  </si>
  <si>
    <t>Stávající  ROZVADĚČ</t>
  </si>
  <si>
    <t>Úprava rozvaděče</t>
  </si>
  <si>
    <t>Úprava SW DT1</t>
  </si>
  <si>
    <t>ROZVADĚC DT2 a DT2.1 - Ředitelský pavilon</t>
  </si>
  <si>
    <t>B4</t>
  </si>
  <si>
    <t>Ponorné teplotní čidlo</t>
  </si>
  <si>
    <t>B5, B6</t>
  </si>
  <si>
    <t>Prostrové teplotní čidlo</t>
  </si>
  <si>
    <t>Yv1-Yv2</t>
  </si>
  <si>
    <t xml:space="preserve">Ventil a servopohon </t>
  </si>
  <si>
    <t>B7, B8</t>
  </si>
  <si>
    <t>Ponorné teplotní čidlo Ni1000 - s jímkou 100 mm, -30…+130°C</t>
  </si>
  <si>
    <t>F1</t>
  </si>
  <si>
    <t>Omezovací termostat (TW), 15 až 95 °C, nastavení žádané hodnoty pod krytem, IP65</t>
  </si>
  <si>
    <t>E1</t>
  </si>
  <si>
    <t>Yv3</t>
  </si>
  <si>
    <t>Pohon ventil TV dodávka ÚT</t>
  </si>
  <si>
    <t>DDC</t>
  </si>
  <si>
    <t>Kompaktní podstanice PX, 22x I/O, BACnet/LonTalk, Island bus
(montáž součásti rozvaděče)</t>
  </si>
  <si>
    <t>Napájecí modul 1.2 A,  pojistka 10A
(montáž součásti rozvaděče)</t>
  </si>
  <si>
    <t>A1</t>
  </si>
  <si>
    <t>Modul digitálních vstupů, 8 I/O
(montáž součásti rozvaděče)</t>
  </si>
  <si>
    <t>A2</t>
  </si>
  <si>
    <t>Modul digitálních výstupů, 6 I/O
(montáž součásti rozvaděče)</t>
  </si>
  <si>
    <t>Adresovací kolíčky   1 ... 12, + 2 resetovací</t>
  </si>
  <si>
    <t xml:space="preserve">Demontáž Stávající elektro instalace VZT </t>
  </si>
  <si>
    <t>Montáž a zapojení oběhových čerpadel, čidel a pohonu,  atd..</t>
  </si>
  <si>
    <t>Úprava stávajícího rozvaděče DT2 a DT2.1</t>
  </si>
  <si>
    <t>Úprava SW DT2 a DT2.1</t>
  </si>
  <si>
    <t>ROZVADĚC DT3 a DT3.1 - Žlutý pavilon</t>
  </si>
  <si>
    <t>B1, B3</t>
  </si>
  <si>
    <t>B2, B4</t>
  </si>
  <si>
    <t>Ys1-Ys2</t>
  </si>
  <si>
    <t>Zaplachování (SOLENOID)</t>
  </si>
  <si>
    <t xml:space="preserve">Úprava stávajícího rozvaděče DT3 </t>
  </si>
  <si>
    <t>Úprava SW DT3 a DT3.1</t>
  </si>
  <si>
    <t>ROZVADĚC DT3.1</t>
  </si>
  <si>
    <t>Rozvaděč  (v x š x h) 800x600x260mm, oceloplechový, krytí IP44/20, zámek dveří, kapsa na dokumentaci, osvětlení rozvaděče, přepěťová ochrana, typ 2.st, 3.st + dálková signalizace, servisní zásuvka 230V AC/10A, proudový chraniče, jističe, stykače, pojistkový odpojovač, montáž rozvaděče, elekto revize atd..., relé 230V AC, relé 24V AC, Patice pro relé, Pojistkový odpojovač (230V, 24V), Trubičkové pojistky(230V, 24V), přepínače R-0-A, LED diody, tlačíka, průchodky, drobný instalační materiál, Svorka řadová na DIN lištu</t>
  </si>
  <si>
    <t>Nový</t>
  </si>
  <si>
    <t>ROZVADĚC DT4 a DT4.1 - Modrý pavilon</t>
  </si>
  <si>
    <t>B3, B5</t>
  </si>
  <si>
    <t>Ys1-Ys3</t>
  </si>
  <si>
    <t>B6, B7</t>
  </si>
  <si>
    <t xml:space="preserve">Úprava stávajícího rozvaděče DT4 </t>
  </si>
  <si>
    <t>Úprava SW DT4 a DT4.1</t>
  </si>
  <si>
    <t>ROZVADĚC DT4.1</t>
  </si>
  <si>
    <t>ROZVADĚC DT5 a DT5.1 - Červený pavilon</t>
  </si>
  <si>
    <t>B3-B7</t>
  </si>
  <si>
    <t>B8, B9</t>
  </si>
  <si>
    <t>Úprava stávajícího rozvaděče DT5</t>
  </si>
  <si>
    <t>Úprava SW DT5 a DT5.1</t>
  </si>
  <si>
    <t>ROZVADĚC DT5.1</t>
  </si>
  <si>
    <t>ROZVADĚC DT6 a DT6.1 - Modrý pavilon</t>
  </si>
  <si>
    <t>Úprava stávajícího rozvaděče DT6</t>
  </si>
  <si>
    <t>Úprava SW DT6 a DT6.1</t>
  </si>
  <si>
    <t>ROZVADĚC DT6.1</t>
  </si>
  <si>
    <t>ROZVADĚC DT7 - Tělocvična, pavilon 6</t>
  </si>
  <si>
    <t>B1</t>
  </si>
  <si>
    <t>Yv1</t>
  </si>
  <si>
    <t>Yv2</t>
  </si>
  <si>
    <t>Úprava stávajícího rozvaděče DT7</t>
  </si>
  <si>
    <t>Úprava SW DT7</t>
  </si>
  <si>
    <t>Kabely a žlaby ( Dodávka + Montáž)</t>
  </si>
  <si>
    <t>žlabu + víko 62/50 + příslušenství</t>
  </si>
  <si>
    <t>Trubka D16 + příslušenství</t>
  </si>
  <si>
    <t xml:space="preserve">Trubka ohebna </t>
  </si>
  <si>
    <r>
      <t>H07V-K 6 mm</t>
    </r>
    <r>
      <rPr>
        <vertAlign val="superscript"/>
        <sz val="11"/>
        <rFont val="Times New Roman"/>
        <family val="1"/>
        <charset val="238"/>
      </rPr>
      <t xml:space="preserve">2 </t>
    </r>
  </si>
  <si>
    <t>Kabel CYKY-J 3x1,5</t>
  </si>
  <si>
    <t>Kabel JYTY-O 2x1</t>
  </si>
  <si>
    <t>Kabel JYTY-O 4x1</t>
  </si>
  <si>
    <t>Drobný instalační materiál</t>
  </si>
  <si>
    <t>Další služby</t>
  </si>
  <si>
    <t>Zpracování PD, svorková schémata rozvaděče skutečného stavu</t>
  </si>
  <si>
    <t>Zpracování aplikačního software pro řídicí systém DDC</t>
  </si>
  <si>
    <t>bodů</t>
  </si>
  <si>
    <t>Uvedení do provozu včetně zaregulování DDC</t>
  </si>
  <si>
    <t>Úprava grafické vizualizace DDC</t>
  </si>
  <si>
    <t>Licence grafické centrály</t>
  </si>
  <si>
    <t xml:space="preserve">Zaškolení obsluhy </t>
  </si>
  <si>
    <t>Zpracování návodů pro obsluhu</t>
  </si>
  <si>
    <t>Zkouška systému MaR vč. související  částí elektro</t>
  </si>
  <si>
    <t>Výchozí revize elektro</t>
  </si>
  <si>
    <t>Doprava, přesuny materiálu</t>
  </si>
  <si>
    <t>kpl</t>
  </si>
  <si>
    <t>Suma</t>
  </si>
  <si>
    <t>Krycí list slepého rozpočtu</t>
  </si>
  <si>
    <t>Slepý stavební rozpočet</t>
  </si>
  <si>
    <t>VORN - Vedlejší a ostatní rozpočtové náklady</t>
  </si>
  <si>
    <t>D.0_ _</t>
  </si>
  <si>
    <t>Kohout vypouštěcí kulový, DN 20 mm</t>
  </si>
  <si>
    <t>Potrubí plastové PP-R, včetně zednických výpomocí, D 63 x 8,6 mm, PN 16</t>
  </si>
  <si>
    <t>Potrubí plastové PP-R, včetně zednických výpomocí, D 32 x 4,4 mm, PN 16</t>
  </si>
  <si>
    <t>Potrubí plastové PP-R, včetně zednických výpomocí, D 25 x 3,5 mm, PN 16</t>
  </si>
  <si>
    <t>Izolace návleková tl. stěny 9 mm, vnitřní průměr 63 mm</t>
  </si>
  <si>
    <t>Izolace návleková tl. stěny 25 mm, vnitřní průměr 32 mm</t>
  </si>
  <si>
    <t>Izolace návleková tl. stěny 9 mm, vnitřní průměr 32 mm</t>
  </si>
  <si>
    <t>Izolace návleková tl. stěny 25 mm, vnitřní průměr 25 mm</t>
  </si>
  <si>
    <t>Kohout vodovodní, kulový, vnitřní-vnitřní závit, DN 25 mm</t>
  </si>
  <si>
    <t>Kohout vodovodní, kulový, vnitřní-vnitřní závit, DN 20 mm</t>
  </si>
  <si>
    <t>Vodoměr bytový SV ET DN 20 x 130 mm, Qn 4</t>
  </si>
  <si>
    <t>Ventil vodovodní, zpětný, CIM 30 VA, DN 25 mm</t>
  </si>
  <si>
    <t>Ventil vodovodní, zpětný, CIM 30 VA, DN 20 mm</t>
  </si>
  <si>
    <t>Filtr, vodovodní, vnitřní-vnitřní závit, DN 20 mm</t>
  </si>
  <si>
    <t>Cirkulační čerpadlo 25-60N</t>
  </si>
  <si>
    <t>Teploměr, jímka</t>
  </si>
  <si>
    <t>Nádoba expanzní membránová 18 litrů</t>
  </si>
  <si>
    <t>Ohřívač kombinovaný, zásobníkový, závěsný, OKC 80, 2,2kW patrona</t>
  </si>
  <si>
    <t>Oběhové čerpadlo 25-60</t>
  </si>
  <si>
    <t>Čerpadlo oběhové 25-60</t>
  </si>
  <si>
    <t>Pouzdro potrubní izolační - 48/50 mm</t>
  </si>
  <si>
    <t>Ventil uzav.přírub. DN 40 s nav.přírub</t>
  </si>
  <si>
    <t>Kohout kulový, vnitř.-vnitř.z. DN 32</t>
  </si>
  <si>
    <t>Kohout kulový, vnitř.-vnitř.z. DN 25</t>
  </si>
  <si>
    <t>Ventil vyvažov.vnitř.z.měř.vent. DN 20</t>
  </si>
  <si>
    <t>Filtr, vnitřní-vnitřní z. DN 25</t>
  </si>
  <si>
    <t>Ventil směšovací třícestný, vč. servopohonu, Kv2,5, DN15</t>
  </si>
  <si>
    <t>Klapka zpětná pružinová,2xvnitřní závit DN 25</t>
  </si>
  <si>
    <t>Ventil automatický odvzdušňovací, DN 15</t>
  </si>
  <si>
    <t>Kohout kulový, vnitř.-vnitř.z. DN 15</t>
  </si>
  <si>
    <t>Trubka tlaková RC1 PE100 32x3,0 mm PN16</t>
  </si>
  <si>
    <t>D.2.2_ _</t>
  </si>
  <si>
    <t>Izolace návleková tl. stěny 25 mm</t>
  </si>
  <si>
    <t>Izolace návleková tl. stěny 9 mm</t>
  </si>
  <si>
    <t>Kohout vodovodní, kulový s vypouštěním, vnitřní-vnitřní závit, DN 25 mm</t>
  </si>
  <si>
    <t>Filtr, vodovodní, vnitřní-vnitřní závit, DN 25 mm</t>
  </si>
  <si>
    <t>Ventil vodovodní, zpětný, DN 25 mm</t>
  </si>
  <si>
    <t>Cirkulační čerpadlo 15-40</t>
  </si>
  <si>
    <t>Výměník tepla, voda/voda, 75kW teplovod/TV, např. RHB 31-30 + tepelná izolace + kotvení</t>
  </si>
  <si>
    <t>Pouzdro potrubní izolační - 60/50 mm</t>
  </si>
  <si>
    <t>Pouzdro potrubní izolační - 28/30 mm</t>
  </si>
  <si>
    <t>Pouzdro potrubní izolační - 15/20 mm</t>
  </si>
  <si>
    <t>Ventil uzav.přírub. DN 50 s nav.přírub</t>
  </si>
  <si>
    <t>Kohout kulový s odvodn. vnitř.-vnitř.z. DN 25</t>
  </si>
  <si>
    <t>Ventil zpětný DN 40</t>
  </si>
  <si>
    <t>Kohout kulový,vnitřní-vnitřní z. DN 10</t>
  </si>
  <si>
    <t>Ventil automatický odvzdušňovací,  DN 10</t>
  </si>
  <si>
    <t>Kohout kulový vypouštěcí, DN 15</t>
  </si>
  <si>
    <t>Kohout kulový s odvodn. vnitř.-vnitř.z.DN 40</t>
  </si>
  <si>
    <t>Výměník tepla, voda/voda, 65kW teplovod/TV, např. RHB 31-30 + tepelná izolace + kotvení</t>
  </si>
  <si>
    <t>Ventil uzav.přírub.DN 50 s nav.přírub</t>
  </si>
  <si>
    <t>Kohout kulový s odvodn. vnitř.-vnitř., DN 25</t>
  </si>
  <si>
    <t>Ventil automatický odvzdušňovací, DN 10</t>
  </si>
  <si>
    <t>D.3.2_ _</t>
  </si>
  <si>
    <t>Kohout kulový s odvodn. vnitř.-vnitř.z.  DN 25</t>
  </si>
  <si>
    <t>Ventil zpětný  DN 40</t>
  </si>
  <si>
    <t>D.3.3_ _</t>
  </si>
  <si>
    <t>Ventil vodovodní, zpětný,  DN 25 mm</t>
  </si>
  <si>
    <t>Pouzdro potrubní izolační- 15/20 mm</t>
  </si>
  <si>
    <t>Kohout kulový,vnitřní-vnitřní zDN 10</t>
  </si>
  <si>
    <t>Kohout kulový s odvodn. vnitř.-vnitř DN 40</t>
  </si>
  <si>
    <t>D.3.4_ _</t>
  </si>
  <si>
    <t>Kohout kulový s odvodn. vnitř.-vnitř.z DN 25</t>
  </si>
  <si>
    <t>Kohout kulový s odvodn. vnitř.-vnitř.z DN 40</t>
  </si>
  <si>
    <t>D.3.5_ _</t>
  </si>
  <si>
    <t>Potrubí plastové PP-R, včetně zednických výpomocí, D 20 x 2,8 mm, PN 16</t>
  </si>
  <si>
    <t>Izolace návleková tl. stěny 20 mm</t>
  </si>
  <si>
    <t>Cirkulační čerpadlo s funkcí C.Timer, jednofázové s úspor. Sfér. Motorem pro rozvod cirk. TV</t>
  </si>
  <si>
    <t>722235111R00</t>
  </si>
  <si>
    <t>Kohout vodovodní, kulový, vnitřní-vnitřní závit, DN 15 mm</t>
  </si>
  <si>
    <t>722235521R00</t>
  </si>
  <si>
    <t>Filtr, vodovodní, vnitřní-vnitřní závit, DN 15 mm</t>
  </si>
  <si>
    <t>722235641R00</t>
  </si>
  <si>
    <t>Klapka vodovodní, zpětná, vodorovná, DN 15 mm</t>
  </si>
  <si>
    <t>Výměník tepla, voda/voda, 80kW teplovod/TV, např. RHB 31-30 + tepelná izolace + kotvení</t>
  </si>
  <si>
    <t>Kohout kulový s odvodn. vnitř.-vnitř.z. DN 40</t>
  </si>
  <si>
    <t>ZŠ U Červených domků -</t>
  </si>
  <si>
    <t>- rekonstrukce teplovodů</t>
  </si>
  <si>
    <t>SOUHRNNÝ VÝKAZ VÝMĚR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</si>
</sst>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0\ &quot;Kč&quot;_-;\-* #,##0\ &quot;Kč&quot;_-;_-* &quot;-&quot;\ &quot;Kč&quot;_-;_-@_-"/>
    <numFmt numFmtId="164" formatCode="#,##0\ &quot;Kč&quot;"/>
    <numFmt numFmtId="165" formatCode="0.0"/>
    <numFmt numFmtId="166" formatCode="#,##0.0"/>
  </numFmts>
  <fonts count="31">
    <font>
      <sz val="11"/>
      <name val="Calibri"/>
      <charset val="1"/>
    </font>
    <font>
      <sz val="11"/>
      <color theme="1"/>
      <name val="Aptos Narrow"/>
      <family val="2"/>
      <charset val="238"/>
      <scheme val="minor"/>
    </font>
    <font>
      <sz val="18"/>
      <color rgb="FF000000"/>
      <name val="Arial"/>
      <charset val="238"/>
    </font>
    <font>
      <sz val="10"/>
      <color rgb="FF000000"/>
      <name val="Arial"/>
      <charset val="238"/>
    </font>
    <font>
      <b/>
      <sz val="10"/>
      <color rgb="FF000000"/>
      <name val="Arial"/>
      <charset val="238"/>
    </font>
    <font>
      <i/>
      <sz val="10"/>
      <color rgb="FF000000"/>
      <name val="Arial"/>
      <charset val="238"/>
    </font>
    <font>
      <b/>
      <sz val="12"/>
      <color rgb="FF000000"/>
      <name val="Arial"/>
      <charset val="238"/>
    </font>
    <font>
      <i/>
      <sz val="8"/>
      <color rgb="FF000000"/>
      <name val="Arial"/>
      <charset val="238"/>
    </font>
    <font>
      <b/>
      <sz val="11"/>
      <color theme="1"/>
      <name val="Aptos Narrow"/>
      <family val="2"/>
      <charset val="238"/>
      <scheme val="minor"/>
    </font>
    <font>
      <b/>
      <sz val="14"/>
      <color theme="1"/>
      <name val="Aptos Narrow"/>
      <family val="2"/>
      <charset val="238"/>
      <scheme val="minor"/>
    </font>
    <font>
      <b/>
      <sz val="20"/>
      <color theme="1"/>
      <name val="Aptos Narrow"/>
      <family val="2"/>
      <charset val="238"/>
      <scheme val="minor"/>
    </font>
    <font>
      <sz val="10"/>
      <name val="Arial CE"/>
      <charset val="238"/>
    </font>
    <font>
      <sz val="11"/>
      <name val="Times New Roman"/>
      <family val="1"/>
      <charset val="238"/>
    </font>
    <font>
      <b/>
      <sz val="11"/>
      <name val="Times New Roman"/>
      <family val="1"/>
      <charset val="238"/>
    </font>
    <font>
      <sz val="11"/>
      <name val="Arial CE"/>
      <charset val="238"/>
    </font>
    <font>
      <sz val="11"/>
      <color theme="1"/>
      <name val="Times New Roman"/>
      <family val="1"/>
      <charset val="238"/>
    </font>
    <font>
      <b/>
      <sz val="10"/>
      <name val="Arial CE"/>
      <charset val="238"/>
    </font>
    <font>
      <sz val="10"/>
      <name val="Arial CE"/>
      <family val="2"/>
      <charset val="238"/>
    </font>
    <font>
      <sz val="11"/>
      <color rgb="FFFF0000"/>
      <name val="Times New Roman"/>
      <family val="1"/>
      <charset val="238"/>
    </font>
    <font>
      <vertAlign val="superscript"/>
      <sz val="11"/>
      <name val="Times New Roman"/>
      <family val="1"/>
      <charset val="238"/>
    </font>
    <font>
      <sz val="8"/>
      <name val="Arial"/>
    </font>
    <font>
      <sz val="18"/>
      <color rgb="FF000000"/>
      <name val="Arial"/>
      <family val="2"/>
    </font>
    <font>
      <sz val="11"/>
      <name val="Calibri"/>
      <family val="2"/>
    </font>
    <font>
      <sz val="10"/>
      <color rgb="FF000000"/>
      <name val="Arial"/>
      <family val="2"/>
    </font>
    <font>
      <b/>
      <sz val="10"/>
      <color rgb="FF000000"/>
      <name val="Arial"/>
      <family val="2"/>
    </font>
    <font>
      <b/>
      <sz val="18"/>
      <color rgb="FF000000"/>
      <name val="Arial"/>
      <family val="2"/>
    </font>
    <font>
      <b/>
      <sz val="20"/>
      <color rgb="FF000000"/>
      <name val="Arial"/>
      <family val="2"/>
    </font>
    <font>
      <b/>
      <sz val="11"/>
      <color rgb="FF000000"/>
      <name val="Arial"/>
      <family val="2"/>
    </font>
    <font>
      <b/>
      <sz val="12"/>
      <color rgb="FF000000"/>
      <name val="Arial"/>
      <family val="2"/>
    </font>
    <font>
      <sz val="12"/>
      <color rgb="FF000000"/>
      <name val="Arial"/>
      <family val="2"/>
    </font>
    <font>
      <i/>
      <sz val="8"/>
      <color rgb="FF000000"/>
      <name val="Arial"/>
      <family val="2"/>
    </font>
  </fonts>
  <fills count="5">
    <fill>
      <patternFill patternType="none"/>
    </fill>
    <fill>
      <patternFill patternType="gray125"/>
    </fill>
    <fill>
      <patternFill patternType="solid">
        <fgColor rgb="FFC0C0C0"/>
        <bgColor rgb="FFC0C0C0"/>
      </patternFill>
    </fill>
    <fill>
      <patternFill patternType="solid">
        <fgColor rgb="FF92D050"/>
        <bgColor indexed="64"/>
      </patternFill>
    </fill>
    <fill>
      <patternFill patternType="solid">
        <fgColor rgb="FFC0C0C0"/>
        <bgColor indexed="9"/>
      </patternFill>
    </fill>
  </fills>
  <borders count="111">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medium">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thin">
        <color rgb="FF000000"/>
      </left>
      <right/>
      <top style="medium">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s>
  <cellStyleXfs count="8">
    <xf numFmtId="0" fontId="0" fillId="0" borderId="0"/>
    <xf numFmtId="0" fontId="1" fillId="0" borderId="66"/>
    <xf numFmtId="0" fontId="11" fillId="0" borderId="66"/>
    <xf numFmtId="42" fontId="11" fillId="0" borderId="66" applyFont="0" applyFill="0" applyBorder="0" applyAlignment="0" applyProtection="0"/>
    <xf numFmtId="42" fontId="11" fillId="0" borderId="66" applyFont="0" applyFill="0" applyBorder="0" applyAlignment="0" applyProtection="0"/>
    <xf numFmtId="42" fontId="17" fillId="0" borderId="66" applyFont="0" applyFill="0" applyBorder="0" applyAlignment="0" applyProtection="0"/>
    <xf numFmtId="42" fontId="11" fillId="0" borderId="66" applyFont="0" applyFill="0" applyBorder="0" applyAlignment="0" applyProtection="0"/>
    <xf numFmtId="0" fontId="20" fillId="0" borderId="66" applyNumberFormat="0" applyFont="0" applyFill="0" applyBorder="0" applyAlignment="0" applyProtection="0"/>
  </cellStyleXfs>
  <cellXfs count="382">
    <xf numFmtId="0" fontId="0" fillId="0" borderId="0" xfId="0"/>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4" fillId="2" borderId="12" xfId="0" applyFont="1" applyFill="1" applyBorder="1" applyAlignment="1">
      <alignment horizontal="left" vertical="center"/>
    </xf>
    <xf numFmtId="0" fontId="4" fillId="2" borderId="12" xfId="0" applyFont="1" applyFill="1" applyBorder="1" applyAlignment="1">
      <alignment horizontal="right" vertical="center"/>
    </xf>
    <xf numFmtId="4" fontId="4" fillId="2" borderId="12" xfId="0" applyNumberFormat="1" applyFont="1" applyFill="1" applyBorder="1" applyAlignment="1">
      <alignment horizontal="right" vertical="center"/>
    </xf>
    <xf numFmtId="0" fontId="4" fillId="2" borderId="0" xfId="0" applyFont="1" applyFill="1" applyAlignment="1">
      <alignment horizontal="left" vertical="center"/>
    </xf>
    <xf numFmtId="0" fontId="4" fillId="2" borderId="0" xfId="0" applyFont="1" applyFill="1" applyAlignment="1">
      <alignment horizontal="right" vertical="center"/>
    </xf>
    <xf numFmtId="4" fontId="4" fillId="2" borderId="0" xfId="0" applyNumberFormat="1" applyFont="1" applyFill="1" applyAlignment="1">
      <alignment horizontal="right" vertical="center"/>
    </xf>
    <xf numFmtId="4" fontId="3" fillId="0" borderId="0" xfId="0" applyNumberFormat="1"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center" wrapText="1"/>
    </xf>
    <xf numFmtId="4" fontId="3" fillId="0" borderId="8" xfId="0" applyNumberFormat="1" applyFont="1" applyBorder="1" applyAlignment="1">
      <alignment horizontal="right" vertical="center"/>
    </xf>
    <xf numFmtId="0" fontId="4" fillId="0" borderId="34" xfId="0" applyFont="1" applyBorder="1" applyAlignment="1">
      <alignment horizontal="right" vertical="center"/>
    </xf>
    <xf numFmtId="4" fontId="3" fillId="0" borderId="17" xfId="0" applyNumberFormat="1" applyFont="1" applyBorder="1" applyAlignment="1">
      <alignment horizontal="right" vertical="center"/>
    </xf>
    <xf numFmtId="0" fontId="3" fillId="0" borderId="17" xfId="0" applyFont="1" applyBorder="1" applyAlignment="1">
      <alignment horizontal="left" vertical="center"/>
    </xf>
    <xf numFmtId="4" fontId="3" fillId="0" borderId="38" xfId="0" applyNumberFormat="1" applyFont="1" applyBorder="1" applyAlignment="1">
      <alignment horizontal="right" vertical="center"/>
    </xf>
    <xf numFmtId="0" fontId="3" fillId="0" borderId="38" xfId="0" applyFont="1" applyBorder="1" applyAlignment="1">
      <alignment horizontal="left" vertical="center"/>
    </xf>
    <xf numFmtId="0" fontId="4" fillId="0" borderId="42" xfId="0" applyFont="1" applyBorder="1" applyAlignment="1">
      <alignment horizontal="left" vertical="center"/>
    </xf>
    <xf numFmtId="0" fontId="4" fillId="0" borderId="42" xfId="0" applyFont="1" applyBorder="1" applyAlignment="1">
      <alignment horizontal="right" vertical="center"/>
    </xf>
    <xf numFmtId="4" fontId="4" fillId="0" borderId="42" xfId="0" applyNumberFormat="1" applyFont="1" applyBorder="1" applyAlignment="1">
      <alignment horizontal="right"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34" xfId="0" applyFont="1" applyBorder="1" applyAlignment="1">
      <alignment horizontal="center" vertical="center"/>
    </xf>
    <xf numFmtId="0" fontId="4" fillId="0" borderId="54" xfId="0" applyFont="1" applyBorder="1" applyAlignment="1">
      <alignment horizontal="center" vertical="center"/>
    </xf>
    <xf numFmtId="0" fontId="4" fillId="0" borderId="0" xfId="0" applyFont="1" applyAlignment="1">
      <alignment horizontal="right" vertical="center"/>
    </xf>
    <xf numFmtId="0" fontId="3" fillId="0" borderId="55" xfId="0" applyFont="1" applyBorder="1" applyAlignment="1">
      <alignment horizontal="left" vertical="center"/>
    </xf>
    <xf numFmtId="0" fontId="3" fillId="0" borderId="56" xfId="0" applyFont="1" applyBorder="1" applyAlignment="1">
      <alignment horizontal="left" vertical="center"/>
    </xf>
    <xf numFmtId="0" fontId="4" fillId="0" borderId="59" xfId="0" applyFont="1" applyBorder="1" applyAlignment="1">
      <alignment horizontal="center" vertical="center"/>
    </xf>
    <xf numFmtId="0" fontId="3" fillId="0" borderId="60" xfId="0" applyFont="1" applyBorder="1" applyAlignment="1">
      <alignment horizontal="left" vertical="center"/>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4" fillId="2" borderId="13" xfId="0" applyFont="1" applyFill="1" applyBorder="1" applyAlignment="1">
      <alignment horizontal="right" vertical="center"/>
    </xf>
    <xf numFmtId="0" fontId="3" fillId="2" borderId="5" xfId="0" applyFont="1" applyFill="1" applyBorder="1" applyAlignment="1">
      <alignment horizontal="left" vertical="center"/>
    </xf>
    <xf numFmtId="0" fontId="3" fillId="2" borderId="0" xfId="0" applyFont="1" applyFill="1" applyAlignment="1">
      <alignment horizontal="left" vertical="center"/>
    </xf>
    <xf numFmtId="0" fontId="4" fillId="2" borderId="6" xfId="0" applyFont="1" applyFill="1" applyBorder="1" applyAlignment="1">
      <alignment horizontal="right"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0" fillId="0" borderId="5" xfId="0" applyBorder="1"/>
    <xf numFmtId="0" fontId="3" fillId="0" borderId="8" xfId="0" applyFont="1" applyBorder="1" applyAlignment="1">
      <alignment horizontal="right" vertical="center"/>
    </xf>
    <xf numFmtId="0" fontId="3" fillId="0" borderId="9" xfId="0" applyFont="1" applyBorder="1" applyAlignment="1">
      <alignment horizontal="right" vertical="center"/>
    </xf>
    <xf numFmtId="4" fontId="4" fillId="0" borderId="66" xfId="0" applyNumberFormat="1" applyFont="1" applyBorder="1" applyAlignment="1">
      <alignment horizontal="right" vertical="center"/>
    </xf>
    <xf numFmtId="0" fontId="7" fillId="0" borderId="0" xfId="0" applyFont="1" applyAlignment="1">
      <alignment horizontal="left" vertical="center"/>
    </xf>
    <xf numFmtId="0" fontId="1" fillId="0" borderId="66" xfId="1"/>
    <xf numFmtId="42" fontId="1" fillId="0" borderId="66" xfId="1" applyNumberFormat="1"/>
    <xf numFmtId="49" fontId="1" fillId="0" borderId="66" xfId="1" applyNumberFormat="1"/>
    <xf numFmtId="42" fontId="1" fillId="0" borderId="67" xfId="1" applyNumberFormat="1" applyBorder="1"/>
    <xf numFmtId="42" fontId="1" fillId="0" borderId="68" xfId="1" applyNumberFormat="1" applyBorder="1"/>
    <xf numFmtId="49" fontId="1" fillId="0" borderId="69" xfId="1" applyNumberFormat="1" applyBorder="1"/>
    <xf numFmtId="42" fontId="1" fillId="0" borderId="70" xfId="1" applyNumberFormat="1" applyBorder="1"/>
    <xf numFmtId="42" fontId="1" fillId="0" borderId="71" xfId="1" applyNumberFormat="1" applyBorder="1"/>
    <xf numFmtId="49" fontId="1" fillId="0" borderId="72" xfId="1" applyNumberFormat="1" applyBorder="1"/>
    <xf numFmtId="49" fontId="8" fillId="0" borderId="75" xfId="1" applyNumberFormat="1" applyFont="1" applyBorder="1"/>
    <xf numFmtId="0" fontId="12" fillId="0" borderId="66" xfId="2" applyFont="1" applyAlignment="1">
      <alignment vertical="center"/>
    </xf>
    <xf numFmtId="0" fontId="13" fillId="0" borderId="66" xfId="2" applyFont="1" applyAlignment="1">
      <alignment vertical="center"/>
    </xf>
    <xf numFmtId="3" fontId="12" fillId="0" borderId="66" xfId="2" applyNumberFormat="1" applyFont="1" applyAlignment="1">
      <alignment vertical="center"/>
    </xf>
    <xf numFmtId="0" fontId="13" fillId="0" borderId="66" xfId="2" applyFont="1" applyAlignment="1" applyProtection="1">
      <alignment vertical="center"/>
      <protection hidden="1"/>
    </xf>
    <xf numFmtId="0" fontId="14" fillId="0" borderId="66" xfId="2" applyFont="1" applyAlignment="1">
      <alignment vertical="center"/>
    </xf>
    <xf numFmtId="0" fontId="13" fillId="0" borderId="66" xfId="2" applyFont="1" applyAlignment="1" applyProtection="1">
      <alignment vertical="center" wrapText="1"/>
      <protection hidden="1"/>
    </xf>
    <xf numFmtId="1" fontId="13" fillId="0" borderId="76" xfId="2" applyNumberFormat="1" applyFont="1" applyBorder="1" applyAlignment="1">
      <alignment vertical="center" shrinkToFit="1"/>
    </xf>
    <xf numFmtId="49" fontId="13" fillId="0" borderId="77" xfId="2" applyNumberFormat="1" applyFont="1" applyBorder="1" applyAlignment="1">
      <alignment vertical="center" wrapText="1"/>
    </xf>
    <xf numFmtId="4" fontId="13" fillId="0" borderId="77" xfId="2" applyNumberFormat="1" applyFont="1" applyBorder="1" applyAlignment="1">
      <alignment vertical="center" shrinkToFit="1"/>
    </xf>
    <xf numFmtId="164" fontId="13" fillId="0" borderId="77" xfId="2" applyNumberFormat="1" applyFont="1" applyBorder="1" applyAlignment="1">
      <alignment vertical="center" wrapText="1" shrinkToFit="1"/>
    </xf>
    <xf numFmtId="3" fontId="13" fillId="0" borderId="77" xfId="2" applyNumberFormat="1" applyFont="1" applyBorder="1" applyAlignment="1">
      <alignment vertical="center" wrapText="1" shrinkToFit="1"/>
    </xf>
    <xf numFmtId="3" fontId="13" fillId="0" borderId="78" xfId="2" applyNumberFormat="1" applyFont="1" applyBorder="1" applyAlignment="1">
      <alignment vertical="center" wrapText="1" shrinkToFit="1"/>
    </xf>
    <xf numFmtId="3" fontId="13" fillId="0" borderId="79" xfId="2" applyNumberFormat="1" applyFont="1" applyBorder="1" applyAlignment="1">
      <alignment vertical="center" wrapText="1" shrinkToFit="1"/>
    </xf>
    <xf numFmtId="4" fontId="13" fillId="0" borderId="79" xfId="2" applyNumberFormat="1" applyFont="1" applyBorder="1" applyAlignment="1">
      <alignment vertical="center" shrinkToFit="1"/>
    </xf>
    <xf numFmtId="0" fontId="12" fillId="0" borderId="76" xfId="2" applyFont="1" applyBorder="1" applyAlignment="1">
      <alignment vertical="center"/>
    </xf>
    <xf numFmtId="49" fontId="12" fillId="3" borderId="77" xfId="2" applyNumberFormat="1" applyFont="1" applyFill="1" applyBorder="1" applyAlignment="1">
      <alignment vertical="center"/>
    </xf>
    <xf numFmtId="49" fontId="13" fillId="3" borderId="77" xfId="2" applyNumberFormat="1" applyFont="1" applyFill="1" applyBorder="1" applyAlignment="1" applyProtection="1">
      <alignment vertical="center"/>
      <protection locked="0" hidden="1"/>
    </xf>
    <xf numFmtId="0" fontId="12" fillId="3" borderId="77" xfId="2" applyFont="1" applyFill="1" applyBorder="1" applyAlignment="1">
      <alignment vertical="center"/>
    </xf>
    <xf numFmtId="3" fontId="12" fillId="3" borderId="77" xfId="2" applyNumberFormat="1" applyFont="1" applyFill="1" applyBorder="1" applyAlignment="1">
      <alignment vertical="center"/>
    </xf>
    <xf numFmtId="0" fontId="12" fillId="3" borderId="80" xfId="2" applyFont="1" applyFill="1" applyBorder="1" applyAlignment="1">
      <alignment vertical="center"/>
    </xf>
    <xf numFmtId="0" fontId="12" fillId="0" borderId="81" xfId="2" applyFont="1" applyBorder="1" applyAlignment="1" applyProtection="1">
      <alignment vertical="center"/>
      <protection hidden="1"/>
    </xf>
    <xf numFmtId="0" fontId="12" fillId="0" borderId="82" xfId="2" applyFont="1" applyBorder="1" applyAlignment="1" applyProtection="1">
      <alignment vertical="center"/>
      <protection hidden="1"/>
    </xf>
    <xf numFmtId="49" fontId="13" fillId="0" borderId="82" xfId="2" applyNumberFormat="1" applyFont="1" applyBorder="1" applyAlignment="1" applyProtection="1">
      <alignment vertical="center"/>
      <protection locked="0" hidden="1"/>
    </xf>
    <xf numFmtId="1" fontId="12" fillId="0" borderId="82" xfId="3" applyNumberFormat="1" applyFont="1" applyFill="1" applyBorder="1" applyAlignment="1" applyProtection="1">
      <alignment vertical="center"/>
      <protection locked="0"/>
    </xf>
    <xf numFmtId="3" fontId="12" fillId="0" borderId="82" xfId="3" applyNumberFormat="1" applyFont="1" applyFill="1" applyBorder="1" applyAlignment="1" applyProtection="1">
      <alignment vertical="center"/>
      <protection hidden="1"/>
    </xf>
    <xf numFmtId="3" fontId="12" fillId="0" borderId="82" xfId="2" applyNumberFormat="1" applyFont="1" applyBorder="1" applyAlignment="1">
      <alignment vertical="center"/>
    </xf>
    <xf numFmtId="3" fontId="12" fillId="0" borderId="80" xfId="2" applyNumberFormat="1" applyFont="1" applyBorder="1" applyAlignment="1">
      <alignment vertical="center"/>
    </xf>
    <xf numFmtId="1" fontId="12" fillId="0" borderId="83" xfId="3" applyNumberFormat="1" applyFont="1" applyFill="1" applyBorder="1" applyAlignment="1" applyProtection="1">
      <alignment vertical="center"/>
      <protection locked="0"/>
    </xf>
    <xf numFmtId="0" fontId="12" fillId="0" borderId="84" xfId="2" applyFont="1" applyBorder="1" applyAlignment="1" applyProtection="1">
      <alignment vertical="center"/>
      <protection hidden="1"/>
    </xf>
    <xf numFmtId="0" fontId="12" fillId="0" borderId="85" xfId="2" applyFont="1" applyBorder="1" applyAlignment="1" applyProtection="1">
      <alignment vertical="center" wrapText="1"/>
      <protection hidden="1"/>
    </xf>
    <xf numFmtId="49" fontId="12" fillId="0" borderId="85" xfId="2" applyNumberFormat="1" applyFont="1" applyBorder="1" applyAlignment="1" applyProtection="1">
      <alignment vertical="center"/>
      <protection locked="0" hidden="1"/>
    </xf>
    <xf numFmtId="0" fontId="12" fillId="0" borderId="85" xfId="2" applyFont="1" applyBorder="1" applyAlignment="1" applyProtection="1">
      <alignment vertical="center"/>
      <protection hidden="1"/>
    </xf>
    <xf numFmtId="0" fontId="12" fillId="0" borderId="85" xfId="2" applyFont="1" applyBorder="1" applyAlignment="1">
      <alignment vertical="center"/>
    </xf>
    <xf numFmtId="1" fontId="12" fillId="0" borderId="85" xfId="3" applyNumberFormat="1" applyFont="1" applyFill="1" applyBorder="1" applyAlignment="1" applyProtection="1">
      <alignment vertical="center"/>
      <protection locked="0"/>
    </xf>
    <xf numFmtId="3" fontId="12" fillId="0" borderId="85" xfId="3" applyNumberFormat="1" applyFont="1" applyFill="1" applyBorder="1" applyAlignment="1" applyProtection="1">
      <alignment vertical="center"/>
      <protection hidden="1"/>
    </xf>
    <xf numFmtId="3" fontId="12" fillId="0" borderId="85" xfId="2" applyNumberFormat="1" applyFont="1" applyBorder="1" applyAlignment="1">
      <alignment vertical="center"/>
    </xf>
    <xf numFmtId="3" fontId="12" fillId="0" borderId="86" xfId="2" applyNumberFormat="1" applyFont="1" applyBorder="1" applyAlignment="1">
      <alignment vertical="center"/>
    </xf>
    <xf numFmtId="0" fontId="12" fillId="0" borderId="85" xfId="2" applyFont="1" applyBorder="1" applyAlignment="1">
      <alignment vertical="center" wrapText="1"/>
    </xf>
    <xf numFmtId="0" fontId="15" fillId="0" borderId="85" xfId="2" applyFont="1" applyBorder="1" applyAlignment="1">
      <alignment vertical="center" wrapText="1"/>
    </xf>
    <xf numFmtId="1" fontId="12" fillId="0" borderId="85" xfId="4" applyNumberFormat="1" applyFont="1" applyFill="1" applyBorder="1" applyAlignment="1" applyProtection="1">
      <alignment vertical="center"/>
      <protection locked="0"/>
    </xf>
    <xf numFmtId="3" fontId="12" fillId="0" borderId="85" xfId="4" applyNumberFormat="1" applyFont="1" applyFill="1" applyBorder="1" applyAlignment="1" applyProtection="1">
      <alignment vertical="center"/>
      <protection hidden="1"/>
    </xf>
    <xf numFmtId="1" fontId="12" fillId="0" borderId="83" xfId="4" applyNumberFormat="1" applyFont="1" applyFill="1" applyBorder="1" applyAlignment="1" applyProtection="1">
      <alignment vertical="center"/>
      <protection locked="0"/>
    </xf>
    <xf numFmtId="49" fontId="13" fillId="0" borderId="85" xfId="2" applyNumberFormat="1" applyFont="1" applyBorder="1" applyAlignment="1" applyProtection="1">
      <alignment vertical="center"/>
      <protection locked="0" hidden="1"/>
    </xf>
    <xf numFmtId="0" fontId="12" fillId="0" borderId="85" xfId="2" applyFont="1" applyBorder="1" applyAlignment="1" applyProtection="1">
      <alignment vertical="center"/>
      <protection locked="0" hidden="1"/>
    </xf>
    <xf numFmtId="1" fontId="12" fillId="0" borderId="85" xfId="5" applyNumberFormat="1" applyFont="1" applyFill="1" applyBorder="1" applyAlignment="1" applyProtection="1">
      <alignment vertical="center"/>
      <protection locked="0"/>
    </xf>
    <xf numFmtId="165" fontId="12" fillId="0" borderId="85" xfId="5" applyNumberFormat="1" applyFont="1" applyFill="1" applyBorder="1" applyAlignment="1" applyProtection="1">
      <alignment vertical="center"/>
      <protection locked="0"/>
    </xf>
    <xf numFmtId="166" fontId="12" fillId="0" borderId="85" xfId="5" applyNumberFormat="1" applyFont="1" applyFill="1" applyBorder="1" applyAlignment="1" applyProtection="1">
      <alignment vertical="center"/>
      <protection hidden="1"/>
    </xf>
    <xf numFmtId="0" fontId="13" fillId="0" borderId="85" xfId="2" applyFont="1" applyBorder="1" applyProtection="1">
      <protection hidden="1"/>
    </xf>
    <xf numFmtId="49" fontId="12" fillId="0" borderId="85" xfId="2" applyNumberFormat="1" applyFont="1" applyBorder="1" applyProtection="1">
      <protection locked="0" hidden="1"/>
    </xf>
    <xf numFmtId="1" fontId="12" fillId="0" borderId="85" xfId="6" applyNumberFormat="1" applyFont="1" applyFill="1" applyBorder="1" applyAlignment="1" applyProtection="1">
      <alignment vertical="center"/>
      <protection locked="0"/>
    </xf>
    <xf numFmtId="3" fontId="12" fillId="0" borderId="85" xfId="6" applyNumberFormat="1" applyFont="1" applyFill="1" applyBorder="1" applyAlignment="1" applyProtection="1">
      <alignment vertical="center" textRotation="90" wrapText="1"/>
      <protection hidden="1"/>
    </xf>
    <xf numFmtId="0" fontId="12" fillId="0" borderId="68" xfId="2" applyFont="1" applyBorder="1" applyAlignment="1" applyProtection="1">
      <alignment vertical="center"/>
      <protection hidden="1"/>
    </xf>
    <xf numFmtId="49" fontId="13" fillId="0" borderId="68" xfId="2" applyNumberFormat="1" applyFont="1" applyBorder="1" applyAlignment="1" applyProtection="1">
      <alignment vertical="center"/>
      <protection locked="0" hidden="1"/>
    </xf>
    <xf numFmtId="0" fontId="12" fillId="0" borderId="68" xfId="2" applyFont="1" applyBorder="1" applyAlignment="1">
      <alignment vertical="center"/>
    </xf>
    <xf numFmtId="1" fontId="12" fillId="0" borderId="68" xfId="4" applyNumberFormat="1" applyFont="1" applyFill="1" applyBorder="1" applyAlignment="1" applyProtection="1">
      <alignment vertical="center"/>
      <protection locked="0"/>
    </xf>
    <xf numFmtId="0" fontId="12" fillId="0" borderId="68" xfId="2" applyFont="1" applyBorder="1" applyAlignment="1">
      <alignment vertical="center" wrapText="1"/>
    </xf>
    <xf numFmtId="3" fontId="12" fillId="0" borderId="68" xfId="3" applyNumberFormat="1" applyFont="1" applyFill="1" applyBorder="1" applyAlignment="1" applyProtection="1">
      <alignment vertical="center"/>
      <protection hidden="1"/>
    </xf>
    <xf numFmtId="3" fontId="12" fillId="0" borderId="68" xfId="2" applyNumberFormat="1" applyFont="1" applyBorder="1" applyAlignment="1">
      <alignment vertical="center"/>
    </xf>
    <xf numFmtId="1" fontId="12" fillId="0" borderId="68" xfId="3" applyNumberFormat="1" applyFont="1" applyFill="1" applyBorder="1" applyAlignment="1" applyProtection="1">
      <alignment vertical="center"/>
      <protection locked="0"/>
    </xf>
    <xf numFmtId="3" fontId="12" fillId="0" borderId="67" xfId="2" applyNumberFormat="1" applyFont="1" applyBorder="1" applyAlignment="1">
      <alignment vertical="center"/>
    </xf>
    <xf numFmtId="1" fontId="12" fillId="0" borderId="87" xfId="3" applyNumberFormat="1" applyFont="1" applyFill="1" applyBorder="1" applyAlignment="1" applyProtection="1">
      <alignment vertical="center"/>
      <protection locked="0"/>
    </xf>
    <xf numFmtId="0" fontId="12" fillId="0" borderId="88" xfId="2" applyFont="1" applyBorder="1" applyAlignment="1" applyProtection="1">
      <alignment vertical="center"/>
      <protection hidden="1"/>
    </xf>
    <xf numFmtId="49" fontId="13" fillId="0" borderId="88" xfId="2" applyNumberFormat="1" applyFont="1" applyBorder="1" applyAlignment="1" applyProtection="1">
      <alignment vertical="center"/>
      <protection locked="0" hidden="1"/>
    </xf>
    <xf numFmtId="0" fontId="12" fillId="0" borderId="88" xfId="2" applyFont="1" applyBorder="1" applyAlignment="1">
      <alignment vertical="center"/>
    </xf>
    <xf numFmtId="1" fontId="12" fillId="0" borderId="88" xfId="4" applyNumberFormat="1" applyFont="1" applyFill="1" applyBorder="1" applyAlignment="1" applyProtection="1">
      <alignment vertical="center"/>
      <protection locked="0"/>
    </xf>
    <xf numFmtId="0" fontId="12" fillId="0" borderId="88" xfId="2" applyFont="1" applyBorder="1" applyAlignment="1">
      <alignment vertical="center" wrapText="1"/>
    </xf>
    <xf numFmtId="3" fontId="12" fillId="0" borderId="88" xfId="3" applyNumberFormat="1" applyFont="1" applyFill="1" applyBorder="1" applyAlignment="1" applyProtection="1">
      <alignment vertical="center"/>
      <protection hidden="1"/>
    </xf>
    <xf numFmtId="3" fontId="12" fillId="0" borderId="88" xfId="2" applyNumberFormat="1" applyFont="1" applyBorder="1" applyAlignment="1">
      <alignment vertical="center"/>
    </xf>
    <xf numFmtId="3" fontId="12" fillId="0" borderId="89" xfId="2" applyNumberFormat="1" applyFont="1" applyBorder="1" applyAlignment="1">
      <alignment vertical="center"/>
    </xf>
    <xf numFmtId="1" fontId="12" fillId="0" borderId="90" xfId="3" applyNumberFormat="1" applyFont="1" applyFill="1" applyBorder="1" applyAlignment="1" applyProtection="1">
      <alignment vertical="center"/>
      <protection locked="0"/>
    </xf>
    <xf numFmtId="3" fontId="12" fillId="3" borderId="91" xfId="2" applyNumberFormat="1" applyFont="1" applyFill="1" applyBorder="1" applyAlignment="1">
      <alignment vertical="center"/>
    </xf>
    <xf numFmtId="0" fontId="12" fillId="3" borderId="92" xfId="2" applyFont="1" applyFill="1" applyBorder="1" applyAlignment="1">
      <alignment vertical="center"/>
    </xf>
    <xf numFmtId="0" fontId="12" fillId="0" borderId="82" xfId="2" applyFont="1" applyBorder="1" applyAlignment="1" applyProtection="1">
      <alignment vertical="center" wrapText="1"/>
      <protection hidden="1"/>
    </xf>
    <xf numFmtId="49" fontId="12" fillId="0" borderId="82" xfId="2" applyNumberFormat="1" applyFont="1" applyBorder="1" applyAlignment="1" applyProtection="1">
      <alignment vertical="center"/>
      <protection locked="0" hidden="1"/>
    </xf>
    <xf numFmtId="0" fontId="12" fillId="0" borderId="82" xfId="2" applyFont="1" applyBorder="1" applyAlignment="1">
      <alignment vertical="center"/>
    </xf>
    <xf numFmtId="1" fontId="12" fillId="0" borderId="93" xfId="3" applyNumberFormat="1" applyFont="1" applyFill="1" applyBorder="1" applyAlignment="1" applyProtection="1">
      <alignment vertical="center"/>
      <protection locked="0"/>
    </xf>
    <xf numFmtId="1" fontId="12" fillId="0" borderId="94" xfId="3" applyNumberFormat="1" applyFont="1" applyFill="1" applyBorder="1" applyAlignment="1" applyProtection="1">
      <alignment vertical="center"/>
      <protection locked="0"/>
    </xf>
    <xf numFmtId="0" fontId="12" fillId="0" borderId="95" xfId="2" applyFont="1" applyBorder="1" applyAlignment="1" applyProtection="1">
      <alignment vertical="center"/>
      <protection hidden="1"/>
    </xf>
    <xf numFmtId="0" fontId="12" fillId="0" borderId="71" xfId="2" applyFont="1" applyBorder="1" applyAlignment="1" applyProtection="1">
      <alignment vertical="center"/>
      <protection hidden="1"/>
    </xf>
    <xf numFmtId="49" fontId="13" fillId="0" borderId="71" xfId="2" applyNumberFormat="1" applyFont="1" applyBorder="1" applyAlignment="1" applyProtection="1">
      <alignment vertical="center"/>
      <protection locked="0" hidden="1"/>
    </xf>
    <xf numFmtId="0" fontId="12" fillId="0" borderId="71" xfId="2" applyFont="1" applyBorder="1" applyAlignment="1">
      <alignment vertical="center"/>
    </xf>
    <xf numFmtId="1" fontId="12" fillId="0" borderId="71" xfId="4" applyNumberFormat="1" applyFont="1" applyFill="1" applyBorder="1" applyAlignment="1" applyProtection="1">
      <alignment vertical="center"/>
      <protection locked="0"/>
    </xf>
    <xf numFmtId="0" fontId="12" fillId="0" borderId="71" xfId="2" applyFont="1" applyBorder="1" applyAlignment="1">
      <alignment vertical="center" wrapText="1"/>
    </xf>
    <xf numFmtId="3" fontId="12" fillId="0" borderId="71" xfId="3" applyNumberFormat="1" applyFont="1" applyFill="1" applyBorder="1" applyAlignment="1" applyProtection="1">
      <alignment vertical="center"/>
      <protection hidden="1"/>
    </xf>
    <xf numFmtId="3" fontId="12" fillId="0" borderId="71" xfId="2" applyNumberFormat="1" applyFont="1" applyBorder="1" applyAlignment="1">
      <alignment vertical="center"/>
    </xf>
    <xf numFmtId="3" fontId="12" fillId="0" borderId="70" xfId="2" applyNumberFormat="1" applyFont="1" applyBorder="1" applyAlignment="1">
      <alignment vertical="center"/>
    </xf>
    <xf numFmtId="1" fontId="12" fillId="0" borderId="96" xfId="3" applyNumberFormat="1" applyFont="1" applyFill="1" applyBorder="1" applyAlignment="1" applyProtection="1">
      <alignment vertical="center"/>
      <protection locked="0"/>
    </xf>
    <xf numFmtId="3" fontId="12" fillId="0" borderId="85" xfId="3" applyNumberFormat="1" applyFont="1" applyFill="1" applyBorder="1" applyAlignment="1" applyProtection="1">
      <alignment vertical="center"/>
      <protection locked="0"/>
    </xf>
    <xf numFmtId="0" fontId="12" fillId="0" borderId="97" xfId="2" applyFont="1" applyBorder="1" applyAlignment="1" applyProtection="1">
      <alignment vertical="center"/>
      <protection hidden="1"/>
    </xf>
    <xf numFmtId="49" fontId="13" fillId="0" borderId="97" xfId="2" applyNumberFormat="1" applyFont="1" applyBorder="1" applyAlignment="1" applyProtection="1">
      <alignment vertical="center"/>
      <protection locked="0" hidden="1"/>
    </xf>
    <xf numFmtId="0" fontId="12" fillId="0" borderId="97" xfId="2" applyFont="1" applyBorder="1" applyAlignment="1">
      <alignment vertical="center"/>
    </xf>
    <xf numFmtId="1" fontId="12" fillId="0" borderId="97" xfId="4" applyNumberFormat="1" applyFont="1" applyFill="1" applyBorder="1" applyAlignment="1" applyProtection="1">
      <alignment vertical="center"/>
      <protection locked="0"/>
    </xf>
    <xf numFmtId="0" fontId="12" fillId="0" borderId="97" xfId="2" applyFont="1" applyBorder="1" applyAlignment="1">
      <alignment vertical="center" wrapText="1"/>
    </xf>
    <xf numFmtId="3" fontId="12" fillId="0" borderId="97" xfId="3" applyNumberFormat="1" applyFont="1" applyFill="1" applyBorder="1" applyAlignment="1" applyProtection="1">
      <alignment vertical="center"/>
      <protection hidden="1"/>
    </xf>
    <xf numFmtId="3" fontId="12" fillId="0" borderId="97" xfId="2" applyNumberFormat="1" applyFont="1" applyBorder="1" applyAlignment="1">
      <alignment vertical="center"/>
    </xf>
    <xf numFmtId="1" fontId="12" fillId="0" borderId="98" xfId="3" applyNumberFormat="1" applyFont="1" applyFill="1" applyBorder="1" applyAlignment="1" applyProtection="1">
      <alignment vertical="center"/>
      <protection locked="0"/>
    </xf>
    <xf numFmtId="1" fontId="12" fillId="0" borderId="99" xfId="3" applyNumberFormat="1" applyFont="1" applyFill="1" applyBorder="1" applyAlignment="1" applyProtection="1">
      <alignment vertical="center"/>
      <protection locked="0"/>
    </xf>
    <xf numFmtId="49" fontId="12" fillId="0" borderId="68" xfId="2" applyNumberFormat="1" applyFont="1" applyBorder="1" applyProtection="1">
      <protection locked="0" hidden="1"/>
    </xf>
    <xf numFmtId="1" fontId="12" fillId="0" borderId="68" xfId="6" applyNumberFormat="1" applyFont="1" applyFill="1" applyBorder="1" applyAlignment="1" applyProtection="1">
      <alignment vertical="center"/>
      <protection locked="0"/>
    </xf>
    <xf numFmtId="49" fontId="12" fillId="3" borderId="82" xfId="2" applyNumberFormat="1" applyFont="1" applyFill="1" applyBorder="1" applyAlignment="1">
      <alignment vertical="center"/>
    </xf>
    <xf numFmtId="49" fontId="13" fillId="3" borderId="82" xfId="2" applyNumberFormat="1" applyFont="1" applyFill="1" applyBorder="1" applyAlignment="1" applyProtection="1">
      <alignment vertical="center"/>
      <protection locked="0" hidden="1"/>
    </xf>
    <xf numFmtId="0" fontId="12" fillId="3" borderId="82" xfId="2" applyFont="1" applyFill="1" applyBorder="1" applyAlignment="1">
      <alignment vertical="center"/>
    </xf>
    <xf numFmtId="3" fontId="12" fillId="3" borderId="82" xfId="2" applyNumberFormat="1" applyFont="1" applyFill="1" applyBorder="1" applyAlignment="1">
      <alignment vertical="center"/>
    </xf>
    <xf numFmtId="3" fontId="12" fillId="3" borderId="80" xfId="2" applyNumberFormat="1" applyFont="1" applyFill="1" applyBorder="1" applyAlignment="1">
      <alignment vertical="center"/>
    </xf>
    <xf numFmtId="0" fontId="12" fillId="0" borderId="71" xfId="2" applyFont="1" applyBorder="1" applyAlignment="1" applyProtection="1">
      <alignment vertical="center" wrapText="1"/>
      <protection hidden="1"/>
    </xf>
    <xf numFmtId="49" fontId="12" fillId="0" borderId="71" xfId="2" applyNumberFormat="1" applyFont="1" applyBorder="1" applyAlignment="1" applyProtection="1">
      <alignment vertical="center"/>
      <protection locked="0" hidden="1"/>
    </xf>
    <xf numFmtId="0" fontId="13" fillId="0" borderId="71" xfId="2" applyFont="1" applyBorder="1" applyProtection="1">
      <protection hidden="1"/>
    </xf>
    <xf numFmtId="1" fontId="12" fillId="0" borderId="71" xfId="3" applyNumberFormat="1" applyFont="1" applyFill="1" applyBorder="1" applyAlignment="1" applyProtection="1">
      <alignment vertical="center"/>
      <protection locked="0"/>
    </xf>
    <xf numFmtId="1" fontId="12" fillId="0" borderId="70" xfId="3" applyNumberFormat="1" applyFont="1" applyFill="1" applyBorder="1" applyAlignment="1" applyProtection="1">
      <alignment vertical="center"/>
      <protection locked="0"/>
    </xf>
    <xf numFmtId="1" fontId="12" fillId="0" borderId="100" xfId="3" applyNumberFormat="1" applyFont="1" applyFill="1" applyBorder="1" applyAlignment="1" applyProtection="1">
      <alignment vertical="center"/>
      <protection locked="0"/>
    </xf>
    <xf numFmtId="0" fontId="13" fillId="0" borderId="85" xfId="2" applyFont="1" applyBorder="1" applyAlignment="1">
      <alignment vertical="center"/>
    </xf>
    <xf numFmtId="0" fontId="12" fillId="0" borderId="93" xfId="2" applyFont="1" applyBorder="1" applyAlignment="1">
      <alignment vertical="center" wrapText="1"/>
    </xf>
    <xf numFmtId="49" fontId="18" fillId="0" borderId="85" xfId="2" applyNumberFormat="1" applyFont="1" applyBorder="1" applyAlignment="1" applyProtection="1">
      <alignment vertical="center"/>
      <protection locked="0" hidden="1"/>
    </xf>
    <xf numFmtId="1" fontId="12" fillId="0" borderId="85" xfId="2" applyNumberFormat="1" applyFont="1" applyBorder="1" applyAlignment="1">
      <alignment vertical="center" wrapText="1"/>
    </xf>
    <xf numFmtId="1" fontId="12" fillId="0" borderId="93" xfId="2" applyNumberFormat="1" applyFont="1" applyBorder="1" applyAlignment="1">
      <alignment vertical="center" wrapText="1"/>
    </xf>
    <xf numFmtId="0" fontId="18" fillId="0" borderId="66" xfId="2" applyFont="1"/>
    <xf numFmtId="0" fontId="12" fillId="0" borderId="85" xfId="2" applyFont="1" applyBorder="1" applyAlignment="1">
      <alignment vertical="top" wrapText="1"/>
    </xf>
    <xf numFmtId="3" fontId="12" fillId="0" borderId="85" xfId="5" applyNumberFormat="1" applyFont="1" applyFill="1" applyBorder="1" applyAlignment="1" applyProtection="1">
      <alignment vertical="center"/>
      <protection hidden="1"/>
    </xf>
    <xf numFmtId="0" fontId="12" fillId="0" borderId="66" xfId="2" applyFont="1"/>
    <xf numFmtId="0" fontId="13" fillId="0" borderId="85" xfId="2" applyFont="1" applyBorder="1" applyAlignment="1">
      <alignment vertical="center" wrapText="1"/>
    </xf>
    <xf numFmtId="164" fontId="12" fillId="0" borderId="85" xfId="2" applyNumberFormat="1" applyFont="1" applyBorder="1" applyAlignment="1">
      <alignment vertical="center"/>
    </xf>
    <xf numFmtId="3" fontId="12" fillId="0" borderId="85" xfId="2" applyNumberFormat="1" applyFont="1" applyBorder="1" applyAlignment="1">
      <alignment vertical="center" wrapText="1"/>
    </xf>
    <xf numFmtId="3" fontId="12" fillId="0" borderId="93" xfId="3" applyNumberFormat="1" applyFont="1" applyFill="1" applyBorder="1" applyAlignment="1" applyProtection="1">
      <alignment vertical="center"/>
      <protection locked="0"/>
    </xf>
    <xf numFmtId="3" fontId="18" fillId="0" borderId="85" xfId="2" applyNumberFormat="1" applyFont="1" applyBorder="1" applyAlignment="1">
      <alignment vertical="center"/>
    </xf>
    <xf numFmtId="1" fontId="12" fillId="0" borderId="93" xfId="5" applyNumberFormat="1" applyFont="1" applyFill="1" applyBorder="1" applyAlignment="1" applyProtection="1">
      <alignment vertical="center"/>
      <protection locked="0"/>
    </xf>
    <xf numFmtId="0" fontId="12" fillId="0" borderId="69" xfId="2" applyFont="1" applyBorder="1" applyAlignment="1" applyProtection="1">
      <alignment vertical="center"/>
      <protection hidden="1"/>
    </xf>
    <xf numFmtId="49" fontId="12" fillId="0" borderId="68" xfId="2" applyNumberFormat="1" applyFont="1" applyBorder="1" applyAlignment="1">
      <alignment vertical="center" wrapText="1"/>
    </xf>
    <xf numFmtId="4" fontId="12" fillId="0" borderId="68" xfId="2" applyNumberFormat="1" applyFont="1" applyBorder="1" applyAlignment="1">
      <alignment vertical="center" shrinkToFit="1"/>
    </xf>
    <xf numFmtId="4" fontId="12" fillId="0" borderId="101" xfId="2" applyNumberFormat="1" applyFont="1" applyBorder="1" applyAlignment="1">
      <alignment vertical="center" shrinkToFit="1"/>
    </xf>
    <xf numFmtId="164" fontId="13" fillId="0" borderId="102" xfId="2" applyNumberFormat="1" applyFont="1" applyBorder="1" applyAlignment="1">
      <alignment vertical="center" shrinkToFit="1"/>
    </xf>
    <xf numFmtId="3" fontId="13" fillId="0" borderId="103" xfId="2" applyNumberFormat="1" applyFont="1" applyBorder="1" applyAlignment="1">
      <alignment vertical="center"/>
    </xf>
    <xf numFmtId="4" fontId="12" fillId="0" borderId="103" xfId="2" applyNumberFormat="1" applyFont="1" applyBorder="1" applyAlignment="1">
      <alignment vertical="center" shrinkToFit="1"/>
    </xf>
    <xf numFmtId="3" fontId="13" fillId="0" borderId="104" xfId="2" applyNumberFormat="1" applyFont="1" applyBorder="1" applyAlignment="1">
      <alignment vertical="center"/>
    </xf>
    <xf numFmtId="4" fontId="12" fillId="0" borderId="100" xfId="2" applyNumberFormat="1" applyFont="1" applyBorder="1" applyAlignment="1">
      <alignment vertical="center" shrinkToFit="1"/>
    </xf>
    <xf numFmtId="0" fontId="12" fillId="0" borderId="105" xfId="2" applyFont="1" applyBorder="1" applyAlignment="1">
      <alignment vertical="center"/>
    </xf>
    <xf numFmtId="0" fontId="12" fillId="0" borderId="106" xfId="2" applyFont="1" applyBorder="1" applyAlignment="1">
      <alignment vertical="center"/>
    </xf>
    <xf numFmtId="3" fontId="13" fillId="0" borderId="107" xfId="2" applyNumberFormat="1" applyFont="1" applyBorder="1" applyAlignment="1">
      <alignment vertical="center"/>
    </xf>
    <xf numFmtId="0" fontId="12" fillId="0" borderId="107" xfId="2" applyFont="1" applyBorder="1" applyAlignment="1">
      <alignment vertical="center"/>
    </xf>
    <xf numFmtId="3" fontId="12" fillId="0" borderId="108" xfId="2" applyNumberFormat="1" applyFont="1" applyBorder="1" applyAlignment="1">
      <alignment vertical="center"/>
    </xf>
    <xf numFmtId="0" fontId="12" fillId="0" borderId="109" xfId="2" applyFont="1" applyBorder="1" applyAlignment="1">
      <alignment vertical="center"/>
    </xf>
    <xf numFmtId="0" fontId="22" fillId="0" borderId="66" xfId="7" applyNumberFormat="1" applyFont="1" applyFill="1" applyBorder="1" applyAlignment="1" applyProtection="1"/>
    <xf numFmtId="0" fontId="23" fillId="0" borderId="44" xfId="7" applyNumberFormat="1" applyFont="1" applyFill="1" applyBorder="1" applyAlignment="1" applyProtection="1">
      <alignment horizontal="left" vertical="center"/>
    </xf>
    <xf numFmtId="0" fontId="23" fillId="0" borderId="66" xfId="7" applyNumberFormat="1" applyFont="1" applyFill="1" applyBorder="1" applyAlignment="1" applyProtection="1">
      <alignment horizontal="left" vertical="center"/>
    </xf>
    <xf numFmtId="0" fontId="23" fillId="0" borderId="20" xfId="7" applyNumberFormat="1" applyFont="1" applyFill="1" applyBorder="1" applyAlignment="1" applyProtection="1">
      <alignment horizontal="left" vertical="center"/>
    </xf>
    <xf numFmtId="0" fontId="23" fillId="0" borderId="24" xfId="7" applyNumberFormat="1" applyFont="1" applyFill="1" applyBorder="1" applyAlignment="1" applyProtection="1">
      <alignment horizontal="left" vertical="center"/>
    </xf>
    <xf numFmtId="0" fontId="26" fillId="4" borderId="14" xfId="7" applyNumberFormat="1" applyFont="1" applyFill="1" applyBorder="1" applyAlignment="1" applyProtection="1">
      <alignment horizontal="center" vertical="center"/>
    </xf>
    <xf numFmtId="0" fontId="26" fillId="4" borderId="15" xfId="7" applyNumberFormat="1" applyFont="1" applyFill="1" applyBorder="1" applyAlignment="1" applyProtection="1">
      <alignment horizontal="center" vertical="center"/>
    </xf>
    <xf numFmtId="0" fontId="28" fillId="0" borderId="16" xfId="7" applyNumberFormat="1" applyFont="1" applyFill="1" applyBorder="1" applyAlignment="1" applyProtection="1">
      <alignment horizontal="left" vertical="center"/>
    </xf>
    <xf numFmtId="0" fontId="29" fillId="0" borderId="18" xfId="7" applyNumberFormat="1" applyFont="1" applyFill="1" applyBorder="1" applyAlignment="1" applyProtection="1">
      <alignment horizontal="left" vertical="center"/>
    </xf>
    <xf numFmtId="4" fontId="29" fillId="0" borderId="18" xfId="7" applyNumberFormat="1" applyFont="1" applyFill="1" applyBorder="1" applyAlignment="1" applyProtection="1">
      <alignment horizontal="right" vertical="center"/>
    </xf>
    <xf numFmtId="0" fontId="29" fillId="0" borderId="18" xfId="7" applyNumberFormat="1" applyFont="1" applyFill="1" applyBorder="1" applyAlignment="1" applyProtection="1">
      <alignment horizontal="right" vertical="center"/>
    </xf>
    <xf numFmtId="0" fontId="28" fillId="0" borderId="19" xfId="7" applyNumberFormat="1" applyFont="1" applyFill="1" applyBorder="1" applyAlignment="1" applyProtection="1">
      <alignment horizontal="left" vertical="center"/>
    </xf>
    <xf numFmtId="4" fontId="29" fillId="0" borderId="45" xfId="7" applyNumberFormat="1" applyFont="1" applyFill="1" applyBorder="1" applyAlignment="1" applyProtection="1">
      <alignment horizontal="right" vertical="center"/>
    </xf>
    <xf numFmtId="0" fontId="29" fillId="0" borderId="45" xfId="7" applyNumberFormat="1" applyFont="1" applyFill="1" applyBorder="1" applyAlignment="1" applyProtection="1">
      <alignment horizontal="right" vertical="center"/>
    </xf>
    <xf numFmtId="4" fontId="29" fillId="0" borderId="15" xfId="7" applyNumberFormat="1" applyFont="1" applyFill="1" applyBorder="1" applyAlignment="1" applyProtection="1">
      <alignment horizontal="right" vertical="center"/>
    </xf>
    <xf numFmtId="4" fontId="29" fillId="0" borderId="63" xfId="7" applyNumberFormat="1" applyFont="1" applyFill="1" applyBorder="1" applyAlignment="1" applyProtection="1">
      <alignment horizontal="right" vertical="center"/>
    </xf>
    <xf numFmtId="4" fontId="28" fillId="4" borderId="15" xfId="7" applyNumberFormat="1" applyFont="1" applyFill="1" applyBorder="1" applyAlignment="1" applyProtection="1">
      <alignment horizontal="right" vertical="center"/>
    </xf>
    <xf numFmtId="4" fontId="28" fillId="4" borderId="18" xfId="7" applyNumberFormat="1" applyFont="1" applyFill="1" applyBorder="1" applyAlignment="1" applyProtection="1">
      <alignment horizontal="right" vertical="center"/>
    </xf>
    <xf numFmtId="0" fontId="30" fillId="0" borderId="66" xfId="7" applyNumberFormat="1" applyFont="1" applyFill="1" applyBorder="1" applyAlignment="1" applyProtection="1">
      <alignment horizontal="left" vertical="center"/>
    </xf>
    <xf numFmtId="4" fontId="24" fillId="4" borderId="66" xfId="7" applyNumberFormat="1" applyFont="1" applyFill="1" applyBorder="1" applyAlignment="1" applyProtection="1">
      <alignment horizontal="right" vertical="center"/>
    </xf>
    <xf numFmtId="0" fontId="24" fillId="0" borderId="46" xfId="7" applyNumberFormat="1" applyFont="1" applyFill="1" applyBorder="1" applyAlignment="1" applyProtection="1">
      <alignment horizontal="left" vertical="center"/>
    </xf>
    <xf numFmtId="0" fontId="24" fillId="0" borderId="49" xfId="7" applyNumberFormat="1" applyFont="1" applyFill="1" applyBorder="1" applyAlignment="1" applyProtection="1">
      <alignment horizontal="left" vertical="center"/>
    </xf>
    <xf numFmtId="0" fontId="24" fillId="0" borderId="49" xfId="7" applyNumberFormat="1" applyFont="1" applyFill="1" applyBorder="1" applyAlignment="1" applyProtection="1">
      <alignment horizontal="center" vertical="center"/>
    </xf>
    <xf numFmtId="0" fontId="24" fillId="0" borderId="50" xfId="7" applyNumberFormat="1" applyFont="1" applyFill="1" applyBorder="1" applyAlignment="1" applyProtection="1">
      <alignment horizontal="center" vertical="center"/>
      <protection locked="0"/>
    </xf>
    <xf numFmtId="0" fontId="24" fillId="0" borderId="110" xfId="7" applyNumberFormat="1" applyFont="1" applyFill="1" applyBorder="1" applyAlignment="1" applyProtection="1">
      <alignment horizontal="center" vertical="center"/>
      <protection locked="0"/>
    </xf>
    <xf numFmtId="0" fontId="22" fillId="0" borderId="45" xfId="7" applyNumberFormat="1" applyFont="1" applyFill="1" applyBorder="1" applyAlignment="1" applyProtection="1"/>
    <xf numFmtId="0" fontId="24" fillId="4" borderId="66" xfId="7" applyNumberFormat="1" applyFont="1" applyFill="1" applyBorder="1" applyAlignment="1" applyProtection="1">
      <alignment horizontal="right" vertical="center"/>
    </xf>
    <xf numFmtId="0" fontId="24" fillId="0" borderId="66" xfId="7" applyNumberFormat="1" applyFont="1" applyFill="1" applyBorder="1" applyAlignment="1" applyProtection="1">
      <alignment horizontal="right" vertical="center"/>
    </xf>
    <xf numFmtId="0" fontId="23" fillId="0" borderId="55" xfId="7" applyNumberFormat="1" applyFont="1" applyFill="1" applyBorder="1" applyAlignment="1" applyProtection="1">
      <alignment horizontal="left" vertical="center"/>
    </xf>
    <xf numFmtId="0" fontId="23" fillId="0" borderId="63" xfId="7" applyNumberFormat="1" applyFont="1" applyFill="1" applyBorder="1" applyAlignment="1" applyProtection="1">
      <alignment horizontal="left" vertical="center"/>
    </xf>
    <xf numFmtId="0" fontId="24" fillId="0" borderId="63" xfId="7" applyNumberFormat="1" applyFont="1" applyFill="1" applyBorder="1" applyAlignment="1" applyProtection="1">
      <alignment horizontal="center" vertical="center"/>
      <protection locked="0"/>
    </xf>
    <xf numFmtId="0" fontId="24" fillId="0" borderId="62" xfId="7" applyNumberFormat="1" applyFont="1" applyFill="1" applyBorder="1" applyAlignment="1" applyProtection="1">
      <alignment horizontal="center" vertical="center"/>
      <protection locked="0"/>
    </xf>
    <xf numFmtId="0" fontId="23" fillId="4" borderId="44" xfId="7" applyNumberFormat="1" applyFont="1" applyFill="1" applyBorder="1" applyAlignment="1" applyProtection="1">
      <alignment horizontal="left" vertical="center"/>
    </xf>
    <xf numFmtId="0" fontId="24" fillId="4" borderId="66" xfId="7" applyNumberFormat="1" applyFont="1" applyFill="1" applyBorder="1" applyAlignment="1" applyProtection="1">
      <alignment horizontal="left" vertical="center"/>
    </xf>
    <xf numFmtId="0" fontId="23" fillId="4" borderId="66" xfId="7" applyNumberFormat="1" applyFont="1" applyFill="1" applyBorder="1" applyAlignment="1" applyProtection="1">
      <alignment horizontal="left" vertical="center"/>
    </xf>
    <xf numFmtId="0" fontId="23" fillId="4" borderId="66" xfId="7" applyNumberFormat="1" applyFont="1" applyFill="1" applyBorder="1" applyAlignment="1" applyProtection="1">
      <alignment horizontal="left" vertical="center"/>
      <protection locked="0"/>
    </xf>
    <xf numFmtId="4" fontId="24" fillId="4" borderId="66" xfId="7" applyNumberFormat="1" applyFont="1" applyFill="1" applyBorder="1" applyAlignment="1" applyProtection="1">
      <alignment horizontal="right" vertical="center"/>
      <protection locked="0"/>
    </xf>
    <xf numFmtId="4" fontId="23" fillId="0" borderId="66" xfId="7" applyNumberFormat="1" applyFont="1" applyFill="1" applyBorder="1" applyAlignment="1" applyProtection="1">
      <alignment horizontal="right" vertical="center"/>
    </xf>
    <xf numFmtId="4" fontId="23" fillId="0" borderId="66" xfId="7" applyNumberFormat="1" applyFont="1" applyFill="1" applyBorder="1" applyAlignment="1" applyProtection="1">
      <alignment horizontal="right" vertical="center"/>
      <protection locked="0"/>
    </xf>
    <xf numFmtId="0" fontId="23" fillId="0" borderId="66" xfId="7" applyNumberFormat="1" applyFont="1" applyFill="1" applyBorder="1" applyAlignment="1" applyProtection="1">
      <alignment horizontal="right" vertical="center"/>
    </xf>
    <xf numFmtId="4" fontId="23" fillId="0" borderId="24" xfId="7" applyNumberFormat="1" applyFont="1" applyFill="1" applyBorder="1" applyAlignment="1" applyProtection="1">
      <alignment horizontal="right" vertical="center"/>
    </xf>
    <xf numFmtId="4" fontId="23" fillId="0" borderId="24" xfId="7" applyNumberFormat="1" applyFont="1" applyFill="1" applyBorder="1" applyAlignment="1" applyProtection="1">
      <alignment horizontal="right" vertical="center"/>
      <protection locked="0"/>
    </xf>
    <xf numFmtId="0" fontId="22" fillId="0" borderId="24" xfId="7" applyNumberFormat="1" applyFont="1" applyFill="1" applyBorder="1" applyAlignment="1" applyProtection="1"/>
    <xf numFmtId="0" fontId="22" fillId="0" borderId="18" xfId="7" applyNumberFormat="1" applyFont="1" applyFill="1" applyBorder="1" applyAlignment="1" applyProtection="1"/>
    <xf numFmtId="0" fontId="22" fillId="0" borderId="66" xfId="7" applyNumberFormat="1" applyFont="1" applyFill="1" applyBorder="1" applyAlignment="1" applyProtection="1">
      <protection locked="0"/>
    </xf>
    <xf numFmtId="4" fontId="24" fillId="0" borderId="66" xfId="7" applyNumberFormat="1" applyFont="1" applyFill="1" applyBorder="1" applyAlignment="1" applyProtection="1">
      <alignment horizontal="right" vertical="center"/>
      <protection locked="0"/>
    </xf>
    <xf numFmtId="49" fontId="10" fillId="0" borderId="66" xfId="1" applyNumberFormat="1" applyFont="1" applyAlignment="1">
      <alignment horizontal="center" wrapText="1"/>
    </xf>
    <xf numFmtId="49" fontId="9" fillId="0" borderId="66" xfId="1" applyNumberFormat="1" applyFont="1" applyAlignment="1">
      <alignment horizontal="center"/>
    </xf>
    <xf numFmtId="49" fontId="10" fillId="0" borderId="66" xfId="1" applyNumberFormat="1" applyFont="1" applyAlignment="1">
      <alignment horizontal="center" vertical="top" wrapText="1"/>
    </xf>
    <xf numFmtId="0" fontId="21" fillId="0" borderId="66" xfId="7" applyNumberFormat="1" applyFont="1" applyFill="1" applyBorder="1" applyAlignment="1" applyProtection="1">
      <alignment horizontal="center" vertical="center" wrapText="1"/>
    </xf>
    <xf numFmtId="0" fontId="21" fillId="0" borderId="66" xfId="7" applyNumberFormat="1" applyFont="1" applyFill="1" applyBorder="1" applyAlignment="1" applyProtection="1">
      <alignment horizontal="center" vertical="center"/>
    </xf>
    <xf numFmtId="0" fontId="23" fillId="0" borderId="2" xfId="7" applyNumberFormat="1" applyFont="1" applyFill="1" applyBorder="1" applyAlignment="1" applyProtection="1">
      <alignment horizontal="left" vertical="center" wrapText="1"/>
    </xf>
    <xf numFmtId="0" fontId="23" fillId="0" borderId="3" xfId="7" applyNumberFormat="1" applyFont="1" applyFill="1" applyBorder="1" applyAlignment="1" applyProtection="1">
      <alignment horizontal="left" vertical="center"/>
    </xf>
    <xf numFmtId="0" fontId="23" fillId="0" borderId="44" xfId="7" applyNumberFormat="1" applyFont="1" applyFill="1" applyBorder="1" applyAlignment="1" applyProtection="1">
      <alignment horizontal="left" vertical="center"/>
    </xf>
    <xf numFmtId="0" fontId="23" fillId="0" borderId="66" xfId="7" applyNumberFormat="1" applyFont="1" applyFill="1" applyBorder="1" applyAlignment="1" applyProtection="1">
      <alignment horizontal="left" vertical="center"/>
    </xf>
    <xf numFmtId="0" fontId="24" fillId="0" borderId="3" xfId="7" applyNumberFormat="1" applyFont="1" applyFill="1" applyBorder="1" applyAlignment="1" applyProtection="1">
      <alignment horizontal="left" vertical="center" wrapText="1"/>
    </xf>
    <xf numFmtId="0" fontId="24" fillId="0" borderId="3" xfId="7" applyNumberFormat="1" applyFont="1" applyFill="1" applyBorder="1" applyAlignment="1" applyProtection="1">
      <alignment horizontal="left" vertical="center"/>
    </xf>
    <xf numFmtId="0" fontId="24" fillId="0" borderId="66" xfId="7" applyNumberFormat="1" applyFont="1" applyFill="1" applyBorder="1" applyAlignment="1" applyProtection="1">
      <alignment horizontal="left" vertical="center"/>
    </xf>
    <xf numFmtId="0" fontId="23" fillId="0" borderId="3" xfId="7" applyNumberFormat="1" applyFont="1" applyFill="1" applyBorder="1" applyAlignment="1" applyProtection="1">
      <alignment horizontal="left" vertical="center" wrapText="1"/>
    </xf>
    <xf numFmtId="0" fontId="23" fillId="0" borderId="4" xfId="7" applyNumberFormat="1" applyFont="1" applyFill="1" applyBorder="1" applyAlignment="1" applyProtection="1">
      <alignment horizontal="left" vertical="center"/>
    </xf>
    <xf numFmtId="0" fontId="23" fillId="0" borderId="45" xfId="7" applyNumberFormat="1" applyFont="1" applyFill="1" applyBorder="1" applyAlignment="1" applyProtection="1">
      <alignment horizontal="left" vertical="center"/>
    </xf>
    <xf numFmtId="0" fontId="23" fillId="0" borderId="44" xfId="7" applyNumberFormat="1" applyFont="1" applyFill="1" applyBorder="1" applyAlignment="1" applyProtection="1">
      <alignment horizontal="left" vertical="center" wrapText="1"/>
    </xf>
    <xf numFmtId="0" fontId="23" fillId="0" borderId="66" xfId="7" applyNumberFormat="1" applyFont="1" applyFill="1" applyBorder="1" applyAlignment="1" applyProtection="1">
      <alignment horizontal="left" vertical="center" wrapText="1"/>
    </xf>
    <xf numFmtId="0" fontId="23" fillId="0" borderId="45" xfId="7" applyNumberFormat="1" applyFont="1" applyFill="1" applyBorder="1" applyAlignment="1" applyProtection="1">
      <alignment horizontal="left" vertical="center" wrapText="1"/>
    </xf>
    <xf numFmtId="0" fontId="23" fillId="0" borderId="18" xfId="7" applyNumberFormat="1" applyFont="1" applyFill="1" applyBorder="1" applyAlignment="1" applyProtection="1">
      <alignment horizontal="left" vertical="center"/>
    </xf>
    <xf numFmtId="1" fontId="23" fillId="0" borderId="45" xfId="7" applyNumberFormat="1" applyFont="1" applyFill="1" applyBorder="1" applyAlignment="1" applyProtection="1">
      <alignment horizontal="left" vertical="center"/>
    </xf>
    <xf numFmtId="0" fontId="23" fillId="0" borderId="20" xfId="7" applyNumberFormat="1" applyFont="1" applyFill="1" applyBorder="1" applyAlignment="1" applyProtection="1">
      <alignment horizontal="left" vertical="center"/>
    </xf>
    <xf numFmtId="0" fontId="23" fillId="0" borderId="24" xfId="7" applyNumberFormat="1" applyFont="1" applyFill="1" applyBorder="1" applyAlignment="1" applyProtection="1">
      <alignment horizontal="left" vertical="center"/>
    </xf>
    <xf numFmtId="0" fontId="25" fillId="0" borderId="66" xfId="7" applyNumberFormat="1" applyFont="1" applyFill="1" applyBorder="1" applyAlignment="1" applyProtection="1">
      <alignment horizontal="center" vertical="center"/>
    </xf>
    <xf numFmtId="0" fontId="27" fillId="0" borderId="23" xfId="7" applyNumberFormat="1" applyFont="1" applyFill="1" applyBorder="1" applyAlignment="1" applyProtection="1">
      <alignment horizontal="left" vertical="center"/>
    </xf>
    <xf numFmtId="0" fontId="27" fillId="0" borderId="15" xfId="7" applyNumberFormat="1" applyFont="1" applyFill="1" applyBorder="1" applyAlignment="1" applyProtection="1">
      <alignment horizontal="left" vertical="center"/>
    </xf>
    <xf numFmtId="0" fontId="29" fillId="0" borderId="24" xfId="7" applyNumberFormat="1" applyFont="1" applyFill="1" applyBorder="1" applyAlignment="1" applyProtection="1">
      <alignment horizontal="left" vertical="center"/>
    </xf>
    <xf numFmtId="0" fontId="29" fillId="0" borderId="18" xfId="7" applyNumberFormat="1" applyFont="1" applyFill="1" applyBorder="1" applyAlignment="1" applyProtection="1">
      <alignment horizontal="left" vertical="center"/>
    </xf>
    <xf numFmtId="0" fontId="28" fillId="0" borderId="20" xfId="7" applyNumberFormat="1" applyFont="1" applyFill="1" applyBorder="1" applyAlignment="1" applyProtection="1">
      <alignment horizontal="left" vertical="center"/>
    </xf>
    <xf numFmtId="0" fontId="28" fillId="0" borderId="18" xfId="7" applyNumberFormat="1" applyFont="1" applyFill="1" applyBorder="1" applyAlignment="1" applyProtection="1">
      <alignment horizontal="left" vertical="center"/>
    </xf>
    <xf numFmtId="0" fontId="28" fillId="4" borderId="20" xfId="7" applyNumberFormat="1" applyFont="1" applyFill="1" applyBorder="1" applyAlignment="1" applyProtection="1">
      <alignment horizontal="left" vertical="center"/>
    </xf>
    <xf numFmtId="0" fontId="28" fillId="4" borderId="24" xfId="7" applyNumberFormat="1" applyFont="1" applyFill="1" applyBorder="1" applyAlignment="1" applyProtection="1">
      <alignment horizontal="left" vertical="center"/>
    </xf>
    <xf numFmtId="0" fontId="28" fillId="4" borderId="23" xfId="7" applyNumberFormat="1" applyFont="1" applyFill="1" applyBorder="1" applyAlignment="1" applyProtection="1">
      <alignment horizontal="left" vertical="center"/>
    </xf>
    <xf numFmtId="0" fontId="28" fillId="0" borderId="44" xfId="7" applyNumberFormat="1" applyFont="1" applyFill="1" applyBorder="1" applyAlignment="1" applyProtection="1">
      <alignment horizontal="left" vertical="center"/>
    </xf>
    <xf numFmtId="0" fontId="28" fillId="0" borderId="45" xfId="7" applyNumberFormat="1" applyFont="1" applyFill="1" applyBorder="1" applyAlignment="1" applyProtection="1">
      <alignment horizontal="left" vertical="center"/>
    </xf>
    <xf numFmtId="0" fontId="29" fillId="0" borderId="66" xfId="7" applyNumberFormat="1" applyFont="1" applyFill="1" applyBorder="1" applyAlignment="1" applyProtection="1">
      <alignment horizontal="left" vertical="center"/>
    </xf>
    <xf numFmtId="0" fontId="29" fillId="0" borderId="45" xfId="7" applyNumberFormat="1" applyFont="1" applyFill="1" applyBorder="1" applyAlignment="1" applyProtection="1">
      <alignment horizontal="left" vertical="center"/>
    </xf>
    <xf numFmtId="0" fontId="28" fillId="0" borderId="21" xfId="7" applyNumberFormat="1" applyFont="1" applyFill="1" applyBorder="1" applyAlignment="1" applyProtection="1">
      <alignment horizontal="left" vertical="center"/>
    </xf>
    <xf numFmtId="0" fontId="28" fillId="0" borderId="15" xfId="7" applyNumberFormat="1" applyFont="1" applyFill="1" applyBorder="1" applyAlignment="1" applyProtection="1">
      <alignment horizontal="left" vertical="center"/>
    </xf>
    <xf numFmtId="0" fontId="28" fillId="0" borderId="23" xfId="7" applyNumberFormat="1" applyFont="1" applyFill="1" applyBorder="1" applyAlignment="1" applyProtection="1">
      <alignment horizontal="left" vertical="center"/>
    </xf>
    <xf numFmtId="0" fontId="28" fillId="0" borderId="24" xfId="7" applyNumberFormat="1" applyFont="1" applyFill="1" applyBorder="1" applyAlignment="1" applyProtection="1">
      <alignment horizontal="left" vertical="center"/>
    </xf>
    <xf numFmtId="0" fontId="28" fillId="4" borderId="21" xfId="7" applyNumberFormat="1" applyFont="1" applyFill="1" applyBorder="1" applyAlignment="1" applyProtection="1">
      <alignment horizontal="left" vertical="center"/>
    </xf>
    <xf numFmtId="0" fontId="29" fillId="0" borderId="25" xfId="7" applyNumberFormat="1" applyFont="1" applyFill="1" applyBorder="1" applyAlignment="1" applyProtection="1">
      <alignment horizontal="left" vertical="center"/>
    </xf>
    <xf numFmtId="0" fontId="29" fillId="0" borderId="50" xfId="7" applyNumberFormat="1" applyFont="1" applyFill="1" applyBorder="1" applyAlignment="1" applyProtection="1">
      <alignment horizontal="left" vertical="center"/>
    </xf>
    <xf numFmtId="0" fontId="29" fillId="0" borderId="26" xfId="7" applyNumberFormat="1" applyFont="1" applyFill="1" applyBorder="1" applyAlignment="1" applyProtection="1">
      <alignment horizontal="left" vertical="center"/>
    </xf>
    <xf numFmtId="0" fontId="29" fillId="0" borderId="27" xfId="7" applyNumberFormat="1" applyFont="1" applyFill="1" applyBorder="1" applyAlignment="1" applyProtection="1">
      <alignment horizontal="left" vertical="center"/>
    </xf>
    <xf numFmtId="0" fontId="29" fillId="0" borderId="28" xfId="7" applyNumberFormat="1" applyFont="1" applyFill="1" applyBorder="1" applyAlignment="1" applyProtection="1">
      <alignment horizontal="left" vertical="center"/>
    </xf>
    <xf numFmtId="0" fontId="29" fillId="0" borderId="29" xfId="7" applyNumberFormat="1" applyFont="1" applyFill="1" applyBorder="1" applyAlignment="1" applyProtection="1">
      <alignment horizontal="left" vertical="center"/>
    </xf>
    <xf numFmtId="0" fontId="29" fillId="0" borderId="64" xfId="7" applyNumberFormat="1" applyFont="1" applyFill="1" applyBorder="1" applyAlignment="1" applyProtection="1">
      <alignment horizontal="left" vertical="center"/>
    </xf>
    <xf numFmtId="0" fontId="29" fillId="0" borderId="62" xfId="7" applyNumberFormat="1" applyFont="1" applyFill="1" applyBorder="1" applyAlignment="1" applyProtection="1">
      <alignment horizontal="left" vertical="center"/>
    </xf>
    <xf numFmtId="0" fontId="23" fillId="0" borderId="66" xfId="7" applyNumberFormat="1" applyFont="1" applyFill="1" applyBorder="1" applyAlignment="1" applyProtection="1">
      <alignment horizontal="left" vertical="center"/>
      <protection locked="0"/>
    </xf>
    <xf numFmtId="0" fontId="23" fillId="0" borderId="66" xfId="7" applyNumberFormat="1" applyFont="1" applyFill="1" applyBorder="1" applyAlignment="1" applyProtection="1">
      <alignment horizontal="left" vertical="center" wrapText="1"/>
      <protection locked="0"/>
    </xf>
    <xf numFmtId="0" fontId="23" fillId="0" borderId="3" xfId="7" applyNumberFormat="1" applyFont="1" applyFill="1" applyBorder="1" applyAlignment="1" applyProtection="1">
      <alignment horizontal="left" vertical="center"/>
      <protection locked="0"/>
    </xf>
    <xf numFmtId="0" fontId="23" fillId="0" borderId="3" xfId="7" applyNumberFormat="1" applyFont="1" applyFill="1" applyBorder="1" applyAlignment="1" applyProtection="1">
      <alignment horizontal="left" vertical="center" wrapText="1"/>
      <protection locked="0"/>
    </xf>
    <xf numFmtId="0" fontId="24" fillId="0" borderId="50" xfId="7" applyNumberFormat="1" applyFont="1" applyFill="1" applyBorder="1" applyAlignment="1" applyProtection="1">
      <alignment horizontal="left" vertical="center"/>
    </xf>
    <xf numFmtId="0" fontId="24" fillId="0" borderId="49" xfId="7" applyNumberFormat="1" applyFont="1" applyFill="1" applyBorder="1" applyAlignment="1" applyProtection="1">
      <alignment horizontal="left" vertical="center"/>
    </xf>
    <xf numFmtId="0" fontId="24" fillId="0" borderId="64" xfId="7" applyNumberFormat="1" applyFont="1" applyFill="1" applyBorder="1" applyAlignment="1" applyProtection="1">
      <alignment horizontal="left" vertical="center"/>
    </xf>
    <xf numFmtId="0" fontId="24" fillId="0" borderId="63" xfId="7" applyNumberFormat="1" applyFont="1" applyFill="1" applyBorder="1" applyAlignment="1" applyProtection="1">
      <alignment horizontal="left" vertical="center"/>
    </xf>
    <xf numFmtId="0" fontId="24" fillId="4" borderId="66" xfId="7" applyNumberFormat="1" applyFont="1" applyFill="1" applyBorder="1" applyAlignment="1" applyProtection="1">
      <alignment horizontal="left" vertical="center" wrapText="1"/>
    </xf>
    <xf numFmtId="0" fontId="24" fillId="4" borderId="66" xfId="7" applyNumberFormat="1" applyFont="1" applyFill="1" applyBorder="1" applyAlignment="1" applyProtection="1">
      <alignment horizontal="left" vertical="center"/>
    </xf>
    <xf numFmtId="0" fontId="23" fillId="0" borderId="24" xfId="7" applyNumberFormat="1" applyFont="1" applyFill="1" applyBorder="1" applyAlignment="1" applyProtection="1">
      <alignment horizontal="left" vertical="center" wrapText="1"/>
    </xf>
    <xf numFmtId="0" fontId="13" fillId="0" borderId="66" xfId="2" applyFont="1" applyAlignment="1" applyProtection="1">
      <alignment vertical="center"/>
      <protection hidden="1"/>
    </xf>
    <xf numFmtId="0" fontId="14" fillId="0" borderId="66" xfId="2" applyFont="1" applyAlignment="1">
      <alignment vertical="center"/>
    </xf>
    <xf numFmtId="3" fontId="13" fillId="0" borderId="85" xfId="4" applyNumberFormat="1" applyFont="1" applyFill="1" applyBorder="1" applyAlignment="1" applyProtection="1">
      <alignment vertical="center" textRotation="90"/>
      <protection hidden="1"/>
    </xf>
    <xf numFmtId="0" fontId="16" fillId="0" borderId="85" xfId="2" applyFont="1" applyBorder="1" applyAlignment="1">
      <alignment vertical="center" textRotation="90"/>
    </xf>
    <xf numFmtId="3" fontId="12" fillId="0" borderId="85" xfId="3" applyNumberFormat="1" applyFont="1" applyFill="1" applyBorder="1" applyAlignment="1" applyProtection="1">
      <alignment vertical="center" textRotation="90"/>
      <protection hidden="1"/>
    </xf>
    <xf numFmtId="0" fontId="11" fillId="0" borderId="85" xfId="2" applyBorder="1" applyAlignment="1">
      <alignment textRotation="90"/>
    </xf>
    <xf numFmtId="0" fontId="11" fillId="0" borderId="85" xfId="2" applyBorder="1"/>
    <xf numFmtId="1" fontId="12" fillId="0" borderId="85" xfId="3" applyNumberFormat="1" applyFont="1" applyFill="1" applyBorder="1" applyAlignment="1" applyProtection="1">
      <alignment vertical="center" textRotation="90" wrapText="1"/>
      <protection locked="0"/>
    </xf>
    <xf numFmtId="0" fontId="14" fillId="0" borderId="85" xfId="2" applyFont="1" applyBorder="1" applyAlignment="1">
      <alignment textRotation="90"/>
    </xf>
    <xf numFmtId="0" fontId="3" fillId="0" borderId="20" xfId="0" applyFont="1" applyBorder="1" applyAlignment="1">
      <alignment horizontal="left" vertical="center"/>
    </xf>
    <xf numFmtId="0" fontId="3" fillId="0" borderId="24" xfId="0" applyFont="1" applyBorder="1" applyAlignment="1">
      <alignment horizontal="left" vertical="center"/>
    </xf>
    <xf numFmtId="0" fontId="3" fillId="0" borderId="18"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6" fillId="0" borderId="41" xfId="0" applyFont="1" applyBorder="1" applyAlignment="1">
      <alignment horizontal="left" vertical="center"/>
    </xf>
    <xf numFmtId="4" fontId="6" fillId="0" borderId="43" xfId="0" applyNumberFormat="1" applyFont="1" applyBorder="1" applyAlignment="1">
      <alignment horizontal="right" vertical="center"/>
    </xf>
    <xf numFmtId="0" fontId="6" fillId="0" borderId="40" xfId="0" applyFont="1" applyBorder="1" applyAlignment="1">
      <alignment horizontal="right" vertical="center"/>
    </xf>
    <xf numFmtId="0" fontId="6" fillId="0" borderId="41" xfId="0" applyFont="1" applyBorder="1" applyAlignment="1">
      <alignment horizontal="right" vertical="center"/>
    </xf>
    <xf numFmtId="0" fontId="6"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3" fillId="0" borderId="6" xfId="0" applyFont="1" applyBorder="1" applyAlignment="1">
      <alignment horizontal="left" vertical="center" wrapText="1"/>
    </xf>
    <xf numFmtId="0" fontId="3" fillId="0" borderId="9"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1" fontId="3" fillId="0" borderId="6" xfId="0" applyNumberFormat="1" applyFont="1" applyBorder="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3" fillId="0" borderId="8" xfId="0" applyFont="1" applyBorder="1" applyAlignment="1">
      <alignment horizontal="left" vertical="center" wrapText="1"/>
    </xf>
    <xf numFmtId="0" fontId="4" fillId="0" borderId="66"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6" xfId="0" applyFont="1" applyBorder="1" applyAlignment="1">
      <alignment horizontal="left" vertical="center"/>
    </xf>
    <xf numFmtId="0" fontId="4" fillId="0" borderId="57" xfId="0" applyFont="1" applyBorder="1" applyAlignment="1">
      <alignment horizontal="left" vertical="center"/>
    </xf>
    <xf numFmtId="0" fontId="4" fillId="0" borderId="58" xfId="0" applyFont="1" applyBorder="1" applyAlignment="1">
      <alignment horizontal="lef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2"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0" borderId="30" xfId="0" applyFont="1" applyBorder="1" applyAlignment="1">
      <alignment horizontal="left" vertical="center"/>
    </xf>
    <xf numFmtId="0" fontId="3" fillId="0" borderId="45" xfId="0" applyFont="1" applyBorder="1" applyAlignment="1">
      <alignment horizontal="left" vertical="center"/>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3" fillId="0" borderId="44" xfId="0" applyFont="1" applyBorder="1" applyAlignment="1">
      <alignment horizontal="left" vertical="center"/>
    </xf>
    <xf numFmtId="49" fontId="8" fillId="0" borderId="74" xfId="1" applyNumberFormat="1" applyFont="1" applyBorder="1" applyAlignment="1">
      <alignment horizontal="right"/>
    </xf>
    <xf numFmtId="49" fontId="8" fillId="0" borderId="73" xfId="1" applyNumberFormat="1" applyFont="1" applyBorder="1" applyAlignment="1">
      <alignment horizontal="right"/>
    </xf>
  </cellXfs>
  <cellStyles count="8">
    <cellStyle name="Čárka 2" xfId="3"/>
    <cellStyle name="Čárka 3" xfId="4"/>
    <cellStyle name="čárky 2" xfId="5"/>
    <cellStyle name="čárky 2 2" xfId="6"/>
    <cellStyle name="Normální" xfId="0" builtinId="0"/>
    <cellStyle name="Normální 2" xfId="1"/>
    <cellStyle name="Normální 3" xfId="2"/>
    <cellStyle name="Normální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57150</xdr:colOff>
      <xdr:row>0</xdr:row>
      <xdr:rowOff>657225</xdr:rowOff>
    </xdr:to>
    <xdr:pic>
      <xdr:nvPicPr>
        <xdr:cNvPr id="2" name="Picture 2">
          <a:extLst>
            <a:ext uri="{FF2B5EF4-FFF2-40B4-BE49-F238E27FC236}">
              <a16:creationId xmlns:a16="http://schemas.microsoft.com/office/drawing/2014/main" id="{B2B4286E-046C-4728-B82F-664E80085E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6675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57150</xdr:colOff>
      <xdr:row>0</xdr:row>
      <xdr:rowOff>9525</xdr:rowOff>
    </xdr:from>
    <xdr:to>
      <xdr:col>1</xdr:col>
      <xdr:colOff>457200</xdr:colOff>
      <xdr:row>0</xdr:row>
      <xdr:rowOff>676275</xdr:rowOff>
    </xdr:to>
    <xdr:pic>
      <xdr:nvPicPr>
        <xdr:cNvPr id="2" name="Picture 6">
          <a:extLst>
            <a:ext uri="{FF2B5EF4-FFF2-40B4-BE49-F238E27FC236}">
              <a16:creationId xmlns:a16="http://schemas.microsoft.com/office/drawing/2014/main" id="{D1242713-D64A-4B08-9DC7-2FDBE87C7F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
          <a:ext cx="666750" cy="66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0</xdr:colOff>
      <xdr:row>4</xdr:row>
      <xdr:rowOff>102870</xdr:rowOff>
    </xdr:from>
    <xdr:ext cx="184731" cy="282197"/>
    <xdr:sp macro="" textlink="">
      <xdr:nvSpPr>
        <xdr:cNvPr id="2" name="TextovéPole 1">
          <a:extLst>
            <a:ext uri="{FF2B5EF4-FFF2-40B4-BE49-F238E27FC236}">
              <a16:creationId xmlns:a16="http://schemas.microsoft.com/office/drawing/2014/main" id="{4CAA0D66-3EA2-469B-B8CA-4417807C8ADE}"/>
            </a:ext>
          </a:extLst>
        </xdr:cNvPr>
        <xdr:cNvSpPr txBox="1"/>
      </xdr:nvSpPr>
      <xdr:spPr>
        <a:xfrm>
          <a:off x="7000875" y="864870"/>
          <a:ext cx="184731" cy="2821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cs-CZ"/>
        </a:p>
      </xdr:txBody>
    </xdr:sp>
    <xdr:clientData/>
  </xdr:oneCellAnchor>
  <xdr:oneCellAnchor>
    <xdr:from>
      <xdr:col>5</xdr:col>
      <xdr:colOff>0</xdr:colOff>
      <xdr:row>1</xdr:row>
      <xdr:rowOff>102870</xdr:rowOff>
    </xdr:from>
    <xdr:ext cx="184731" cy="273094"/>
    <xdr:sp macro="" textlink="">
      <xdr:nvSpPr>
        <xdr:cNvPr id="3" name="TextovéPole 2">
          <a:extLst>
            <a:ext uri="{FF2B5EF4-FFF2-40B4-BE49-F238E27FC236}">
              <a16:creationId xmlns:a16="http://schemas.microsoft.com/office/drawing/2014/main" id="{EF55DC7C-EA2B-4423-BCE6-CBB812904EF3}"/>
            </a:ext>
          </a:extLst>
        </xdr:cNvPr>
        <xdr:cNvSpPr txBox="1"/>
      </xdr:nvSpPr>
      <xdr:spPr>
        <a:xfrm>
          <a:off x="7000875" y="293370"/>
          <a:ext cx="184731" cy="27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cs-CZ"/>
        </a:p>
      </xdr:txBody>
    </xdr:sp>
    <xdr:clientData/>
  </xdr:oneCellAnchor>
  <xdr:oneCellAnchor>
    <xdr:from>
      <xdr:col>11</xdr:col>
      <xdr:colOff>0</xdr:colOff>
      <xdr:row>4</xdr:row>
      <xdr:rowOff>159375</xdr:rowOff>
    </xdr:from>
    <xdr:ext cx="184731" cy="264560"/>
    <xdr:sp macro="" textlink="">
      <xdr:nvSpPr>
        <xdr:cNvPr id="4" name="TextovéPole 3">
          <a:extLst>
            <a:ext uri="{FF2B5EF4-FFF2-40B4-BE49-F238E27FC236}">
              <a16:creationId xmlns:a16="http://schemas.microsoft.com/office/drawing/2014/main" id="{98A64362-DEDC-4BFB-9994-48B3DC3DBB8D}"/>
            </a:ext>
          </a:extLst>
        </xdr:cNvPr>
        <xdr:cNvSpPr txBox="1"/>
      </xdr:nvSpPr>
      <xdr:spPr>
        <a:xfrm>
          <a:off x="10753725" y="92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cs-CZ"/>
        </a:p>
      </xdr:txBody>
    </xdr:sp>
    <xdr:clientData/>
  </xdr:oneCellAnchor>
  <xdr:oneCellAnchor>
    <xdr:from>
      <xdr:col>11</xdr:col>
      <xdr:colOff>0</xdr:colOff>
      <xdr:row>1</xdr:row>
      <xdr:rowOff>102870</xdr:rowOff>
    </xdr:from>
    <xdr:ext cx="184731" cy="273094"/>
    <xdr:sp macro="" textlink="">
      <xdr:nvSpPr>
        <xdr:cNvPr id="5" name="TextovéPole 4">
          <a:extLst>
            <a:ext uri="{FF2B5EF4-FFF2-40B4-BE49-F238E27FC236}">
              <a16:creationId xmlns:a16="http://schemas.microsoft.com/office/drawing/2014/main" id="{70CD721C-C041-44A4-8C44-81F48242D0C2}"/>
            </a:ext>
          </a:extLst>
        </xdr:cNvPr>
        <xdr:cNvSpPr txBox="1"/>
      </xdr:nvSpPr>
      <xdr:spPr>
        <a:xfrm>
          <a:off x="10753725" y="293370"/>
          <a:ext cx="184731" cy="27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cs-CZ"/>
        </a:p>
      </xdr:txBody>
    </xdr:sp>
    <xdr:clientData/>
  </xdr:oneCellAnchor>
  <xdr:oneCellAnchor>
    <xdr:from>
      <xdr:col>10</xdr:col>
      <xdr:colOff>0</xdr:colOff>
      <xdr:row>1</xdr:row>
      <xdr:rowOff>102870</xdr:rowOff>
    </xdr:from>
    <xdr:ext cx="184731" cy="273094"/>
    <xdr:sp macro="" textlink="">
      <xdr:nvSpPr>
        <xdr:cNvPr id="6" name="TextovéPole 5">
          <a:extLst>
            <a:ext uri="{FF2B5EF4-FFF2-40B4-BE49-F238E27FC236}">
              <a16:creationId xmlns:a16="http://schemas.microsoft.com/office/drawing/2014/main" id="{62892008-5C0E-4FB0-8762-861573251B30}"/>
            </a:ext>
          </a:extLst>
        </xdr:cNvPr>
        <xdr:cNvSpPr txBox="1"/>
      </xdr:nvSpPr>
      <xdr:spPr>
        <a:xfrm>
          <a:off x="10134600" y="293370"/>
          <a:ext cx="184731" cy="27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cs-CZ"/>
        </a:p>
      </xdr:txBody>
    </xdr:sp>
    <xdr:clientData/>
  </xdr:oneCellAnchor>
  <xdr:oneCellAnchor>
    <xdr:from>
      <xdr:col>5</xdr:col>
      <xdr:colOff>0</xdr:colOff>
      <xdr:row>4</xdr:row>
      <xdr:rowOff>102870</xdr:rowOff>
    </xdr:from>
    <xdr:ext cx="184731" cy="282197"/>
    <xdr:sp macro="" textlink="">
      <xdr:nvSpPr>
        <xdr:cNvPr id="7" name="TextovéPole 6">
          <a:extLst>
            <a:ext uri="{FF2B5EF4-FFF2-40B4-BE49-F238E27FC236}">
              <a16:creationId xmlns:a16="http://schemas.microsoft.com/office/drawing/2014/main" id="{FA909B0D-DAED-4A8D-99E6-0FE3999EB08D}"/>
            </a:ext>
          </a:extLst>
        </xdr:cNvPr>
        <xdr:cNvSpPr txBox="1"/>
      </xdr:nvSpPr>
      <xdr:spPr>
        <a:xfrm>
          <a:off x="7000875" y="864870"/>
          <a:ext cx="184731" cy="2821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cs-CZ"/>
        </a:p>
      </xdr:txBody>
    </xdr:sp>
    <xdr:clientData/>
  </xdr:oneCellAnchor>
  <xdr:oneCellAnchor>
    <xdr:from>
      <xdr:col>5</xdr:col>
      <xdr:colOff>0</xdr:colOff>
      <xdr:row>1</xdr:row>
      <xdr:rowOff>102870</xdr:rowOff>
    </xdr:from>
    <xdr:ext cx="184731" cy="273094"/>
    <xdr:sp macro="" textlink="">
      <xdr:nvSpPr>
        <xdr:cNvPr id="8" name="TextovéPole 7">
          <a:extLst>
            <a:ext uri="{FF2B5EF4-FFF2-40B4-BE49-F238E27FC236}">
              <a16:creationId xmlns:a16="http://schemas.microsoft.com/office/drawing/2014/main" id="{88A95E76-4071-4794-9B67-5735CBE1D71A}"/>
            </a:ext>
          </a:extLst>
        </xdr:cNvPr>
        <xdr:cNvSpPr txBox="1"/>
      </xdr:nvSpPr>
      <xdr:spPr>
        <a:xfrm>
          <a:off x="7000875" y="293370"/>
          <a:ext cx="184731" cy="27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cs-CZ"/>
        </a:p>
      </xdr:txBody>
    </xdr:sp>
    <xdr:clientData/>
  </xdr:oneCellAnchor>
  <xdr:oneCellAnchor>
    <xdr:from>
      <xdr:col>11</xdr:col>
      <xdr:colOff>0</xdr:colOff>
      <xdr:row>4</xdr:row>
      <xdr:rowOff>159375</xdr:rowOff>
    </xdr:from>
    <xdr:ext cx="184731" cy="264560"/>
    <xdr:sp macro="" textlink="">
      <xdr:nvSpPr>
        <xdr:cNvPr id="9" name="TextovéPole 8">
          <a:extLst>
            <a:ext uri="{FF2B5EF4-FFF2-40B4-BE49-F238E27FC236}">
              <a16:creationId xmlns:a16="http://schemas.microsoft.com/office/drawing/2014/main" id="{5C6EAB68-23CE-4A76-91FF-993B5A71EF19}"/>
            </a:ext>
          </a:extLst>
        </xdr:cNvPr>
        <xdr:cNvSpPr txBox="1"/>
      </xdr:nvSpPr>
      <xdr:spPr>
        <a:xfrm>
          <a:off x="10753725" y="92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cs-CZ"/>
        </a:p>
      </xdr:txBody>
    </xdr:sp>
    <xdr:clientData/>
  </xdr:oneCellAnchor>
  <xdr:oneCellAnchor>
    <xdr:from>
      <xdr:col>11</xdr:col>
      <xdr:colOff>0</xdr:colOff>
      <xdr:row>1</xdr:row>
      <xdr:rowOff>102870</xdr:rowOff>
    </xdr:from>
    <xdr:ext cx="184731" cy="273094"/>
    <xdr:sp macro="" textlink="">
      <xdr:nvSpPr>
        <xdr:cNvPr id="10" name="TextovéPole 9">
          <a:extLst>
            <a:ext uri="{FF2B5EF4-FFF2-40B4-BE49-F238E27FC236}">
              <a16:creationId xmlns:a16="http://schemas.microsoft.com/office/drawing/2014/main" id="{9E0DB328-5243-43BC-9AEB-8D19D2645F77}"/>
            </a:ext>
          </a:extLst>
        </xdr:cNvPr>
        <xdr:cNvSpPr txBox="1"/>
      </xdr:nvSpPr>
      <xdr:spPr>
        <a:xfrm>
          <a:off x="10753725" y="293370"/>
          <a:ext cx="184731" cy="27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cs-CZ"/>
        </a:p>
      </xdr:txBody>
    </xdr:sp>
    <xdr:clientData/>
  </xdr:oneCellAnchor>
  <xdr:oneCellAnchor>
    <xdr:from>
      <xdr:col>10</xdr:col>
      <xdr:colOff>0</xdr:colOff>
      <xdr:row>1</xdr:row>
      <xdr:rowOff>102870</xdr:rowOff>
    </xdr:from>
    <xdr:ext cx="184731" cy="273094"/>
    <xdr:sp macro="" textlink="">
      <xdr:nvSpPr>
        <xdr:cNvPr id="11" name="TextovéPole 10">
          <a:extLst>
            <a:ext uri="{FF2B5EF4-FFF2-40B4-BE49-F238E27FC236}">
              <a16:creationId xmlns:a16="http://schemas.microsoft.com/office/drawing/2014/main" id="{32CAAAC4-0FCB-4059-B1F5-766E5841A41D}"/>
            </a:ext>
          </a:extLst>
        </xdr:cNvPr>
        <xdr:cNvSpPr txBox="1"/>
      </xdr:nvSpPr>
      <xdr:spPr>
        <a:xfrm>
          <a:off x="10134600" y="293370"/>
          <a:ext cx="184731" cy="27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cs-CZ"/>
        </a:p>
      </xdr:txBody>
    </xdr:sp>
    <xdr:clientData/>
  </xdr:oneCellAnchor>
</xdr:wsDr>
</file>

<file path=xl/drawings/drawing4.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zivatel\Plocha\VV%20technolog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rozpočtu"/>
      <sheetName val="VORN"/>
      <sheetName val="Stavební rozpočet"/>
    </sheetNames>
    <sheetDataSet>
      <sheetData sheetId="0"/>
      <sheetData sheetId="1">
        <row r="15">
          <cell r="I15">
            <v>0</v>
          </cell>
        </row>
        <row r="45">
          <cell r="I45">
            <v>0</v>
          </cell>
        </row>
      </sheetData>
      <sheetData sheetId="2">
        <row r="2">
          <cell r="D2" t="str">
            <v>ZŠ U Červených domků - rekonstrukce teplovodů</v>
          </cell>
          <cell r="J2" t="str">
            <v>Město Hodonín,, Masarykovo nám. 53/1, 695 35 Hodon</v>
          </cell>
        </row>
        <row r="4">
          <cell r="D4" t="str">
            <v>Rekonstrukce zdroje tepla a jeho distribuční sítě v areálu ZŠ U Červených domků</v>
          </cell>
          <cell r="H4" t="str">
            <v xml:space="preserve"> </v>
          </cell>
          <cell r="J4" t="str">
            <v>VS-ingline, s.r.o.</v>
          </cell>
        </row>
        <row r="6">
          <cell r="D6" t="str">
            <v>Hodonín, ZŠ U Červených domků</v>
          </cell>
          <cell r="H6" t="str">
            <v xml:space="preserve"> </v>
          </cell>
          <cell r="J6" t="str">
            <v> </v>
          </cell>
        </row>
        <row r="8">
          <cell r="D8" t="str">
            <v xml:space="preserve"> </v>
          </cell>
          <cell r="H8" t="str">
            <v>28.12.2023</v>
          </cell>
          <cell r="J8" t="str">
            <v>Ing. Miloš Červený</v>
          </cell>
        </row>
      </sheetData>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tabSelected="1" workbookViewId="0"/>
  </sheetViews>
  <sheetFormatPr defaultRowHeight="14.25"/>
  <cols>
    <col min="1" max="1" width="35.7109375" style="56" customWidth="1"/>
    <col min="2" max="2" width="21.7109375" style="56" customWidth="1"/>
    <col min="3" max="3" width="21.85546875" style="56" customWidth="1"/>
    <col min="4" max="16384" width="9.140625" style="56"/>
  </cols>
  <sheetData>
    <row r="2" spans="1:4" ht="126" customHeight="1"/>
    <row r="4" spans="1:4" ht="42.75" customHeight="1">
      <c r="A4" s="252" t="s">
        <v>1388</v>
      </c>
      <c r="B4" s="252"/>
      <c r="C4" s="252"/>
      <c r="D4" s="252"/>
    </row>
    <row r="5" spans="1:4" ht="40.5" customHeight="1">
      <c r="A5" s="254" t="s">
        <v>1389</v>
      </c>
      <c r="B5" s="254"/>
      <c r="C5" s="254"/>
      <c r="D5" s="254"/>
    </row>
    <row r="7" spans="1:4" ht="90" customHeight="1"/>
    <row r="9" spans="1:4" ht="18">
      <c r="A9" s="253" t="s">
        <v>1390</v>
      </c>
      <c r="B9" s="253"/>
      <c r="C9" s="253"/>
      <c r="D9" s="253"/>
    </row>
    <row r="11" spans="1:4" ht="108.75" customHeight="1"/>
    <row r="12" spans="1:4" ht="15" thickBot="1"/>
    <row r="13" spans="1:4" ht="15.75" thickBot="1">
      <c r="A13" s="65" t="s">
        <v>1133</v>
      </c>
      <c r="B13" s="380" t="s">
        <v>1132</v>
      </c>
      <c r="C13" s="381" t="s">
        <v>1131</v>
      </c>
    </row>
    <row r="14" spans="1:4" ht="15" thickTop="1">
      <c r="A14" s="64" t="s">
        <v>1130</v>
      </c>
      <c r="B14" s="63">
        <f>'Krycí list rozpočtu'!I28</f>
        <v>0</v>
      </c>
      <c r="C14" s="62">
        <f>'Krycí list rozpočtu'!I29</f>
        <v>0</v>
      </c>
    </row>
    <row r="15" spans="1:4" ht="15" thickBot="1">
      <c r="A15" s="61" t="s">
        <v>1129</v>
      </c>
      <c r="B15" s="60">
        <f>MaR!H209</f>
        <v>0</v>
      </c>
      <c r="C15" s="59">
        <f>B15*1.21</f>
        <v>0</v>
      </c>
    </row>
    <row r="16" spans="1:4">
      <c r="A16" s="58" t="s">
        <v>1128</v>
      </c>
      <c r="B16" s="57">
        <f>SUM(B14:B15)</f>
        <v>0</v>
      </c>
      <c r="C16" s="57">
        <f>SUM(C14:C15)</f>
        <v>0</v>
      </c>
    </row>
  </sheetData>
  <mergeCells count="3">
    <mergeCell ref="A4:D4"/>
    <mergeCell ref="A9:D9"/>
    <mergeCell ref="A5:D5"/>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37"/>
  <sheetViews>
    <sheetView showOutlineSymbols="0" workbookViewId="0">
      <selection sqref="A1:I1"/>
    </sheetView>
  </sheetViews>
  <sheetFormatPr defaultColWidth="12.140625" defaultRowHeight="15" customHeight="1"/>
  <cols>
    <col min="1" max="1" width="9.140625" style="206" customWidth="1"/>
    <col min="2" max="2" width="12.85546875" style="206" customWidth="1"/>
    <col min="3" max="3" width="27.140625" style="206" customWidth="1"/>
    <col min="4" max="4" width="10" style="206" customWidth="1"/>
    <col min="5" max="5" width="13.85546875" style="206" customWidth="1"/>
    <col min="6" max="6" width="27.140625" style="206" customWidth="1"/>
    <col min="7" max="7" width="9.140625" style="206" customWidth="1"/>
    <col min="8" max="8" width="12.85546875" style="206" customWidth="1"/>
    <col min="9" max="9" width="27.140625" style="206" customWidth="1"/>
    <col min="10" max="256" width="12.140625" style="206"/>
    <col min="257" max="257" width="9.140625" style="206" customWidth="1"/>
    <col min="258" max="258" width="12.85546875" style="206" customWidth="1"/>
    <col min="259" max="259" width="27.140625" style="206" customWidth="1"/>
    <col min="260" max="260" width="10" style="206" customWidth="1"/>
    <col min="261" max="261" width="13.85546875" style="206" customWidth="1"/>
    <col min="262" max="262" width="27.140625" style="206" customWidth="1"/>
    <col min="263" max="263" width="9.140625" style="206" customWidth="1"/>
    <col min="264" max="264" width="12.85546875" style="206" customWidth="1"/>
    <col min="265" max="265" width="27.140625" style="206" customWidth="1"/>
    <col min="266" max="512" width="12.140625" style="206"/>
    <col min="513" max="513" width="9.140625" style="206" customWidth="1"/>
    <col min="514" max="514" width="12.85546875" style="206" customWidth="1"/>
    <col min="515" max="515" width="27.140625" style="206" customWidth="1"/>
    <col min="516" max="516" width="10" style="206" customWidth="1"/>
    <col min="517" max="517" width="13.85546875" style="206" customWidth="1"/>
    <col min="518" max="518" width="27.140625" style="206" customWidth="1"/>
    <col min="519" max="519" width="9.140625" style="206" customWidth="1"/>
    <col min="520" max="520" width="12.85546875" style="206" customWidth="1"/>
    <col min="521" max="521" width="27.140625" style="206" customWidth="1"/>
    <col min="522" max="768" width="12.140625" style="206"/>
    <col min="769" max="769" width="9.140625" style="206" customWidth="1"/>
    <col min="770" max="770" width="12.85546875" style="206" customWidth="1"/>
    <col min="771" max="771" width="27.140625" style="206" customWidth="1"/>
    <col min="772" max="772" width="10" style="206" customWidth="1"/>
    <col min="773" max="773" width="13.85546875" style="206" customWidth="1"/>
    <col min="774" max="774" width="27.140625" style="206" customWidth="1"/>
    <col min="775" max="775" width="9.140625" style="206" customWidth="1"/>
    <col min="776" max="776" width="12.85546875" style="206" customWidth="1"/>
    <col min="777" max="777" width="27.140625" style="206" customWidth="1"/>
    <col min="778" max="1024" width="12.140625" style="206"/>
    <col min="1025" max="1025" width="9.140625" style="206" customWidth="1"/>
    <col min="1026" max="1026" width="12.85546875" style="206" customWidth="1"/>
    <col min="1027" max="1027" width="27.140625" style="206" customWidth="1"/>
    <col min="1028" max="1028" width="10" style="206" customWidth="1"/>
    <col min="1029" max="1029" width="13.85546875" style="206" customWidth="1"/>
    <col min="1030" max="1030" width="27.140625" style="206" customWidth="1"/>
    <col min="1031" max="1031" width="9.140625" style="206" customWidth="1"/>
    <col min="1032" max="1032" width="12.85546875" style="206" customWidth="1"/>
    <col min="1033" max="1033" width="27.140625" style="206" customWidth="1"/>
    <col min="1034" max="1280" width="12.140625" style="206"/>
    <col min="1281" max="1281" width="9.140625" style="206" customWidth="1"/>
    <col min="1282" max="1282" width="12.85546875" style="206" customWidth="1"/>
    <col min="1283" max="1283" width="27.140625" style="206" customWidth="1"/>
    <col min="1284" max="1284" width="10" style="206" customWidth="1"/>
    <col min="1285" max="1285" width="13.85546875" style="206" customWidth="1"/>
    <col min="1286" max="1286" width="27.140625" style="206" customWidth="1"/>
    <col min="1287" max="1287" width="9.140625" style="206" customWidth="1"/>
    <col min="1288" max="1288" width="12.85546875" style="206" customWidth="1"/>
    <col min="1289" max="1289" width="27.140625" style="206" customWidth="1"/>
    <col min="1290" max="1536" width="12.140625" style="206"/>
    <col min="1537" max="1537" width="9.140625" style="206" customWidth="1"/>
    <col min="1538" max="1538" width="12.85546875" style="206" customWidth="1"/>
    <col min="1539" max="1539" width="27.140625" style="206" customWidth="1"/>
    <col min="1540" max="1540" width="10" style="206" customWidth="1"/>
    <col min="1541" max="1541" width="13.85546875" style="206" customWidth="1"/>
    <col min="1542" max="1542" width="27.140625" style="206" customWidth="1"/>
    <col min="1543" max="1543" width="9.140625" style="206" customWidth="1"/>
    <col min="1544" max="1544" width="12.85546875" style="206" customWidth="1"/>
    <col min="1545" max="1545" width="27.140625" style="206" customWidth="1"/>
    <col min="1546" max="1792" width="12.140625" style="206"/>
    <col min="1793" max="1793" width="9.140625" style="206" customWidth="1"/>
    <col min="1794" max="1794" width="12.85546875" style="206" customWidth="1"/>
    <col min="1795" max="1795" width="27.140625" style="206" customWidth="1"/>
    <col min="1796" max="1796" width="10" style="206" customWidth="1"/>
    <col min="1797" max="1797" width="13.85546875" style="206" customWidth="1"/>
    <col min="1798" max="1798" width="27.140625" style="206" customWidth="1"/>
    <col min="1799" max="1799" width="9.140625" style="206" customWidth="1"/>
    <col min="1800" max="1800" width="12.85546875" style="206" customWidth="1"/>
    <col min="1801" max="1801" width="27.140625" style="206" customWidth="1"/>
    <col min="1802" max="2048" width="12.140625" style="206"/>
    <col min="2049" max="2049" width="9.140625" style="206" customWidth="1"/>
    <col min="2050" max="2050" width="12.85546875" style="206" customWidth="1"/>
    <col min="2051" max="2051" width="27.140625" style="206" customWidth="1"/>
    <col min="2052" max="2052" width="10" style="206" customWidth="1"/>
    <col min="2053" max="2053" width="13.85546875" style="206" customWidth="1"/>
    <col min="2054" max="2054" width="27.140625" style="206" customWidth="1"/>
    <col min="2055" max="2055" width="9.140625" style="206" customWidth="1"/>
    <col min="2056" max="2056" width="12.85546875" style="206" customWidth="1"/>
    <col min="2057" max="2057" width="27.140625" style="206" customWidth="1"/>
    <col min="2058" max="2304" width="12.140625" style="206"/>
    <col min="2305" max="2305" width="9.140625" style="206" customWidth="1"/>
    <col min="2306" max="2306" width="12.85546875" style="206" customWidth="1"/>
    <col min="2307" max="2307" width="27.140625" style="206" customWidth="1"/>
    <col min="2308" max="2308" width="10" style="206" customWidth="1"/>
    <col min="2309" max="2309" width="13.85546875" style="206" customWidth="1"/>
    <col min="2310" max="2310" width="27.140625" style="206" customWidth="1"/>
    <col min="2311" max="2311" width="9.140625" style="206" customWidth="1"/>
    <col min="2312" max="2312" width="12.85546875" style="206" customWidth="1"/>
    <col min="2313" max="2313" width="27.140625" style="206" customWidth="1"/>
    <col min="2314" max="2560" width="12.140625" style="206"/>
    <col min="2561" max="2561" width="9.140625" style="206" customWidth="1"/>
    <col min="2562" max="2562" width="12.85546875" style="206" customWidth="1"/>
    <col min="2563" max="2563" width="27.140625" style="206" customWidth="1"/>
    <col min="2564" max="2564" width="10" style="206" customWidth="1"/>
    <col min="2565" max="2565" width="13.85546875" style="206" customWidth="1"/>
    <col min="2566" max="2566" width="27.140625" style="206" customWidth="1"/>
    <col min="2567" max="2567" width="9.140625" style="206" customWidth="1"/>
    <col min="2568" max="2568" width="12.85546875" style="206" customWidth="1"/>
    <col min="2569" max="2569" width="27.140625" style="206" customWidth="1"/>
    <col min="2570" max="2816" width="12.140625" style="206"/>
    <col min="2817" max="2817" width="9.140625" style="206" customWidth="1"/>
    <col min="2818" max="2818" width="12.85546875" style="206" customWidth="1"/>
    <col min="2819" max="2819" width="27.140625" style="206" customWidth="1"/>
    <col min="2820" max="2820" width="10" style="206" customWidth="1"/>
    <col min="2821" max="2821" width="13.85546875" style="206" customWidth="1"/>
    <col min="2822" max="2822" width="27.140625" style="206" customWidth="1"/>
    <col min="2823" max="2823" width="9.140625" style="206" customWidth="1"/>
    <col min="2824" max="2824" width="12.85546875" style="206" customWidth="1"/>
    <col min="2825" max="2825" width="27.140625" style="206" customWidth="1"/>
    <col min="2826" max="3072" width="12.140625" style="206"/>
    <col min="3073" max="3073" width="9.140625" style="206" customWidth="1"/>
    <col min="3074" max="3074" width="12.85546875" style="206" customWidth="1"/>
    <col min="3075" max="3075" width="27.140625" style="206" customWidth="1"/>
    <col min="3076" max="3076" width="10" style="206" customWidth="1"/>
    <col min="3077" max="3077" width="13.85546875" style="206" customWidth="1"/>
    <col min="3078" max="3078" width="27.140625" style="206" customWidth="1"/>
    <col min="3079" max="3079" width="9.140625" style="206" customWidth="1"/>
    <col min="3080" max="3080" width="12.85546875" style="206" customWidth="1"/>
    <col min="3081" max="3081" width="27.140625" style="206" customWidth="1"/>
    <col min="3082" max="3328" width="12.140625" style="206"/>
    <col min="3329" max="3329" width="9.140625" style="206" customWidth="1"/>
    <col min="3330" max="3330" width="12.85546875" style="206" customWidth="1"/>
    <col min="3331" max="3331" width="27.140625" style="206" customWidth="1"/>
    <col min="3332" max="3332" width="10" style="206" customWidth="1"/>
    <col min="3333" max="3333" width="13.85546875" style="206" customWidth="1"/>
    <col min="3334" max="3334" width="27.140625" style="206" customWidth="1"/>
    <col min="3335" max="3335" width="9.140625" style="206" customWidth="1"/>
    <col min="3336" max="3336" width="12.85546875" style="206" customWidth="1"/>
    <col min="3337" max="3337" width="27.140625" style="206" customWidth="1"/>
    <col min="3338" max="3584" width="12.140625" style="206"/>
    <col min="3585" max="3585" width="9.140625" style="206" customWidth="1"/>
    <col min="3586" max="3586" width="12.85546875" style="206" customWidth="1"/>
    <col min="3587" max="3587" width="27.140625" style="206" customWidth="1"/>
    <col min="3588" max="3588" width="10" style="206" customWidth="1"/>
    <col min="3589" max="3589" width="13.85546875" style="206" customWidth="1"/>
    <col min="3590" max="3590" width="27.140625" style="206" customWidth="1"/>
    <col min="3591" max="3591" width="9.140625" style="206" customWidth="1"/>
    <col min="3592" max="3592" width="12.85546875" style="206" customWidth="1"/>
    <col min="3593" max="3593" width="27.140625" style="206" customWidth="1"/>
    <col min="3594" max="3840" width="12.140625" style="206"/>
    <col min="3841" max="3841" width="9.140625" style="206" customWidth="1"/>
    <col min="3842" max="3842" width="12.85546875" style="206" customWidth="1"/>
    <col min="3843" max="3843" width="27.140625" style="206" customWidth="1"/>
    <col min="3844" max="3844" width="10" style="206" customWidth="1"/>
    <col min="3845" max="3845" width="13.85546875" style="206" customWidth="1"/>
    <col min="3846" max="3846" width="27.140625" style="206" customWidth="1"/>
    <col min="3847" max="3847" width="9.140625" style="206" customWidth="1"/>
    <col min="3848" max="3848" width="12.85546875" style="206" customWidth="1"/>
    <col min="3849" max="3849" width="27.140625" style="206" customWidth="1"/>
    <col min="3850" max="4096" width="12.140625" style="206"/>
    <col min="4097" max="4097" width="9.140625" style="206" customWidth="1"/>
    <col min="4098" max="4098" width="12.85546875" style="206" customWidth="1"/>
    <col min="4099" max="4099" width="27.140625" style="206" customWidth="1"/>
    <col min="4100" max="4100" width="10" style="206" customWidth="1"/>
    <col min="4101" max="4101" width="13.85546875" style="206" customWidth="1"/>
    <col min="4102" max="4102" width="27.140625" style="206" customWidth="1"/>
    <col min="4103" max="4103" width="9.140625" style="206" customWidth="1"/>
    <col min="4104" max="4104" width="12.85546875" style="206" customWidth="1"/>
    <col min="4105" max="4105" width="27.140625" style="206" customWidth="1"/>
    <col min="4106" max="4352" width="12.140625" style="206"/>
    <col min="4353" max="4353" width="9.140625" style="206" customWidth="1"/>
    <col min="4354" max="4354" width="12.85546875" style="206" customWidth="1"/>
    <col min="4355" max="4355" width="27.140625" style="206" customWidth="1"/>
    <col min="4356" max="4356" width="10" style="206" customWidth="1"/>
    <col min="4357" max="4357" width="13.85546875" style="206" customWidth="1"/>
    <col min="4358" max="4358" width="27.140625" style="206" customWidth="1"/>
    <col min="4359" max="4359" width="9.140625" style="206" customWidth="1"/>
    <col min="4360" max="4360" width="12.85546875" style="206" customWidth="1"/>
    <col min="4361" max="4361" width="27.140625" style="206" customWidth="1"/>
    <col min="4362" max="4608" width="12.140625" style="206"/>
    <col min="4609" max="4609" width="9.140625" style="206" customWidth="1"/>
    <col min="4610" max="4610" width="12.85546875" style="206" customWidth="1"/>
    <col min="4611" max="4611" width="27.140625" style="206" customWidth="1"/>
    <col min="4612" max="4612" width="10" style="206" customWidth="1"/>
    <col min="4613" max="4613" width="13.85546875" style="206" customWidth="1"/>
    <col min="4614" max="4614" width="27.140625" style="206" customWidth="1"/>
    <col min="4615" max="4615" width="9.140625" style="206" customWidth="1"/>
    <col min="4616" max="4616" width="12.85546875" style="206" customWidth="1"/>
    <col min="4617" max="4617" width="27.140625" style="206" customWidth="1"/>
    <col min="4618" max="4864" width="12.140625" style="206"/>
    <col min="4865" max="4865" width="9.140625" style="206" customWidth="1"/>
    <col min="4866" max="4866" width="12.85546875" style="206" customWidth="1"/>
    <col min="4867" max="4867" width="27.140625" style="206" customWidth="1"/>
    <col min="4868" max="4868" width="10" style="206" customWidth="1"/>
    <col min="4869" max="4869" width="13.85546875" style="206" customWidth="1"/>
    <col min="4870" max="4870" width="27.140625" style="206" customWidth="1"/>
    <col min="4871" max="4871" width="9.140625" style="206" customWidth="1"/>
    <col min="4872" max="4872" width="12.85546875" style="206" customWidth="1"/>
    <col min="4873" max="4873" width="27.140625" style="206" customWidth="1"/>
    <col min="4874" max="5120" width="12.140625" style="206"/>
    <col min="5121" max="5121" width="9.140625" style="206" customWidth="1"/>
    <col min="5122" max="5122" width="12.85546875" style="206" customWidth="1"/>
    <col min="5123" max="5123" width="27.140625" style="206" customWidth="1"/>
    <col min="5124" max="5124" width="10" style="206" customWidth="1"/>
    <col min="5125" max="5125" width="13.85546875" style="206" customWidth="1"/>
    <col min="5126" max="5126" width="27.140625" style="206" customWidth="1"/>
    <col min="5127" max="5127" width="9.140625" style="206" customWidth="1"/>
    <col min="5128" max="5128" width="12.85546875" style="206" customWidth="1"/>
    <col min="5129" max="5129" width="27.140625" style="206" customWidth="1"/>
    <col min="5130" max="5376" width="12.140625" style="206"/>
    <col min="5377" max="5377" width="9.140625" style="206" customWidth="1"/>
    <col min="5378" max="5378" width="12.85546875" style="206" customWidth="1"/>
    <col min="5379" max="5379" width="27.140625" style="206" customWidth="1"/>
    <col min="5380" max="5380" width="10" style="206" customWidth="1"/>
    <col min="5381" max="5381" width="13.85546875" style="206" customWidth="1"/>
    <col min="5382" max="5382" width="27.140625" style="206" customWidth="1"/>
    <col min="5383" max="5383" width="9.140625" style="206" customWidth="1"/>
    <col min="5384" max="5384" width="12.85546875" style="206" customWidth="1"/>
    <col min="5385" max="5385" width="27.140625" style="206" customWidth="1"/>
    <col min="5386" max="5632" width="12.140625" style="206"/>
    <col min="5633" max="5633" width="9.140625" style="206" customWidth="1"/>
    <col min="5634" max="5634" width="12.85546875" style="206" customWidth="1"/>
    <col min="5635" max="5635" width="27.140625" style="206" customWidth="1"/>
    <col min="5636" max="5636" width="10" style="206" customWidth="1"/>
    <col min="5637" max="5637" width="13.85546875" style="206" customWidth="1"/>
    <col min="5638" max="5638" width="27.140625" style="206" customWidth="1"/>
    <col min="5639" max="5639" width="9.140625" style="206" customWidth="1"/>
    <col min="5640" max="5640" width="12.85546875" style="206" customWidth="1"/>
    <col min="5641" max="5641" width="27.140625" style="206" customWidth="1"/>
    <col min="5642" max="5888" width="12.140625" style="206"/>
    <col min="5889" max="5889" width="9.140625" style="206" customWidth="1"/>
    <col min="5890" max="5890" width="12.85546875" style="206" customWidth="1"/>
    <col min="5891" max="5891" width="27.140625" style="206" customWidth="1"/>
    <col min="5892" max="5892" width="10" style="206" customWidth="1"/>
    <col min="5893" max="5893" width="13.85546875" style="206" customWidth="1"/>
    <col min="5894" max="5894" width="27.140625" style="206" customWidth="1"/>
    <col min="5895" max="5895" width="9.140625" style="206" customWidth="1"/>
    <col min="5896" max="5896" width="12.85546875" style="206" customWidth="1"/>
    <col min="5897" max="5897" width="27.140625" style="206" customWidth="1"/>
    <col min="5898" max="6144" width="12.140625" style="206"/>
    <col min="6145" max="6145" width="9.140625" style="206" customWidth="1"/>
    <col min="6146" max="6146" width="12.85546875" style="206" customWidth="1"/>
    <col min="6147" max="6147" width="27.140625" style="206" customWidth="1"/>
    <col min="6148" max="6148" width="10" style="206" customWidth="1"/>
    <col min="6149" max="6149" width="13.85546875" style="206" customWidth="1"/>
    <col min="6150" max="6150" width="27.140625" style="206" customWidth="1"/>
    <col min="6151" max="6151" width="9.140625" style="206" customWidth="1"/>
    <col min="6152" max="6152" width="12.85546875" style="206" customWidth="1"/>
    <col min="6153" max="6153" width="27.140625" style="206" customWidth="1"/>
    <col min="6154" max="6400" width="12.140625" style="206"/>
    <col min="6401" max="6401" width="9.140625" style="206" customWidth="1"/>
    <col min="6402" max="6402" width="12.85546875" style="206" customWidth="1"/>
    <col min="6403" max="6403" width="27.140625" style="206" customWidth="1"/>
    <col min="6404" max="6404" width="10" style="206" customWidth="1"/>
    <col min="6405" max="6405" width="13.85546875" style="206" customWidth="1"/>
    <col min="6406" max="6406" width="27.140625" style="206" customWidth="1"/>
    <col min="6407" max="6407" width="9.140625" style="206" customWidth="1"/>
    <col min="6408" max="6408" width="12.85546875" style="206" customWidth="1"/>
    <col min="6409" max="6409" width="27.140625" style="206" customWidth="1"/>
    <col min="6410" max="6656" width="12.140625" style="206"/>
    <col min="6657" max="6657" width="9.140625" style="206" customWidth="1"/>
    <col min="6658" max="6658" width="12.85546875" style="206" customWidth="1"/>
    <col min="6659" max="6659" width="27.140625" style="206" customWidth="1"/>
    <col min="6660" max="6660" width="10" style="206" customWidth="1"/>
    <col min="6661" max="6661" width="13.85546875" style="206" customWidth="1"/>
    <col min="6662" max="6662" width="27.140625" style="206" customWidth="1"/>
    <col min="6663" max="6663" width="9.140625" style="206" customWidth="1"/>
    <col min="6664" max="6664" width="12.85546875" style="206" customWidth="1"/>
    <col min="6665" max="6665" width="27.140625" style="206" customWidth="1"/>
    <col min="6666" max="6912" width="12.140625" style="206"/>
    <col min="6913" max="6913" width="9.140625" style="206" customWidth="1"/>
    <col min="6914" max="6914" width="12.85546875" style="206" customWidth="1"/>
    <col min="6915" max="6915" width="27.140625" style="206" customWidth="1"/>
    <col min="6916" max="6916" width="10" style="206" customWidth="1"/>
    <col min="6917" max="6917" width="13.85546875" style="206" customWidth="1"/>
    <col min="6918" max="6918" width="27.140625" style="206" customWidth="1"/>
    <col min="6919" max="6919" width="9.140625" style="206" customWidth="1"/>
    <col min="6920" max="6920" width="12.85546875" style="206" customWidth="1"/>
    <col min="6921" max="6921" width="27.140625" style="206" customWidth="1"/>
    <col min="6922" max="7168" width="12.140625" style="206"/>
    <col min="7169" max="7169" width="9.140625" style="206" customWidth="1"/>
    <col min="7170" max="7170" width="12.85546875" style="206" customWidth="1"/>
    <col min="7171" max="7171" width="27.140625" style="206" customWidth="1"/>
    <col min="7172" max="7172" width="10" style="206" customWidth="1"/>
    <col min="7173" max="7173" width="13.85546875" style="206" customWidth="1"/>
    <col min="7174" max="7174" width="27.140625" style="206" customWidth="1"/>
    <col min="7175" max="7175" width="9.140625" style="206" customWidth="1"/>
    <col min="7176" max="7176" width="12.85546875" style="206" customWidth="1"/>
    <col min="7177" max="7177" width="27.140625" style="206" customWidth="1"/>
    <col min="7178" max="7424" width="12.140625" style="206"/>
    <col min="7425" max="7425" width="9.140625" style="206" customWidth="1"/>
    <col min="7426" max="7426" width="12.85546875" style="206" customWidth="1"/>
    <col min="7427" max="7427" width="27.140625" style="206" customWidth="1"/>
    <col min="7428" max="7428" width="10" style="206" customWidth="1"/>
    <col min="7429" max="7429" width="13.85546875" style="206" customWidth="1"/>
    <col min="7430" max="7430" width="27.140625" style="206" customWidth="1"/>
    <col min="7431" max="7431" width="9.140625" style="206" customWidth="1"/>
    <col min="7432" max="7432" width="12.85546875" style="206" customWidth="1"/>
    <col min="7433" max="7433" width="27.140625" style="206" customWidth="1"/>
    <col min="7434" max="7680" width="12.140625" style="206"/>
    <col min="7681" max="7681" width="9.140625" style="206" customWidth="1"/>
    <col min="7682" max="7682" width="12.85546875" style="206" customWidth="1"/>
    <col min="7683" max="7683" width="27.140625" style="206" customWidth="1"/>
    <col min="7684" max="7684" width="10" style="206" customWidth="1"/>
    <col min="7685" max="7685" width="13.85546875" style="206" customWidth="1"/>
    <col min="7686" max="7686" width="27.140625" style="206" customWidth="1"/>
    <col min="7687" max="7687" width="9.140625" style="206" customWidth="1"/>
    <col min="7688" max="7688" width="12.85546875" style="206" customWidth="1"/>
    <col min="7689" max="7689" width="27.140625" style="206" customWidth="1"/>
    <col min="7690" max="7936" width="12.140625" style="206"/>
    <col min="7937" max="7937" width="9.140625" style="206" customWidth="1"/>
    <col min="7938" max="7938" width="12.85546875" style="206" customWidth="1"/>
    <col min="7939" max="7939" width="27.140625" style="206" customWidth="1"/>
    <col min="7940" max="7940" width="10" style="206" customWidth="1"/>
    <col min="7941" max="7941" width="13.85546875" style="206" customWidth="1"/>
    <col min="7942" max="7942" width="27.140625" style="206" customWidth="1"/>
    <col min="7943" max="7943" width="9.140625" style="206" customWidth="1"/>
    <col min="7944" max="7944" width="12.85546875" style="206" customWidth="1"/>
    <col min="7945" max="7945" width="27.140625" style="206" customWidth="1"/>
    <col min="7946" max="8192" width="12.140625" style="206"/>
    <col min="8193" max="8193" width="9.140625" style="206" customWidth="1"/>
    <col min="8194" max="8194" width="12.85546875" style="206" customWidth="1"/>
    <col min="8195" max="8195" width="27.140625" style="206" customWidth="1"/>
    <col min="8196" max="8196" width="10" style="206" customWidth="1"/>
    <col min="8197" max="8197" width="13.85546875" style="206" customWidth="1"/>
    <col min="8198" max="8198" width="27.140625" style="206" customWidth="1"/>
    <col min="8199" max="8199" width="9.140625" style="206" customWidth="1"/>
    <col min="8200" max="8200" width="12.85546875" style="206" customWidth="1"/>
    <col min="8201" max="8201" width="27.140625" style="206" customWidth="1"/>
    <col min="8202" max="8448" width="12.140625" style="206"/>
    <col min="8449" max="8449" width="9.140625" style="206" customWidth="1"/>
    <col min="8450" max="8450" width="12.85546875" style="206" customWidth="1"/>
    <col min="8451" max="8451" width="27.140625" style="206" customWidth="1"/>
    <col min="8452" max="8452" width="10" style="206" customWidth="1"/>
    <col min="8453" max="8453" width="13.85546875" style="206" customWidth="1"/>
    <col min="8454" max="8454" width="27.140625" style="206" customWidth="1"/>
    <col min="8455" max="8455" width="9.140625" style="206" customWidth="1"/>
    <col min="8456" max="8456" width="12.85546875" style="206" customWidth="1"/>
    <col min="8457" max="8457" width="27.140625" style="206" customWidth="1"/>
    <col min="8458" max="8704" width="12.140625" style="206"/>
    <col min="8705" max="8705" width="9.140625" style="206" customWidth="1"/>
    <col min="8706" max="8706" width="12.85546875" style="206" customWidth="1"/>
    <col min="8707" max="8707" width="27.140625" style="206" customWidth="1"/>
    <col min="8708" max="8708" width="10" style="206" customWidth="1"/>
    <col min="8709" max="8709" width="13.85546875" style="206" customWidth="1"/>
    <col min="8710" max="8710" width="27.140625" style="206" customWidth="1"/>
    <col min="8711" max="8711" width="9.140625" style="206" customWidth="1"/>
    <col min="8712" max="8712" width="12.85546875" style="206" customWidth="1"/>
    <col min="8713" max="8713" width="27.140625" style="206" customWidth="1"/>
    <col min="8714" max="8960" width="12.140625" style="206"/>
    <col min="8961" max="8961" width="9.140625" style="206" customWidth="1"/>
    <col min="8962" max="8962" width="12.85546875" style="206" customWidth="1"/>
    <col min="8963" max="8963" width="27.140625" style="206" customWidth="1"/>
    <col min="8964" max="8964" width="10" style="206" customWidth="1"/>
    <col min="8965" max="8965" width="13.85546875" style="206" customWidth="1"/>
    <col min="8966" max="8966" width="27.140625" style="206" customWidth="1"/>
    <col min="8967" max="8967" width="9.140625" style="206" customWidth="1"/>
    <col min="8968" max="8968" width="12.85546875" style="206" customWidth="1"/>
    <col min="8969" max="8969" width="27.140625" style="206" customWidth="1"/>
    <col min="8970" max="9216" width="12.140625" style="206"/>
    <col min="9217" max="9217" width="9.140625" style="206" customWidth="1"/>
    <col min="9218" max="9218" width="12.85546875" style="206" customWidth="1"/>
    <col min="9219" max="9219" width="27.140625" style="206" customWidth="1"/>
    <col min="9220" max="9220" width="10" style="206" customWidth="1"/>
    <col min="9221" max="9221" width="13.85546875" style="206" customWidth="1"/>
    <col min="9222" max="9222" width="27.140625" style="206" customWidth="1"/>
    <col min="9223" max="9223" width="9.140625" style="206" customWidth="1"/>
    <col min="9224" max="9224" width="12.85546875" style="206" customWidth="1"/>
    <col min="9225" max="9225" width="27.140625" style="206" customWidth="1"/>
    <col min="9226" max="9472" width="12.140625" style="206"/>
    <col min="9473" max="9473" width="9.140625" style="206" customWidth="1"/>
    <col min="9474" max="9474" width="12.85546875" style="206" customWidth="1"/>
    <col min="9475" max="9475" width="27.140625" style="206" customWidth="1"/>
    <col min="9476" max="9476" width="10" style="206" customWidth="1"/>
    <col min="9477" max="9477" width="13.85546875" style="206" customWidth="1"/>
    <col min="9478" max="9478" width="27.140625" style="206" customWidth="1"/>
    <col min="9479" max="9479" width="9.140625" style="206" customWidth="1"/>
    <col min="9480" max="9480" width="12.85546875" style="206" customWidth="1"/>
    <col min="9481" max="9481" width="27.140625" style="206" customWidth="1"/>
    <col min="9482" max="9728" width="12.140625" style="206"/>
    <col min="9729" max="9729" width="9.140625" style="206" customWidth="1"/>
    <col min="9730" max="9730" width="12.85546875" style="206" customWidth="1"/>
    <col min="9731" max="9731" width="27.140625" style="206" customWidth="1"/>
    <col min="9732" max="9732" width="10" style="206" customWidth="1"/>
    <col min="9733" max="9733" width="13.85546875" style="206" customWidth="1"/>
    <col min="9734" max="9734" width="27.140625" style="206" customWidth="1"/>
    <col min="9735" max="9735" width="9.140625" style="206" customWidth="1"/>
    <col min="9736" max="9736" width="12.85546875" style="206" customWidth="1"/>
    <col min="9737" max="9737" width="27.140625" style="206" customWidth="1"/>
    <col min="9738" max="9984" width="12.140625" style="206"/>
    <col min="9985" max="9985" width="9.140625" style="206" customWidth="1"/>
    <col min="9986" max="9986" width="12.85546875" style="206" customWidth="1"/>
    <col min="9987" max="9987" width="27.140625" style="206" customWidth="1"/>
    <col min="9988" max="9988" width="10" style="206" customWidth="1"/>
    <col min="9989" max="9989" width="13.85546875" style="206" customWidth="1"/>
    <col min="9990" max="9990" width="27.140625" style="206" customWidth="1"/>
    <col min="9991" max="9991" width="9.140625" style="206" customWidth="1"/>
    <col min="9992" max="9992" width="12.85546875" style="206" customWidth="1"/>
    <col min="9993" max="9993" width="27.140625" style="206" customWidth="1"/>
    <col min="9994" max="10240" width="12.140625" style="206"/>
    <col min="10241" max="10241" width="9.140625" style="206" customWidth="1"/>
    <col min="10242" max="10242" width="12.85546875" style="206" customWidth="1"/>
    <col min="10243" max="10243" width="27.140625" style="206" customWidth="1"/>
    <col min="10244" max="10244" width="10" style="206" customWidth="1"/>
    <col min="10245" max="10245" width="13.85546875" style="206" customWidth="1"/>
    <col min="10246" max="10246" width="27.140625" style="206" customWidth="1"/>
    <col min="10247" max="10247" width="9.140625" style="206" customWidth="1"/>
    <col min="10248" max="10248" width="12.85546875" style="206" customWidth="1"/>
    <col min="10249" max="10249" width="27.140625" style="206" customWidth="1"/>
    <col min="10250" max="10496" width="12.140625" style="206"/>
    <col min="10497" max="10497" width="9.140625" style="206" customWidth="1"/>
    <col min="10498" max="10498" width="12.85546875" style="206" customWidth="1"/>
    <col min="10499" max="10499" width="27.140625" style="206" customWidth="1"/>
    <col min="10500" max="10500" width="10" style="206" customWidth="1"/>
    <col min="10501" max="10501" width="13.85546875" style="206" customWidth="1"/>
    <col min="10502" max="10502" width="27.140625" style="206" customWidth="1"/>
    <col min="10503" max="10503" width="9.140625" style="206" customWidth="1"/>
    <col min="10504" max="10504" width="12.85546875" style="206" customWidth="1"/>
    <col min="10505" max="10505" width="27.140625" style="206" customWidth="1"/>
    <col min="10506" max="10752" width="12.140625" style="206"/>
    <col min="10753" max="10753" width="9.140625" style="206" customWidth="1"/>
    <col min="10754" max="10754" width="12.85546875" style="206" customWidth="1"/>
    <col min="10755" max="10755" width="27.140625" style="206" customWidth="1"/>
    <col min="10756" max="10756" width="10" style="206" customWidth="1"/>
    <col min="10757" max="10757" width="13.85546875" style="206" customWidth="1"/>
    <col min="10758" max="10758" width="27.140625" style="206" customWidth="1"/>
    <col min="10759" max="10759" width="9.140625" style="206" customWidth="1"/>
    <col min="10760" max="10760" width="12.85546875" style="206" customWidth="1"/>
    <col min="10761" max="10761" width="27.140625" style="206" customWidth="1"/>
    <col min="10762" max="11008" width="12.140625" style="206"/>
    <col min="11009" max="11009" width="9.140625" style="206" customWidth="1"/>
    <col min="11010" max="11010" width="12.85546875" style="206" customWidth="1"/>
    <col min="11011" max="11011" width="27.140625" style="206" customWidth="1"/>
    <col min="11012" max="11012" width="10" style="206" customWidth="1"/>
    <col min="11013" max="11013" width="13.85546875" style="206" customWidth="1"/>
    <col min="11014" max="11014" width="27.140625" style="206" customWidth="1"/>
    <col min="11015" max="11015" width="9.140625" style="206" customWidth="1"/>
    <col min="11016" max="11016" width="12.85546875" style="206" customWidth="1"/>
    <col min="11017" max="11017" width="27.140625" style="206" customWidth="1"/>
    <col min="11018" max="11264" width="12.140625" style="206"/>
    <col min="11265" max="11265" width="9.140625" style="206" customWidth="1"/>
    <col min="11266" max="11266" width="12.85546875" style="206" customWidth="1"/>
    <col min="11267" max="11267" width="27.140625" style="206" customWidth="1"/>
    <col min="11268" max="11268" width="10" style="206" customWidth="1"/>
    <col min="11269" max="11269" width="13.85546875" style="206" customWidth="1"/>
    <col min="11270" max="11270" width="27.140625" style="206" customWidth="1"/>
    <col min="11271" max="11271" width="9.140625" style="206" customWidth="1"/>
    <col min="11272" max="11272" width="12.85546875" style="206" customWidth="1"/>
    <col min="11273" max="11273" width="27.140625" style="206" customWidth="1"/>
    <col min="11274" max="11520" width="12.140625" style="206"/>
    <col min="11521" max="11521" width="9.140625" style="206" customWidth="1"/>
    <col min="11522" max="11522" width="12.85546875" style="206" customWidth="1"/>
    <col min="11523" max="11523" width="27.140625" style="206" customWidth="1"/>
    <col min="11524" max="11524" width="10" style="206" customWidth="1"/>
    <col min="11525" max="11525" width="13.85546875" style="206" customWidth="1"/>
    <col min="11526" max="11526" width="27.140625" style="206" customWidth="1"/>
    <col min="11527" max="11527" width="9.140625" style="206" customWidth="1"/>
    <col min="11528" max="11528" width="12.85546875" style="206" customWidth="1"/>
    <col min="11529" max="11529" width="27.140625" style="206" customWidth="1"/>
    <col min="11530" max="11776" width="12.140625" style="206"/>
    <col min="11777" max="11777" width="9.140625" style="206" customWidth="1"/>
    <col min="11778" max="11778" width="12.85546875" style="206" customWidth="1"/>
    <col min="11779" max="11779" width="27.140625" style="206" customWidth="1"/>
    <col min="11780" max="11780" width="10" style="206" customWidth="1"/>
    <col min="11781" max="11781" width="13.85546875" style="206" customWidth="1"/>
    <col min="11782" max="11782" width="27.140625" style="206" customWidth="1"/>
    <col min="11783" max="11783" width="9.140625" style="206" customWidth="1"/>
    <col min="11784" max="11784" width="12.85546875" style="206" customWidth="1"/>
    <col min="11785" max="11785" width="27.140625" style="206" customWidth="1"/>
    <col min="11786" max="12032" width="12.140625" style="206"/>
    <col min="12033" max="12033" width="9.140625" style="206" customWidth="1"/>
    <col min="12034" max="12034" width="12.85546875" style="206" customWidth="1"/>
    <col min="12035" max="12035" width="27.140625" style="206" customWidth="1"/>
    <col min="12036" max="12036" width="10" style="206" customWidth="1"/>
    <col min="12037" max="12037" width="13.85546875" style="206" customWidth="1"/>
    <col min="12038" max="12038" width="27.140625" style="206" customWidth="1"/>
    <col min="12039" max="12039" width="9.140625" style="206" customWidth="1"/>
    <col min="12040" max="12040" width="12.85546875" style="206" customWidth="1"/>
    <col min="12041" max="12041" width="27.140625" style="206" customWidth="1"/>
    <col min="12042" max="12288" width="12.140625" style="206"/>
    <col min="12289" max="12289" width="9.140625" style="206" customWidth="1"/>
    <col min="12290" max="12290" width="12.85546875" style="206" customWidth="1"/>
    <col min="12291" max="12291" width="27.140625" style="206" customWidth="1"/>
    <col min="12292" max="12292" width="10" style="206" customWidth="1"/>
    <col min="12293" max="12293" width="13.85546875" style="206" customWidth="1"/>
    <col min="12294" max="12294" width="27.140625" style="206" customWidth="1"/>
    <col min="12295" max="12295" width="9.140625" style="206" customWidth="1"/>
    <col min="12296" max="12296" width="12.85546875" style="206" customWidth="1"/>
    <col min="12297" max="12297" width="27.140625" style="206" customWidth="1"/>
    <col min="12298" max="12544" width="12.140625" style="206"/>
    <col min="12545" max="12545" width="9.140625" style="206" customWidth="1"/>
    <col min="12546" max="12546" width="12.85546875" style="206" customWidth="1"/>
    <col min="12547" max="12547" width="27.140625" style="206" customWidth="1"/>
    <col min="12548" max="12548" width="10" style="206" customWidth="1"/>
    <col min="12549" max="12549" width="13.85546875" style="206" customWidth="1"/>
    <col min="12550" max="12550" width="27.140625" style="206" customWidth="1"/>
    <col min="12551" max="12551" width="9.140625" style="206" customWidth="1"/>
    <col min="12552" max="12552" width="12.85546875" style="206" customWidth="1"/>
    <col min="12553" max="12553" width="27.140625" style="206" customWidth="1"/>
    <col min="12554" max="12800" width="12.140625" style="206"/>
    <col min="12801" max="12801" width="9.140625" style="206" customWidth="1"/>
    <col min="12802" max="12802" width="12.85546875" style="206" customWidth="1"/>
    <col min="12803" max="12803" width="27.140625" style="206" customWidth="1"/>
    <col min="12804" max="12804" width="10" style="206" customWidth="1"/>
    <col min="12805" max="12805" width="13.85546875" style="206" customWidth="1"/>
    <col min="12806" max="12806" width="27.140625" style="206" customWidth="1"/>
    <col min="12807" max="12807" width="9.140625" style="206" customWidth="1"/>
    <col min="12808" max="12808" width="12.85546875" style="206" customWidth="1"/>
    <col min="12809" max="12809" width="27.140625" style="206" customWidth="1"/>
    <col min="12810" max="13056" width="12.140625" style="206"/>
    <col min="13057" max="13057" width="9.140625" style="206" customWidth="1"/>
    <col min="13058" max="13058" width="12.85546875" style="206" customWidth="1"/>
    <col min="13059" max="13059" width="27.140625" style="206" customWidth="1"/>
    <col min="13060" max="13060" width="10" style="206" customWidth="1"/>
    <col min="13061" max="13061" width="13.85546875" style="206" customWidth="1"/>
    <col min="13062" max="13062" width="27.140625" style="206" customWidth="1"/>
    <col min="13063" max="13063" width="9.140625" style="206" customWidth="1"/>
    <col min="13064" max="13064" width="12.85546875" style="206" customWidth="1"/>
    <col min="13065" max="13065" width="27.140625" style="206" customWidth="1"/>
    <col min="13066" max="13312" width="12.140625" style="206"/>
    <col min="13313" max="13313" width="9.140625" style="206" customWidth="1"/>
    <col min="13314" max="13314" width="12.85546875" style="206" customWidth="1"/>
    <col min="13315" max="13315" width="27.140625" style="206" customWidth="1"/>
    <col min="13316" max="13316" width="10" style="206" customWidth="1"/>
    <col min="13317" max="13317" width="13.85546875" style="206" customWidth="1"/>
    <col min="13318" max="13318" width="27.140625" style="206" customWidth="1"/>
    <col min="13319" max="13319" width="9.140625" style="206" customWidth="1"/>
    <col min="13320" max="13320" width="12.85546875" style="206" customWidth="1"/>
    <col min="13321" max="13321" width="27.140625" style="206" customWidth="1"/>
    <col min="13322" max="13568" width="12.140625" style="206"/>
    <col min="13569" max="13569" width="9.140625" style="206" customWidth="1"/>
    <col min="13570" max="13570" width="12.85546875" style="206" customWidth="1"/>
    <col min="13571" max="13571" width="27.140625" style="206" customWidth="1"/>
    <col min="13572" max="13572" width="10" style="206" customWidth="1"/>
    <col min="13573" max="13573" width="13.85546875" style="206" customWidth="1"/>
    <col min="13574" max="13574" width="27.140625" style="206" customWidth="1"/>
    <col min="13575" max="13575" width="9.140625" style="206" customWidth="1"/>
    <col min="13576" max="13576" width="12.85546875" style="206" customWidth="1"/>
    <col min="13577" max="13577" width="27.140625" style="206" customWidth="1"/>
    <col min="13578" max="13824" width="12.140625" style="206"/>
    <col min="13825" max="13825" width="9.140625" style="206" customWidth="1"/>
    <col min="13826" max="13826" width="12.85546875" style="206" customWidth="1"/>
    <col min="13827" max="13827" width="27.140625" style="206" customWidth="1"/>
    <col min="13828" max="13828" width="10" style="206" customWidth="1"/>
    <col min="13829" max="13829" width="13.85546875" style="206" customWidth="1"/>
    <col min="13830" max="13830" width="27.140625" style="206" customWidth="1"/>
    <col min="13831" max="13831" width="9.140625" style="206" customWidth="1"/>
    <col min="13832" max="13832" width="12.85546875" style="206" customWidth="1"/>
    <col min="13833" max="13833" width="27.140625" style="206" customWidth="1"/>
    <col min="13834" max="14080" width="12.140625" style="206"/>
    <col min="14081" max="14081" width="9.140625" style="206" customWidth="1"/>
    <col min="14082" max="14082" width="12.85546875" style="206" customWidth="1"/>
    <col min="14083" max="14083" width="27.140625" style="206" customWidth="1"/>
    <col min="14084" max="14084" width="10" style="206" customWidth="1"/>
    <col min="14085" max="14085" width="13.85546875" style="206" customWidth="1"/>
    <col min="14086" max="14086" width="27.140625" style="206" customWidth="1"/>
    <col min="14087" max="14087" width="9.140625" style="206" customWidth="1"/>
    <col min="14088" max="14088" width="12.85546875" style="206" customWidth="1"/>
    <col min="14089" max="14089" width="27.140625" style="206" customWidth="1"/>
    <col min="14090" max="14336" width="12.140625" style="206"/>
    <col min="14337" max="14337" width="9.140625" style="206" customWidth="1"/>
    <col min="14338" max="14338" width="12.85546875" style="206" customWidth="1"/>
    <col min="14339" max="14339" width="27.140625" style="206" customWidth="1"/>
    <col min="14340" max="14340" width="10" style="206" customWidth="1"/>
    <col min="14341" max="14341" width="13.85546875" style="206" customWidth="1"/>
    <col min="14342" max="14342" width="27.140625" style="206" customWidth="1"/>
    <col min="14343" max="14343" width="9.140625" style="206" customWidth="1"/>
    <col min="14344" max="14344" width="12.85546875" style="206" customWidth="1"/>
    <col min="14345" max="14345" width="27.140625" style="206" customWidth="1"/>
    <col min="14346" max="14592" width="12.140625" style="206"/>
    <col min="14593" max="14593" width="9.140625" style="206" customWidth="1"/>
    <col min="14594" max="14594" width="12.85546875" style="206" customWidth="1"/>
    <col min="14595" max="14595" width="27.140625" style="206" customWidth="1"/>
    <col min="14596" max="14596" width="10" style="206" customWidth="1"/>
    <col min="14597" max="14597" width="13.85546875" style="206" customWidth="1"/>
    <col min="14598" max="14598" width="27.140625" style="206" customWidth="1"/>
    <col min="14599" max="14599" width="9.140625" style="206" customWidth="1"/>
    <col min="14600" max="14600" width="12.85546875" style="206" customWidth="1"/>
    <col min="14601" max="14601" width="27.140625" style="206" customWidth="1"/>
    <col min="14602" max="14848" width="12.140625" style="206"/>
    <col min="14849" max="14849" width="9.140625" style="206" customWidth="1"/>
    <col min="14850" max="14850" width="12.85546875" style="206" customWidth="1"/>
    <col min="14851" max="14851" width="27.140625" style="206" customWidth="1"/>
    <col min="14852" max="14852" width="10" style="206" customWidth="1"/>
    <col min="14853" max="14853" width="13.85546875" style="206" customWidth="1"/>
    <col min="14854" max="14854" width="27.140625" style="206" customWidth="1"/>
    <col min="14855" max="14855" width="9.140625" style="206" customWidth="1"/>
    <col min="14856" max="14856" width="12.85546875" style="206" customWidth="1"/>
    <col min="14857" max="14857" width="27.140625" style="206" customWidth="1"/>
    <col min="14858" max="15104" width="12.140625" style="206"/>
    <col min="15105" max="15105" width="9.140625" style="206" customWidth="1"/>
    <col min="15106" max="15106" width="12.85546875" style="206" customWidth="1"/>
    <col min="15107" max="15107" width="27.140625" style="206" customWidth="1"/>
    <col min="15108" max="15108" width="10" style="206" customWidth="1"/>
    <col min="15109" max="15109" width="13.85546875" style="206" customWidth="1"/>
    <col min="15110" max="15110" width="27.140625" style="206" customWidth="1"/>
    <col min="15111" max="15111" width="9.140625" style="206" customWidth="1"/>
    <col min="15112" max="15112" width="12.85546875" style="206" customWidth="1"/>
    <col min="15113" max="15113" width="27.140625" style="206" customWidth="1"/>
    <col min="15114" max="15360" width="12.140625" style="206"/>
    <col min="15361" max="15361" width="9.140625" style="206" customWidth="1"/>
    <col min="15362" max="15362" width="12.85546875" style="206" customWidth="1"/>
    <col min="15363" max="15363" width="27.140625" style="206" customWidth="1"/>
    <col min="15364" max="15364" width="10" style="206" customWidth="1"/>
    <col min="15365" max="15365" width="13.85546875" style="206" customWidth="1"/>
    <col min="15366" max="15366" width="27.140625" style="206" customWidth="1"/>
    <col min="15367" max="15367" width="9.140625" style="206" customWidth="1"/>
    <col min="15368" max="15368" width="12.85546875" style="206" customWidth="1"/>
    <col min="15369" max="15369" width="27.140625" style="206" customWidth="1"/>
    <col min="15370" max="15616" width="12.140625" style="206"/>
    <col min="15617" max="15617" width="9.140625" style="206" customWidth="1"/>
    <col min="15618" max="15618" width="12.85546875" style="206" customWidth="1"/>
    <col min="15619" max="15619" width="27.140625" style="206" customWidth="1"/>
    <col min="15620" max="15620" width="10" style="206" customWidth="1"/>
    <col min="15621" max="15621" width="13.85546875" style="206" customWidth="1"/>
    <col min="15622" max="15622" width="27.140625" style="206" customWidth="1"/>
    <col min="15623" max="15623" width="9.140625" style="206" customWidth="1"/>
    <col min="15624" max="15624" width="12.85546875" style="206" customWidth="1"/>
    <col min="15625" max="15625" width="27.140625" style="206" customWidth="1"/>
    <col min="15626" max="15872" width="12.140625" style="206"/>
    <col min="15873" max="15873" width="9.140625" style="206" customWidth="1"/>
    <col min="15874" max="15874" width="12.85546875" style="206" customWidth="1"/>
    <col min="15875" max="15875" width="27.140625" style="206" customWidth="1"/>
    <col min="15876" max="15876" width="10" style="206" customWidth="1"/>
    <col min="15877" max="15877" width="13.85546875" style="206" customWidth="1"/>
    <col min="15878" max="15878" width="27.140625" style="206" customWidth="1"/>
    <col min="15879" max="15879" width="9.140625" style="206" customWidth="1"/>
    <col min="15880" max="15880" width="12.85546875" style="206" customWidth="1"/>
    <col min="15881" max="15881" width="27.140625" style="206" customWidth="1"/>
    <col min="15882" max="16128" width="12.140625" style="206"/>
    <col min="16129" max="16129" width="9.140625" style="206" customWidth="1"/>
    <col min="16130" max="16130" width="12.85546875" style="206" customWidth="1"/>
    <col min="16131" max="16131" width="27.140625" style="206" customWidth="1"/>
    <col min="16132" max="16132" width="10" style="206" customWidth="1"/>
    <col min="16133" max="16133" width="13.85546875" style="206" customWidth="1"/>
    <col min="16134" max="16134" width="27.140625" style="206" customWidth="1"/>
    <col min="16135" max="16135" width="9.140625" style="206" customWidth="1"/>
    <col min="16136" max="16136" width="12.85546875" style="206" customWidth="1"/>
    <col min="16137" max="16137" width="27.140625" style="206" customWidth="1"/>
    <col min="16138" max="16384" width="12.140625" style="206"/>
  </cols>
  <sheetData>
    <row r="1" spans="1:9" ht="54.75" customHeight="1">
      <c r="A1" s="255" t="s">
        <v>1308</v>
      </c>
      <c r="B1" s="256"/>
      <c r="C1" s="256"/>
      <c r="D1" s="256"/>
      <c r="E1" s="256"/>
      <c r="F1" s="256"/>
      <c r="G1" s="256"/>
      <c r="H1" s="256"/>
      <c r="I1" s="256"/>
    </row>
    <row r="2" spans="1:9" ht="15" customHeight="1">
      <c r="A2" s="257" t="s">
        <v>1</v>
      </c>
      <c r="B2" s="258"/>
      <c r="C2" s="261" t="str">
        <f>'[1]Stavební rozpočet'!D2</f>
        <v>ZŠ U Červených domků - rekonstrukce teplovodů</v>
      </c>
      <c r="D2" s="262"/>
      <c r="E2" s="264" t="s">
        <v>3</v>
      </c>
      <c r="F2" s="264" t="str">
        <f>'[1]Stavební rozpočet'!J2</f>
        <v>Město Hodonín,, Masarykovo nám. 53/1, 695 35 Hodon</v>
      </c>
      <c r="G2" s="258"/>
      <c r="H2" s="264" t="s">
        <v>460</v>
      </c>
      <c r="I2" s="265" t="s">
        <v>21</v>
      </c>
    </row>
    <row r="3" spans="1:9" ht="15" customHeight="1">
      <c r="A3" s="259"/>
      <c r="B3" s="260"/>
      <c r="C3" s="263"/>
      <c r="D3" s="263"/>
      <c r="E3" s="260"/>
      <c r="F3" s="260"/>
      <c r="G3" s="260"/>
      <c r="H3" s="260"/>
      <c r="I3" s="266"/>
    </row>
    <row r="4" spans="1:9" ht="15" customHeight="1">
      <c r="A4" s="267" t="s">
        <v>4</v>
      </c>
      <c r="B4" s="260"/>
      <c r="C4" s="268" t="str">
        <f>'[1]Stavební rozpočet'!D4</f>
        <v>Rekonstrukce zdroje tepla a jeho distribuční sítě v areálu ZŠ U Červených domků</v>
      </c>
      <c r="D4" s="260"/>
      <c r="E4" s="268" t="s">
        <v>6</v>
      </c>
      <c r="F4" s="268" t="str">
        <f>'[1]Stavební rozpočet'!J4</f>
        <v>VS-ingline, s.r.o.</v>
      </c>
      <c r="G4" s="260"/>
      <c r="H4" s="268" t="s">
        <v>460</v>
      </c>
      <c r="I4" s="266" t="s">
        <v>461</v>
      </c>
    </row>
    <row r="5" spans="1:9" ht="15" customHeight="1">
      <c r="A5" s="259"/>
      <c r="B5" s="260"/>
      <c r="C5" s="260"/>
      <c r="D5" s="260"/>
      <c r="E5" s="260"/>
      <c r="F5" s="260"/>
      <c r="G5" s="260"/>
      <c r="H5" s="260"/>
      <c r="I5" s="266"/>
    </row>
    <row r="6" spans="1:9" ht="15" customHeight="1">
      <c r="A6" s="267" t="s">
        <v>7</v>
      </c>
      <c r="B6" s="260"/>
      <c r="C6" s="268" t="str">
        <f>'[1]Stavební rozpočet'!D6</f>
        <v>Hodonín, ZŠ U Červených domků</v>
      </c>
      <c r="D6" s="260"/>
      <c r="E6" s="268" t="s">
        <v>9</v>
      </c>
      <c r="F6" s="268" t="str">
        <f>'[1]Stavební rozpočet'!J6</f>
        <v> </v>
      </c>
      <c r="G6" s="260"/>
      <c r="H6" s="268" t="s">
        <v>460</v>
      </c>
      <c r="I6" s="266" t="s">
        <v>21</v>
      </c>
    </row>
    <row r="7" spans="1:9" ht="15" customHeight="1">
      <c r="A7" s="259"/>
      <c r="B7" s="260"/>
      <c r="C7" s="260"/>
      <c r="D7" s="260"/>
      <c r="E7" s="260"/>
      <c r="F7" s="260"/>
      <c r="G7" s="260"/>
      <c r="H7" s="260"/>
      <c r="I7" s="266"/>
    </row>
    <row r="8" spans="1:9" ht="15" customHeight="1">
      <c r="A8" s="267" t="s">
        <v>5</v>
      </c>
      <c r="B8" s="260"/>
      <c r="C8" s="268" t="str">
        <f>'[1]Stavební rozpočet'!H4</f>
        <v xml:space="preserve"> </v>
      </c>
      <c r="D8" s="260"/>
      <c r="E8" s="268" t="s">
        <v>8</v>
      </c>
      <c r="F8" s="268" t="str">
        <f>'[1]Stavební rozpočet'!H6</f>
        <v xml:space="preserve"> </v>
      </c>
      <c r="G8" s="260"/>
      <c r="H8" s="260" t="s">
        <v>462</v>
      </c>
      <c r="I8" s="271">
        <v>484</v>
      </c>
    </row>
    <row r="9" spans="1:9" ht="15" customHeight="1">
      <c r="A9" s="259"/>
      <c r="B9" s="260"/>
      <c r="C9" s="260"/>
      <c r="D9" s="260"/>
      <c r="E9" s="260"/>
      <c r="F9" s="260"/>
      <c r="G9" s="260"/>
      <c r="H9" s="260"/>
      <c r="I9" s="266"/>
    </row>
    <row r="10" spans="1:9" ht="15" customHeight="1">
      <c r="A10" s="267" t="s">
        <v>10</v>
      </c>
      <c r="B10" s="260"/>
      <c r="C10" s="268" t="str">
        <f>'[1]Stavební rozpočet'!D8</f>
        <v xml:space="preserve"> </v>
      </c>
      <c r="D10" s="260"/>
      <c r="E10" s="268" t="s">
        <v>12</v>
      </c>
      <c r="F10" s="268" t="str">
        <f>'[1]Stavební rozpočet'!J8</f>
        <v>Ing. Miloš Červený</v>
      </c>
      <c r="G10" s="260"/>
      <c r="H10" s="260" t="s">
        <v>463</v>
      </c>
      <c r="I10" s="269" t="str">
        <f>'[1]Stavební rozpočet'!H8</f>
        <v>28.12.2023</v>
      </c>
    </row>
    <row r="11" spans="1:9" ht="15" customHeight="1">
      <c r="A11" s="272"/>
      <c r="B11" s="273"/>
      <c r="C11" s="273"/>
      <c r="D11" s="273"/>
      <c r="E11" s="273"/>
      <c r="F11" s="273"/>
      <c r="G11" s="273"/>
      <c r="H11" s="273"/>
      <c r="I11" s="270"/>
    </row>
    <row r="12" spans="1:9" ht="22.5" customHeight="1">
      <c r="A12" s="274" t="s">
        <v>464</v>
      </c>
      <c r="B12" s="274"/>
      <c r="C12" s="274"/>
      <c r="D12" s="274"/>
      <c r="E12" s="274"/>
      <c r="F12" s="274"/>
      <c r="G12" s="274"/>
      <c r="H12" s="274"/>
      <c r="I12" s="274"/>
    </row>
    <row r="13" spans="1:9" ht="26.25" customHeight="1">
      <c r="A13" s="211" t="s">
        <v>465</v>
      </c>
      <c r="B13" s="275" t="s">
        <v>466</v>
      </c>
      <c r="C13" s="276"/>
      <c r="D13" s="212" t="s">
        <v>467</v>
      </c>
      <c r="E13" s="275" t="s">
        <v>468</v>
      </c>
      <c r="F13" s="276"/>
      <c r="G13" s="212" t="s">
        <v>469</v>
      </c>
      <c r="H13" s="275" t="s">
        <v>470</v>
      </c>
      <c r="I13" s="276"/>
    </row>
    <row r="14" spans="1:9" ht="15" customHeight="1">
      <c r="A14" s="213" t="s">
        <v>471</v>
      </c>
      <c r="B14" s="214" t="s">
        <v>472</v>
      </c>
      <c r="C14" s="215">
        <f>SUM('Slepý stavební rozpočet'!AB12:AB591)</f>
        <v>0</v>
      </c>
      <c r="D14" s="277" t="s">
        <v>473</v>
      </c>
      <c r="E14" s="278"/>
      <c r="F14" s="215">
        <f>VORN!I15</f>
        <v>0</v>
      </c>
      <c r="G14" s="277" t="s">
        <v>40</v>
      </c>
      <c r="H14" s="278"/>
      <c r="I14" s="215">
        <f>VORN!I21</f>
        <v>0</v>
      </c>
    </row>
    <row r="15" spans="1:9" ht="15" customHeight="1">
      <c r="A15" s="217" t="s">
        <v>21</v>
      </c>
      <c r="B15" s="214" t="s">
        <v>474</v>
      </c>
      <c r="C15" s="215">
        <f>SUM('Slepý stavební rozpočet'!AC12:AC591)</f>
        <v>0</v>
      </c>
      <c r="D15" s="277" t="s">
        <v>475</v>
      </c>
      <c r="E15" s="278"/>
      <c r="F15" s="215">
        <f>VORN!I16</f>
        <v>0</v>
      </c>
      <c r="G15" s="277" t="s">
        <v>476</v>
      </c>
      <c r="H15" s="278"/>
      <c r="I15" s="215">
        <f>VORN!I22</f>
        <v>0</v>
      </c>
    </row>
    <row r="16" spans="1:9" ht="15" customHeight="1">
      <c r="A16" s="213" t="s">
        <v>477</v>
      </c>
      <c r="B16" s="214" t="s">
        <v>472</v>
      </c>
      <c r="C16" s="215">
        <f>SUM('Slepý stavební rozpočet'!AD12:AD591)</f>
        <v>0</v>
      </c>
      <c r="D16" s="277" t="s">
        <v>478</v>
      </c>
      <c r="E16" s="278"/>
      <c r="F16" s="215">
        <f>VORN!I17</f>
        <v>0</v>
      </c>
      <c r="G16" s="277" t="s">
        <v>349</v>
      </c>
      <c r="H16" s="278"/>
      <c r="I16" s="215">
        <f>VORN!I23</f>
        <v>0</v>
      </c>
    </row>
    <row r="17" spans="1:9" ht="15" customHeight="1">
      <c r="A17" s="217" t="s">
        <v>21</v>
      </c>
      <c r="B17" s="214" t="s">
        <v>474</v>
      </c>
      <c r="C17" s="215">
        <f>SUM('Slepý stavební rozpočet'!AE12:AE591)</f>
        <v>0</v>
      </c>
      <c r="D17" s="277" t="s">
        <v>21</v>
      </c>
      <c r="E17" s="278"/>
      <c r="F17" s="216" t="s">
        <v>21</v>
      </c>
      <c r="G17" s="277" t="s">
        <v>479</v>
      </c>
      <c r="H17" s="278"/>
      <c r="I17" s="215">
        <f>VORN!I24</f>
        <v>0</v>
      </c>
    </row>
    <row r="18" spans="1:9" ht="15" customHeight="1">
      <c r="A18" s="213" t="s">
        <v>480</v>
      </c>
      <c r="B18" s="214" t="s">
        <v>472</v>
      </c>
      <c r="C18" s="215">
        <f>SUM('Slepý stavební rozpočet'!AF12:AF591)</f>
        <v>0</v>
      </c>
      <c r="D18" s="277" t="s">
        <v>21</v>
      </c>
      <c r="E18" s="278"/>
      <c r="F18" s="216" t="s">
        <v>21</v>
      </c>
      <c r="G18" s="277" t="s">
        <v>481</v>
      </c>
      <c r="H18" s="278"/>
      <c r="I18" s="215">
        <f>VORN!I25</f>
        <v>0</v>
      </c>
    </row>
    <row r="19" spans="1:9" ht="15" customHeight="1">
      <c r="A19" s="217" t="s">
        <v>21</v>
      </c>
      <c r="B19" s="214" t="s">
        <v>474</v>
      </c>
      <c r="C19" s="215">
        <f>SUM('Slepý stavební rozpočet'!AG12:AG591)</f>
        <v>0</v>
      </c>
      <c r="D19" s="277" t="s">
        <v>21</v>
      </c>
      <c r="E19" s="278"/>
      <c r="F19" s="216" t="s">
        <v>21</v>
      </c>
      <c r="G19" s="277" t="s">
        <v>482</v>
      </c>
      <c r="H19" s="278"/>
      <c r="I19" s="215">
        <f>VORN!I26</f>
        <v>0</v>
      </c>
    </row>
    <row r="20" spans="1:9" ht="15" customHeight="1">
      <c r="A20" s="279" t="s">
        <v>483</v>
      </c>
      <c r="B20" s="280"/>
      <c r="C20" s="215">
        <f>SUM('Slepý stavební rozpočet'!AH12:AH591)</f>
        <v>0</v>
      </c>
      <c r="D20" s="277" t="s">
        <v>21</v>
      </c>
      <c r="E20" s="278"/>
      <c r="F20" s="216" t="s">
        <v>21</v>
      </c>
      <c r="G20" s="277" t="s">
        <v>21</v>
      </c>
      <c r="H20" s="278"/>
      <c r="I20" s="216" t="s">
        <v>21</v>
      </c>
    </row>
    <row r="21" spans="1:9" ht="15" customHeight="1">
      <c r="A21" s="284" t="s">
        <v>484</v>
      </c>
      <c r="B21" s="285"/>
      <c r="C21" s="218">
        <f>SUM('Slepý stavební rozpočet'!Z12:Z591)</f>
        <v>0</v>
      </c>
      <c r="D21" s="286" t="s">
        <v>21</v>
      </c>
      <c r="E21" s="287"/>
      <c r="F21" s="219" t="s">
        <v>21</v>
      </c>
      <c r="G21" s="286" t="s">
        <v>21</v>
      </c>
      <c r="H21" s="287"/>
      <c r="I21" s="219" t="s">
        <v>21</v>
      </c>
    </row>
    <row r="22" spans="1:9" ht="16.5" customHeight="1">
      <c r="A22" s="288" t="s">
        <v>485</v>
      </c>
      <c r="B22" s="289"/>
      <c r="C22" s="220">
        <f>SUM(C14:C21)</f>
        <v>0</v>
      </c>
      <c r="D22" s="290" t="s">
        <v>486</v>
      </c>
      <c r="E22" s="289"/>
      <c r="F22" s="220">
        <f>SUM(F14:F21)</f>
        <v>0</v>
      </c>
      <c r="G22" s="290" t="s">
        <v>487</v>
      </c>
      <c r="H22" s="289"/>
      <c r="I22" s="220">
        <f>SUM(I14:I21)</f>
        <v>0</v>
      </c>
    </row>
    <row r="23" spans="1:9" ht="15" customHeight="1" thickBot="1">
      <c r="D23" s="279" t="s">
        <v>488</v>
      </c>
      <c r="E23" s="280"/>
      <c r="F23" s="221">
        <v>0</v>
      </c>
      <c r="G23" s="291" t="s">
        <v>489</v>
      </c>
      <c r="H23" s="280"/>
      <c r="I23" s="215">
        <v>0</v>
      </c>
    </row>
    <row r="24" spans="1:9" ht="15" customHeight="1">
      <c r="G24" s="279" t="s">
        <v>490</v>
      </c>
      <c r="H24" s="280"/>
      <c r="I24" s="218">
        <f>vorn_sum</f>
        <v>0</v>
      </c>
    </row>
    <row r="25" spans="1:9" ht="15" customHeight="1">
      <c r="G25" s="279" t="s">
        <v>491</v>
      </c>
      <c r="H25" s="280"/>
      <c r="I25" s="220">
        <v>0</v>
      </c>
    </row>
    <row r="27" spans="1:9" ht="15" customHeight="1">
      <c r="A27" s="292" t="s">
        <v>492</v>
      </c>
      <c r="B27" s="283"/>
      <c r="C27" s="222">
        <f>SUM('Slepý stavební rozpočet'!AJ12:AJ591)</f>
        <v>0</v>
      </c>
    </row>
    <row r="28" spans="1:9" ht="15" customHeight="1">
      <c r="A28" s="281" t="s">
        <v>493</v>
      </c>
      <c r="B28" s="282"/>
      <c r="C28" s="223">
        <f>SUM('Slepý stavební rozpočet'!AK12:AK591)</f>
        <v>0</v>
      </c>
      <c r="D28" s="283" t="s">
        <v>494</v>
      </c>
      <c r="E28" s="283"/>
      <c r="F28" s="222">
        <f>ROUND(C28*(12/100),2)</f>
        <v>0</v>
      </c>
      <c r="G28" s="283" t="s">
        <v>495</v>
      </c>
      <c r="H28" s="283"/>
      <c r="I28" s="222">
        <f>SUM(C27:C29)</f>
        <v>0</v>
      </c>
    </row>
    <row r="29" spans="1:9" ht="15" customHeight="1">
      <c r="A29" s="281" t="s">
        <v>496</v>
      </c>
      <c r="B29" s="282"/>
      <c r="C29" s="223">
        <f>SUM('Slepý stavební rozpočet'!AL12:AL591)</f>
        <v>0</v>
      </c>
      <c r="D29" s="282" t="s">
        <v>497</v>
      </c>
      <c r="E29" s="282"/>
      <c r="F29" s="223">
        <f>ROUND(C29*(21/100),2)</f>
        <v>0</v>
      </c>
      <c r="G29" s="282" t="s">
        <v>498</v>
      </c>
      <c r="H29" s="282"/>
      <c r="I29" s="223">
        <f>SUM(F28:F29)+I28</f>
        <v>0</v>
      </c>
    </row>
    <row r="31" spans="1:9" ht="15" customHeight="1">
      <c r="A31" s="293" t="s">
        <v>499</v>
      </c>
      <c r="B31" s="294"/>
      <c r="C31" s="295"/>
      <c r="D31" s="294" t="s">
        <v>500</v>
      </c>
      <c r="E31" s="294"/>
      <c r="F31" s="295"/>
      <c r="G31" s="294" t="s">
        <v>501</v>
      </c>
      <c r="H31" s="294"/>
      <c r="I31" s="295"/>
    </row>
    <row r="32" spans="1:9" ht="15" customHeight="1">
      <c r="A32" s="296" t="s">
        <v>21</v>
      </c>
      <c r="B32" s="286"/>
      <c r="C32" s="297"/>
      <c r="D32" s="286" t="s">
        <v>21</v>
      </c>
      <c r="E32" s="286"/>
      <c r="F32" s="297"/>
      <c r="G32" s="286" t="s">
        <v>21</v>
      </c>
      <c r="H32" s="286"/>
      <c r="I32" s="297"/>
    </row>
    <row r="33" spans="1:9" ht="15" customHeight="1">
      <c r="A33" s="296" t="s">
        <v>21</v>
      </c>
      <c r="B33" s="286"/>
      <c r="C33" s="297"/>
      <c r="D33" s="286" t="s">
        <v>21</v>
      </c>
      <c r="E33" s="286"/>
      <c r="F33" s="297"/>
      <c r="G33" s="286" t="s">
        <v>21</v>
      </c>
      <c r="H33" s="286"/>
      <c r="I33" s="297"/>
    </row>
    <row r="34" spans="1:9" ht="15" customHeight="1">
      <c r="A34" s="296" t="s">
        <v>21</v>
      </c>
      <c r="B34" s="286"/>
      <c r="C34" s="297"/>
      <c r="D34" s="286" t="s">
        <v>21</v>
      </c>
      <c r="E34" s="286"/>
      <c r="F34" s="297"/>
      <c r="G34" s="286" t="s">
        <v>21</v>
      </c>
      <c r="H34" s="286"/>
      <c r="I34" s="297"/>
    </row>
    <row r="35" spans="1:9" ht="15" customHeight="1" thickBot="1">
      <c r="A35" s="298" t="s">
        <v>502</v>
      </c>
      <c r="B35" s="299"/>
      <c r="C35" s="300"/>
      <c r="D35" s="299" t="s">
        <v>502</v>
      </c>
      <c r="E35" s="299"/>
      <c r="F35" s="300"/>
      <c r="G35" s="299" t="s">
        <v>502</v>
      </c>
      <c r="H35" s="299"/>
      <c r="I35" s="300"/>
    </row>
    <row r="36" spans="1:9" ht="15" customHeight="1">
      <c r="A36" s="224" t="s">
        <v>503</v>
      </c>
    </row>
    <row r="37" spans="1:9" ht="12.75" customHeight="1">
      <c r="A37" s="268" t="s">
        <v>21</v>
      </c>
      <c r="B37" s="260"/>
      <c r="C37" s="260"/>
      <c r="D37" s="260"/>
      <c r="E37" s="260"/>
      <c r="F37" s="260"/>
      <c r="G37" s="260"/>
      <c r="H37" s="260"/>
      <c r="I37" s="260"/>
    </row>
  </sheetData>
  <mergeCells count="83">
    <mergeCell ref="A37:I37"/>
    <mergeCell ref="A34:C34"/>
    <mergeCell ref="D34:F34"/>
    <mergeCell ref="G34:I34"/>
    <mergeCell ref="A35:C35"/>
    <mergeCell ref="D35:F35"/>
    <mergeCell ref="G35:I35"/>
    <mergeCell ref="A32:C32"/>
    <mergeCell ref="D32:F32"/>
    <mergeCell ref="G32:I32"/>
    <mergeCell ref="A33:C33"/>
    <mergeCell ref="D33:F33"/>
    <mergeCell ref="G33:I33"/>
    <mergeCell ref="A29:B29"/>
    <mergeCell ref="D29:E29"/>
    <mergeCell ref="G29:H29"/>
    <mergeCell ref="A31:C31"/>
    <mergeCell ref="D31:F31"/>
    <mergeCell ref="G31:I31"/>
    <mergeCell ref="A28:B28"/>
    <mergeCell ref="D28:E28"/>
    <mergeCell ref="G28:H28"/>
    <mergeCell ref="A21:B21"/>
    <mergeCell ref="D21:E21"/>
    <mergeCell ref="G21:H21"/>
    <mergeCell ref="A22:B22"/>
    <mergeCell ref="D22:E22"/>
    <mergeCell ref="G22:H22"/>
    <mergeCell ref="D23:E23"/>
    <mergeCell ref="G23:H23"/>
    <mergeCell ref="G24:H24"/>
    <mergeCell ref="G25:H25"/>
    <mergeCell ref="A27:B27"/>
    <mergeCell ref="D18:E18"/>
    <mergeCell ref="G18:H18"/>
    <mergeCell ref="D19:E19"/>
    <mergeCell ref="G19:H19"/>
    <mergeCell ref="A20:B20"/>
    <mergeCell ref="D20:E20"/>
    <mergeCell ref="G20:H20"/>
    <mergeCell ref="D15:E15"/>
    <mergeCell ref="G15:H15"/>
    <mergeCell ref="D16:E16"/>
    <mergeCell ref="G16:H16"/>
    <mergeCell ref="D17:E17"/>
    <mergeCell ref="G17:H17"/>
    <mergeCell ref="A12:I12"/>
    <mergeCell ref="B13:C13"/>
    <mergeCell ref="E13:F13"/>
    <mergeCell ref="H13:I13"/>
    <mergeCell ref="D14:E14"/>
    <mergeCell ref="G14:H14"/>
    <mergeCell ref="I10:I11"/>
    <mergeCell ref="A8:B9"/>
    <mergeCell ref="C8:D9"/>
    <mergeCell ref="E8:E9"/>
    <mergeCell ref="F8:G9"/>
    <mergeCell ref="H8:H9"/>
    <mergeCell ref="I8:I9"/>
    <mergeCell ref="A10:B11"/>
    <mergeCell ref="C10:D11"/>
    <mergeCell ref="E10:E11"/>
    <mergeCell ref="F10:G11"/>
    <mergeCell ref="H10:H11"/>
    <mergeCell ref="I6:I7"/>
    <mergeCell ref="A4:B5"/>
    <mergeCell ref="C4:D5"/>
    <mergeCell ref="E4:E5"/>
    <mergeCell ref="F4:G5"/>
    <mergeCell ref="H4:H5"/>
    <mergeCell ref="I4:I5"/>
    <mergeCell ref="A6:B7"/>
    <mergeCell ref="C6:D7"/>
    <mergeCell ref="E6:E7"/>
    <mergeCell ref="F6:G7"/>
    <mergeCell ref="H6:H7"/>
    <mergeCell ref="A1:I1"/>
    <mergeCell ref="A2:B3"/>
    <mergeCell ref="C2:D3"/>
    <mergeCell ref="E2:E3"/>
    <mergeCell ref="F2:G3"/>
    <mergeCell ref="H2:H3"/>
    <mergeCell ref="I2:I3"/>
  </mergeCells>
  <pageMargins left="0.39400000000000002" right="0.39400000000000002" top="0.59099999999999997" bottom="0.59099999999999997" header="0" footer="0"/>
  <pageSetup paperSize="0" firstPageNumber="0" orientation="landscape" useFirstPageNumber="1" horizontalDpi="0" verticalDpi="0" copies="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BW594"/>
  <sheetViews>
    <sheetView showOutlineSymbols="0" workbookViewId="0">
      <pane ySplit="11" topLeftCell="A12" activePane="bottomLeft" state="frozenSplit"/>
      <selection activeCell="A594" sqref="A594:K594"/>
      <selection pane="bottomLeft" sqref="A1:K1"/>
    </sheetView>
  </sheetViews>
  <sheetFormatPr defaultColWidth="12.140625" defaultRowHeight="15" customHeight="1"/>
  <cols>
    <col min="1" max="1" width="4" style="206" customWidth="1"/>
    <col min="2" max="2" width="7.42578125" style="206" customWidth="1"/>
    <col min="3" max="3" width="17.7109375" style="206" customWidth="1"/>
    <col min="4" max="4" width="42.85546875" style="206" customWidth="1"/>
    <col min="5" max="5" width="35.7109375" style="206" customWidth="1"/>
    <col min="6" max="6" width="6.5703125" style="206" customWidth="1"/>
    <col min="7" max="7" width="12.85546875" style="206" customWidth="1"/>
    <col min="8" max="8" width="12" style="206" customWidth="1"/>
    <col min="9" max="9" width="15.5703125" style="206" customWidth="1"/>
    <col min="10" max="24" width="12.140625" style="206"/>
    <col min="25" max="75" width="12.140625" style="206" hidden="1" customWidth="1"/>
    <col min="76" max="256" width="12.140625" style="206"/>
    <col min="257" max="257" width="4" style="206" customWidth="1"/>
    <col min="258" max="258" width="7.42578125" style="206" customWidth="1"/>
    <col min="259" max="259" width="17.7109375" style="206" customWidth="1"/>
    <col min="260" max="260" width="42.85546875" style="206" customWidth="1"/>
    <col min="261" max="261" width="35.7109375" style="206" customWidth="1"/>
    <col min="262" max="262" width="6.5703125" style="206" customWidth="1"/>
    <col min="263" max="263" width="12.85546875" style="206" customWidth="1"/>
    <col min="264" max="264" width="12" style="206" customWidth="1"/>
    <col min="265" max="265" width="15.5703125" style="206" customWidth="1"/>
    <col min="266" max="280" width="12.140625" style="206"/>
    <col min="281" max="331" width="0" style="206" hidden="1" customWidth="1"/>
    <col min="332" max="512" width="12.140625" style="206"/>
    <col min="513" max="513" width="4" style="206" customWidth="1"/>
    <col min="514" max="514" width="7.42578125" style="206" customWidth="1"/>
    <col min="515" max="515" width="17.7109375" style="206" customWidth="1"/>
    <col min="516" max="516" width="42.85546875" style="206" customWidth="1"/>
    <col min="517" max="517" width="35.7109375" style="206" customWidth="1"/>
    <col min="518" max="518" width="6.5703125" style="206" customWidth="1"/>
    <col min="519" max="519" width="12.85546875" style="206" customWidth="1"/>
    <col min="520" max="520" width="12" style="206" customWidth="1"/>
    <col min="521" max="521" width="15.5703125" style="206" customWidth="1"/>
    <col min="522" max="536" width="12.140625" style="206"/>
    <col min="537" max="587" width="0" style="206" hidden="1" customWidth="1"/>
    <col min="588" max="768" width="12.140625" style="206"/>
    <col min="769" max="769" width="4" style="206" customWidth="1"/>
    <col min="770" max="770" width="7.42578125" style="206" customWidth="1"/>
    <col min="771" max="771" width="17.7109375" style="206" customWidth="1"/>
    <col min="772" max="772" width="42.85546875" style="206" customWidth="1"/>
    <col min="773" max="773" width="35.7109375" style="206" customWidth="1"/>
    <col min="774" max="774" width="6.5703125" style="206" customWidth="1"/>
    <col min="775" max="775" width="12.85546875" style="206" customWidth="1"/>
    <col min="776" max="776" width="12" style="206" customWidth="1"/>
    <col min="777" max="777" width="15.5703125" style="206" customWidth="1"/>
    <col min="778" max="792" width="12.140625" style="206"/>
    <col min="793" max="843" width="0" style="206" hidden="1" customWidth="1"/>
    <col min="844" max="1024" width="12.140625" style="206"/>
    <col min="1025" max="1025" width="4" style="206" customWidth="1"/>
    <col min="1026" max="1026" width="7.42578125" style="206" customWidth="1"/>
    <col min="1027" max="1027" width="17.7109375" style="206" customWidth="1"/>
    <col min="1028" max="1028" width="42.85546875" style="206" customWidth="1"/>
    <col min="1029" max="1029" width="35.7109375" style="206" customWidth="1"/>
    <col min="1030" max="1030" width="6.5703125" style="206" customWidth="1"/>
    <col min="1031" max="1031" width="12.85546875" style="206" customWidth="1"/>
    <col min="1032" max="1032" width="12" style="206" customWidth="1"/>
    <col min="1033" max="1033" width="15.5703125" style="206" customWidth="1"/>
    <col min="1034" max="1048" width="12.140625" style="206"/>
    <col min="1049" max="1099" width="0" style="206" hidden="1" customWidth="1"/>
    <col min="1100" max="1280" width="12.140625" style="206"/>
    <col min="1281" max="1281" width="4" style="206" customWidth="1"/>
    <col min="1282" max="1282" width="7.42578125" style="206" customWidth="1"/>
    <col min="1283" max="1283" width="17.7109375" style="206" customWidth="1"/>
    <col min="1284" max="1284" width="42.85546875" style="206" customWidth="1"/>
    <col min="1285" max="1285" width="35.7109375" style="206" customWidth="1"/>
    <col min="1286" max="1286" width="6.5703125" style="206" customWidth="1"/>
    <col min="1287" max="1287" width="12.85546875" style="206" customWidth="1"/>
    <col min="1288" max="1288" width="12" style="206" customWidth="1"/>
    <col min="1289" max="1289" width="15.5703125" style="206" customWidth="1"/>
    <col min="1290" max="1304" width="12.140625" style="206"/>
    <col min="1305" max="1355" width="0" style="206" hidden="1" customWidth="1"/>
    <col min="1356" max="1536" width="12.140625" style="206"/>
    <col min="1537" max="1537" width="4" style="206" customWidth="1"/>
    <col min="1538" max="1538" width="7.42578125" style="206" customWidth="1"/>
    <col min="1539" max="1539" width="17.7109375" style="206" customWidth="1"/>
    <col min="1540" max="1540" width="42.85546875" style="206" customWidth="1"/>
    <col min="1541" max="1541" width="35.7109375" style="206" customWidth="1"/>
    <col min="1542" max="1542" width="6.5703125" style="206" customWidth="1"/>
    <col min="1543" max="1543" width="12.85546875" style="206" customWidth="1"/>
    <col min="1544" max="1544" width="12" style="206" customWidth="1"/>
    <col min="1545" max="1545" width="15.5703125" style="206" customWidth="1"/>
    <col min="1546" max="1560" width="12.140625" style="206"/>
    <col min="1561" max="1611" width="0" style="206" hidden="1" customWidth="1"/>
    <col min="1612" max="1792" width="12.140625" style="206"/>
    <col min="1793" max="1793" width="4" style="206" customWidth="1"/>
    <col min="1794" max="1794" width="7.42578125" style="206" customWidth="1"/>
    <col min="1795" max="1795" width="17.7109375" style="206" customWidth="1"/>
    <col min="1796" max="1796" width="42.85546875" style="206" customWidth="1"/>
    <col min="1797" max="1797" width="35.7109375" style="206" customWidth="1"/>
    <col min="1798" max="1798" width="6.5703125" style="206" customWidth="1"/>
    <col min="1799" max="1799" width="12.85546875" style="206" customWidth="1"/>
    <col min="1800" max="1800" width="12" style="206" customWidth="1"/>
    <col min="1801" max="1801" width="15.5703125" style="206" customWidth="1"/>
    <col min="1802" max="1816" width="12.140625" style="206"/>
    <col min="1817" max="1867" width="0" style="206" hidden="1" customWidth="1"/>
    <col min="1868" max="2048" width="12.140625" style="206"/>
    <col min="2049" max="2049" width="4" style="206" customWidth="1"/>
    <col min="2050" max="2050" width="7.42578125" style="206" customWidth="1"/>
    <col min="2051" max="2051" width="17.7109375" style="206" customWidth="1"/>
    <col min="2052" max="2052" width="42.85546875" style="206" customWidth="1"/>
    <col min="2053" max="2053" width="35.7109375" style="206" customWidth="1"/>
    <col min="2054" max="2054" width="6.5703125" style="206" customWidth="1"/>
    <col min="2055" max="2055" width="12.85546875" style="206" customWidth="1"/>
    <col min="2056" max="2056" width="12" style="206" customWidth="1"/>
    <col min="2057" max="2057" width="15.5703125" style="206" customWidth="1"/>
    <col min="2058" max="2072" width="12.140625" style="206"/>
    <col min="2073" max="2123" width="0" style="206" hidden="1" customWidth="1"/>
    <col min="2124" max="2304" width="12.140625" style="206"/>
    <col min="2305" max="2305" width="4" style="206" customWidth="1"/>
    <col min="2306" max="2306" width="7.42578125" style="206" customWidth="1"/>
    <col min="2307" max="2307" width="17.7109375" style="206" customWidth="1"/>
    <col min="2308" max="2308" width="42.85546875" style="206" customWidth="1"/>
    <col min="2309" max="2309" width="35.7109375" style="206" customWidth="1"/>
    <col min="2310" max="2310" width="6.5703125" style="206" customWidth="1"/>
    <col min="2311" max="2311" width="12.85546875" style="206" customWidth="1"/>
    <col min="2312" max="2312" width="12" style="206" customWidth="1"/>
    <col min="2313" max="2313" width="15.5703125" style="206" customWidth="1"/>
    <col min="2314" max="2328" width="12.140625" style="206"/>
    <col min="2329" max="2379" width="0" style="206" hidden="1" customWidth="1"/>
    <col min="2380" max="2560" width="12.140625" style="206"/>
    <col min="2561" max="2561" width="4" style="206" customWidth="1"/>
    <col min="2562" max="2562" width="7.42578125" style="206" customWidth="1"/>
    <col min="2563" max="2563" width="17.7109375" style="206" customWidth="1"/>
    <col min="2564" max="2564" width="42.85546875" style="206" customWidth="1"/>
    <col min="2565" max="2565" width="35.7109375" style="206" customWidth="1"/>
    <col min="2566" max="2566" width="6.5703125" style="206" customWidth="1"/>
    <col min="2567" max="2567" width="12.85546875" style="206" customWidth="1"/>
    <col min="2568" max="2568" width="12" style="206" customWidth="1"/>
    <col min="2569" max="2569" width="15.5703125" style="206" customWidth="1"/>
    <col min="2570" max="2584" width="12.140625" style="206"/>
    <col min="2585" max="2635" width="0" style="206" hidden="1" customWidth="1"/>
    <col min="2636" max="2816" width="12.140625" style="206"/>
    <col min="2817" max="2817" width="4" style="206" customWidth="1"/>
    <col min="2818" max="2818" width="7.42578125" style="206" customWidth="1"/>
    <col min="2819" max="2819" width="17.7109375" style="206" customWidth="1"/>
    <col min="2820" max="2820" width="42.85546875" style="206" customWidth="1"/>
    <col min="2821" max="2821" width="35.7109375" style="206" customWidth="1"/>
    <col min="2822" max="2822" width="6.5703125" style="206" customWidth="1"/>
    <col min="2823" max="2823" width="12.85546875" style="206" customWidth="1"/>
    <col min="2824" max="2824" width="12" style="206" customWidth="1"/>
    <col min="2825" max="2825" width="15.5703125" style="206" customWidth="1"/>
    <col min="2826" max="2840" width="12.140625" style="206"/>
    <col min="2841" max="2891" width="0" style="206" hidden="1" customWidth="1"/>
    <col min="2892" max="3072" width="12.140625" style="206"/>
    <col min="3073" max="3073" width="4" style="206" customWidth="1"/>
    <col min="3074" max="3074" width="7.42578125" style="206" customWidth="1"/>
    <col min="3075" max="3075" width="17.7109375" style="206" customWidth="1"/>
    <col min="3076" max="3076" width="42.85546875" style="206" customWidth="1"/>
    <col min="3077" max="3077" width="35.7109375" style="206" customWidth="1"/>
    <col min="3078" max="3078" width="6.5703125" style="206" customWidth="1"/>
    <col min="3079" max="3079" width="12.85546875" style="206" customWidth="1"/>
    <col min="3080" max="3080" width="12" style="206" customWidth="1"/>
    <col min="3081" max="3081" width="15.5703125" style="206" customWidth="1"/>
    <col min="3082" max="3096" width="12.140625" style="206"/>
    <col min="3097" max="3147" width="0" style="206" hidden="1" customWidth="1"/>
    <col min="3148" max="3328" width="12.140625" style="206"/>
    <col min="3329" max="3329" width="4" style="206" customWidth="1"/>
    <col min="3330" max="3330" width="7.42578125" style="206" customWidth="1"/>
    <col min="3331" max="3331" width="17.7109375" style="206" customWidth="1"/>
    <col min="3332" max="3332" width="42.85546875" style="206" customWidth="1"/>
    <col min="3333" max="3333" width="35.7109375" style="206" customWidth="1"/>
    <col min="3334" max="3334" width="6.5703125" style="206" customWidth="1"/>
    <col min="3335" max="3335" width="12.85546875" style="206" customWidth="1"/>
    <col min="3336" max="3336" width="12" style="206" customWidth="1"/>
    <col min="3337" max="3337" width="15.5703125" style="206" customWidth="1"/>
    <col min="3338" max="3352" width="12.140625" style="206"/>
    <col min="3353" max="3403" width="0" style="206" hidden="1" customWidth="1"/>
    <col min="3404" max="3584" width="12.140625" style="206"/>
    <col min="3585" max="3585" width="4" style="206" customWidth="1"/>
    <col min="3586" max="3586" width="7.42578125" style="206" customWidth="1"/>
    <col min="3587" max="3587" width="17.7109375" style="206" customWidth="1"/>
    <col min="3588" max="3588" width="42.85546875" style="206" customWidth="1"/>
    <col min="3589" max="3589" width="35.7109375" style="206" customWidth="1"/>
    <col min="3590" max="3590" width="6.5703125" style="206" customWidth="1"/>
    <col min="3591" max="3591" width="12.85546875" style="206" customWidth="1"/>
    <col min="3592" max="3592" width="12" style="206" customWidth="1"/>
    <col min="3593" max="3593" width="15.5703125" style="206" customWidth="1"/>
    <col min="3594" max="3608" width="12.140625" style="206"/>
    <col min="3609" max="3659" width="0" style="206" hidden="1" customWidth="1"/>
    <col min="3660" max="3840" width="12.140625" style="206"/>
    <col min="3841" max="3841" width="4" style="206" customWidth="1"/>
    <col min="3842" max="3842" width="7.42578125" style="206" customWidth="1"/>
    <col min="3843" max="3843" width="17.7109375" style="206" customWidth="1"/>
    <col min="3844" max="3844" width="42.85546875" style="206" customWidth="1"/>
    <col min="3845" max="3845" width="35.7109375" style="206" customWidth="1"/>
    <col min="3846" max="3846" width="6.5703125" style="206" customWidth="1"/>
    <col min="3847" max="3847" width="12.85546875" style="206" customWidth="1"/>
    <col min="3848" max="3848" width="12" style="206" customWidth="1"/>
    <col min="3849" max="3849" width="15.5703125" style="206" customWidth="1"/>
    <col min="3850" max="3864" width="12.140625" style="206"/>
    <col min="3865" max="3915" width="0" style="206" hidden="1" customWidth="1"/>
    <col min="3916" max="4096" width="12.140625" style="206"/>
    <col min="4097" max="4097" width="4" style="206" customWidth="1"/>
    <col min="4098" max="4098" width="7.42578125" style="206" customWidth="1"/>
    <col min="4099" max="4099" width="17.7109375" style="206" customWidth="1"/>
    <col min="4100" max="4100" width="42.85546875" style="206" customWidth="1"/>
    <col min="4101" max="4101" width="35.7109375" style="206" customWidth="1"/>
    <col min="4102" max="4102" width="6.5703125" style="206" customWidth="1"/>
    <col min="4103" max="4103" width="12.85546875" style="206" customWidth="1"/>
    <col min="4104" max="4104" width="12" style="206" customWidth="1"/>
    <col min="4105" max="4105" width="15.5703125" style="206" customWidth="1"/>
    <col min="4106" max="4120" width="12.140625" style="206"/>
    <col min="4121" max="4171" width="0" style="206" hidden="1" customWidth="1"/>
    <col min="4172" max="4352" width="12.140625" style="206"/>
    <col min="4353" max="4353" width="4" style="206" customWidth="1"/>
    <col min="4354" max="4354" width="7.42578125" style="206" customWidth="1"/>
    <col min="4355" max="4355" width="17.7109375" style="206" customWidth="1"/>
    <col min="4356" max="4356" width="42.85546875" style="206" customWidth="1"/>
    <col min="4357" max="4357" width="35.7109375" style="206" customWidth="1"/>
    <col min="4358" max="4358" width="6.5703125" style="206" customWidth="1"/>
    <col min="4359" max="4359" width="12.85546875" style="206" customWidth="1"/>
    <col min="4360" max="4360" width="12" style="206" customWidth="1"/>
    <col min="4361" max="4361" width="15.5703125" style="206" customWidth="1"/>
    <col min="4362" max="4376" width="12.140625" style="206"/>
    <col min="4377" max="4427" width="0" style="206" hidden="1" customWidth="1"/>
    <col min="4428" max="4608" width="12.140625" style="206"/>
    <col min="4609" max="4609" width="4" style="206" customWidth="1"/>
    <col min="4610" max="4610" width="7.42578125" style="206" customWidth="1"/>
    <col min="4611" max="4611" width="17.7109375" style="206" customWidth="1"/>
    <col min="4612" max="4612" width="42.85546875" style="206" customWidth="1"/>
    <col min="4613" max="4613" width="35.7109375" style="206" customWidth="1"/>
    <col min="4614" max="4614" width="6.5703125" style="206" customWidth="1"/>
    <col min="4615" max="4615" width="12.85546875" style="206" customWidth="1"/>
    <col min="4616" max="4616" width="12" style="206" customWidth="1"/>
    <col min="4617" max="4617" width="15.5703125" style="206" customWidth="1"/>
    <col min="4618" max="4632" width="12.140625" style="206"/>
    <col min="4633" max="4683" width="0" style="206" hidden="1" customWidth="1"/>
    <col min="4684" max="4864" width="12.140625" style="206"/>
    <col min="4865" max="4865" width="4" style="206" customWidth="1"/>
    <col min="4866" max="4866" width="7.42578125" style="206" customWidth="1"/>
    <col min="4867" max="4867" width="17.7109375" style="206" customWidth="1"/>
    <col min="4868" max="4868" width="42.85546875" style="206" customWidth="1"/>
    <col min="4869" max="4869" width="35.7109375" style="206" customWidth="1"/>
    <col min="4870" max="4870" width="6.5703125" style="206" customWidth="1"/>
    <col min="4871" max="4871" width="12.85546875" style="206" customWidth="1"/>
    <col min="4872" max="4872" width="12" style="206" customWidth="1"/>
    <col min="4873" max="4873" width="15.5703125" style="206" customWidth="1"/>
    <col min="4874" max="4888" width="12.140625" style="206"/>
    <col min="4889" max="4939" width="0" style="206" hidden="1" customWidth="1"/>
    <col min="4940" max="5120" width="12.140625" style="206"/>
    <col min="5121" max="5121" width="4" style="206" customWidth="1"/>
    <col min="5122" max="5122" width="7.42578125" style="206" customWidth="1"/>
    <col min="5123" max="5123" width="17.7109375" style="206" customWidth="1"/>
    <col min="5124" max="5124" width="42.85546875" style="206" customWidth="1"/>
    <col min="5125" max="5125" width="35.7109375" style="206" customWidth="1"/>
    <col min="5126" max="5126" width="6.5703125" style="206" customWidth="1"/>
    <col min="5127" max="5127" width="12.85546875" style="206" customWidth="1"/>
    <col min="5128" max="5128" width="12" style="206" customWidth="1"/>
    <col min="5129" max="5129" width="15.5703125" style="206" customWidth="1"/>
    <col min="5130" max="5144" width="12.140625" style="206"/>
    <col min="5145" max="5195" width="0" style="206" hidden="1" customWidth="1"/>
    <col min="5196" max="5376" width="12.140625" style="206"/>
    <col min="5377" max="5377" width="4" style="206" customWidth="1"/>
    <col min="5378" max="5378" width="7.42578125" style="206" customWidth="1"/>
    <col min="5379" max="5379" width="17.7109375" style="206" customWidth="1"/>
    <col min="5380" max="5380" width="42.85546875" style="206" customWidth="1"/>
    <col min="5381" max="5381" width="35.7109375" style="206" customWidth="1"/>
    <col min="5382" max="5382" width="6.5703125" style="206" customWidth="1"/>
    <col min="5383" max="5383" width="12.85546875" style="206" customWidth="1"/>
    <col min="5384" max="5384" width="12" style="206" customWidth="1"/>
    <col min="5385" max="5385" width="15.5703125" style="206" customWidth="1"/>
    <col min="5386" max="5400" width="12.140625" style="206"/>
    <col min="5401" max="5451" width="0" style="206" hidden="1" customWidth="1"/>
    <col min="5452" max="5632" width="12.140625" style="206"/>
    <col min="5633" max="5633" width="4" style="206" customWidth="1"/>
    <col min="5634" max="5634" width="7.42578125" style="206" customWidth="1"/>
    <col min="5635" max="5635" width="17.7109375" style="206" customWidth="1"/>
    <col min="5636" max="5636" width="42.85546875" style="206" customWidth="1"/>
    <col min="5637" max="5637" width="35.7109375" style="206" customWidth="1"/>
    <col min="5638" max="5638" width="6.5703125" style="206" customWidth="1"/>
    <col min="5639" max="5639" width="12.85546875" style="206" customWidth="1"/>
    <col min="5640" max="5640" width="12" style="206" customWidth="1"/>
    <col min="5641" max="5641" width="15.5703125" style="206" customWidth="1"/>
    <col min="5642" max="5656" width="12.140625" style="206"/>
    <col min="5657" max="5707" width="0" style="206" hidden="1" customWidth="1"/>
    <col min="5708" max="5888" width="12.140625" style="206"/>
    <col min="5889" max="5889" width="4" style="206" customWidth="1"/>
    <col min="5890" max="5890" width="7.42578125" style="206" customWidth="1"/>
    <col min="5891" max="5891" width="17.7109375" style="206" customWidth="1"/>
    <col min="5892" max="5892" width="42.85546875" style="206" customWidth="1"/>
    <col min="5893" max="5893" width="35.7109375" style="206" customWidth="1"/>
    <col min="5894" max="5894" width="6.5703125" style="206" customWidth="1"/>
    <col min="5895" max="5895" width="12.85546875" style="206" customWidth="1"/>
    <col min="5896" max="5896" width="12" style="206" customWidth="1"/>
    <col min="5897" max="5897" width="15.5703125" style="206" customWidth="1"/>
    <col min="5898" max="5912" width="12.140625" style="206"/>
    <col min="5913" max="5963" width="0" style="206" hidden="1" customWidth="1"/>
    <col min="5964" max="6144" width="12.140625" style="206"/>
    <col min="6145" max="6145" width="4" style="206" customWidth="1"/>
    <col min="6146" max="6146" width="7.42578125" style="206" customWidth="1"/>
    <col min="6147" max="6147" width="17.7109375" style="206" customWidth="1"/>
    <col min="6148" max="6148" width="42.85546875" style="206" customWidth="1"/>
    <col min="6149" max="6149" width="35.7109375" style="206" customWidth="1"/>
    <col min="6150" max="6150" width="6.5703125" style="206" customWidth="1"/>
    <col min="6151" max="6151" width="12.85546875" style="206" customWidth="1"/>
    <col min="6152" max="6152" width="12" style="206" customWidth="1"/>
    <col min="6153" max="6153" width="15.5703125" style="206" customWidth="1"/>
    <col min="6154" max="6168" width="12.140625" style="206"/>
    <col min="6169" max="6219" width="0" style="206" hidden="1" customWidth="1"/>
    <col min="6220" max="6400" width="12.140625" style="206"/>
    <col min="6401" max="6401" width="4" style="206" customWidth="1"/>
    <col min="6402" max="6402" width="7.42578125" style="206" customWidth="1"/>
    <col min="6403" max="6403" width="17.7109375" style="206" customWidth="1"/>
    <col min="6404" max="6404" width="42.85546875" style="206" customWidth="1"/>
    <col min="6405" max="6405" width="35.7109375" style="206" customWidth="1"/>
    <col min="6406" max="6406" width="6.5703125" style="206" customWidth="1"/>
    <col min="6407" max="6407" width="12.85546875" style="206" customWidth="1"/>
    <col min="6408" max="6408" width="12" style="206" customWidth="1"/>
    <col min="6409" max="6409" width="15.5703125" style="206" customWidth="1"/>
    <col min="6410" max="6424" width="12.140625" style="206"/>
    <col min="6425" max="6475" width="0" style="206" hidden="1" customWidth="1"/>
    <col min="6476" max="6656" width="12.140625" style="206"/>
    <col min="6657" max="6657" width="4" style="206" customWidth="1"/>
    <col min="6658" max="6658" width="7.42578125" style="206" customWidth="1"/>
    <col min="6659" max="6659" width="17.7109375" style="206" customWidth="1"/>
    <col min="6660" max="6660" width="42.85546875" style="206" customWidth="1"/>
    <col min="6661" max="6661" width="35.7109375" style="206" customWidth="1"/>
    <col min="6662" max="6662" width="6.5703125" style="206" customWidth="1"/>
    <col min="6663" max="6663" width="12.85546875" style="206" customWidth="1"/>
    <col min="6664" max="6664" width="12" style="206" customWidth="1"/>
    <col min="6665" max="6665" width="15.5703125" style="206" customWidth="1"/>
    <col min="6666" max="6680" width="12.140625" style="206"/>
    <col min="6681" max="6731" width="0" style="206" hidden="1" customWidth="1"/>
    <col min="6732" max="6912" width="12.140625" style="206"/>
    <col min="6913" max="6913" width="4" style="206" customWidth="1"/>
    <col min="6914" max="6914" width="7.42578125" style="206" customWidth="1"/>
    <col min="6915" max="6915" width="17.7109375" style="206" customWidth="1"/>
    <col min="6916" max="6916" width="42.85546875" style="206" customWidth="1"/>
    <col min="6917" max="6917" width="35.7109375" style="206" customWidth="1"/>
    <col min="6918" max="6918" width="6.5703125" style="206" customWidth="1"/>
    <col min="6919" max="6919" width="12.85546875" style="206" customWidth="1"/>
    <col min="6920" max="6920" width="12" style="206" customWidth="1"/>
    <col min="6921" max="6921" width="15.5703125" style="206" customWidth="1"/>
    <col min="6922" max="6936" width="12.140625" style="206"/>
    <col min="6937" max="6987" width="0" style="206" hidden="1" customWidth="1"/>
    <col min="6988" max="7168" width="12.140625" style="206"/>
    <col min="7169" max="7169" width="4" style="206" customWidth="1"/>
    <col min="7170" max="7170" width="7.42578125" style="206" customWidth="1"/>
    <col min="7171" max="7171" width="17.7109375" style="206" customWidth="1"/>
    <col min="7172" max="7172" width="42.85546875" style="206" customWidth="1"/>
    <col min="7173" max="7173" width="35.7109375" style="206" customWidth="1"/>
    <col min="7174" max="7174" width="6.5703125" style="206" customWidth="1"/>
    <col min="7175" max="7175" width="12.85546875" style="206" customWidth="1"/>
    <col min="7176" max="7176" width="12" style="206" customWidth="1"/>
    <col min="7177" max="7177" width="15.5703125" style="206" customWidth="1"/>
    <col min="7178" max="7192" width="12.140625" style="206"/>
    <col min="7193" max="7243" width="0" style="206" hidden="1" customWidth="1"/>
    <col min="7244" max="7424" width="12.140625" style="206"/>
    <col min="7425" max="7425" width="4" style="206" customWidth="1"/>
    <col min="7426" max="7426" width="7.42578125" style="206" customWidth="1"/>
    <col min="7427" max="7427" width="17.7109375" style="206" customWidth="1"/>
    <col min="7428" max="7428" width="42.85546875" style="206" customWidth="1"/>
    <col min="7429" max="7429" width="35.7109375" style="206" customWidth="1"/>
    <col min="7430" max="7430" width="6.5703125" style="206" customWidth="1"/>
    <col min="7431" max="7431" width="12.85546875" style="206" customWidth="1"/>
    <col min="7432" max="7432" width="12" style="206" customWidth="1"/>
    <col min="7433" max="7433" width="15.5703125" style="206" customWidth="1"/>
    <col min="7434" max="7448" width="12.140625" style="206"/>
    <col min="7449" max="7499" width="0" style="206" hidden="1" customWidth="1"/>
    <col min="7500" max="7680" width="12.140625" style="206"/>
    <col min="7681" max="7681" width="4" style="206" customWidth="1"/>
    <col min="7682" max="7682" width="7.42578125" style="206" customWidth="1"/>
    <col min="7683" max="7683" width="17.7109375" style="206" customWidth="1"/>
    <col min="7684" max="7684" width="42.85546875" style="206" customWidth="1"/>
    <col min="7685" max="7685" width="35.7109375" style="206" customWidth="1"/>
    <col min="7686" max="7686" width="6.5703125" style="206" customWidth="1"/>
    <col min="7687" max="7687" width="12.85546875" style="206" customWidth="1"/>
    <col min="7688" max="7688" width="12" style="206" customWidth="1"/>
    <col min="7689" max="7689" width="15.5703125" style="206" customWidth="1"/>
    <col min="7690" max="7704" width="12.140625" style="206"/>
    <col min="7705" max="7755" width="0" style="206" hidden="1" customWidth="1"/>
    <col min="7756" max="7936" width="12.140625" style="206"/>
    <col min="7937" max="7937" width="4" style="206" customWidth="1"/>
    <col min="7938" max="7938" width="7.42578125" style="206" customWidth="1"/>
    <col min="7939" max="7939" width="17.7109375" style="206" customWidth="1"/>
    <col min="7940" max="7940" width="42.85546875" style="206" customWidth="1"/>
    <col min="7941" max="7941" width="35.7109375" style="206" customWidth="1"/>
    <col min="7942" max="7942" width="6.5703125" style="206" customWidth="1"/>
    <col min="7943" max="7943" width="12.85546875" style="206" customWidth="1"/>
    <col min="7944" max="7944" width="12" style="206" customWidth="1"/>
    <col min="7945" max="7945" width="15.5703125" style="206" customWidth="1"/>
    <col min="7946" max="7960" width="12.140625" style="206"/>
    <col min="7961" max="8011" width="0" style="206" hidden="1" customWidth="1"/>
    <col min="8012" max="8192" width="12.140625" style="206"/>
    <col min="8193" max="8193" width="4" style="206" customWidth="1"/>
    <col min="8194" max="8194" width="7.42578125" style="206" customWidth="1"/>
    <col min="8195" max="8195" width="17.7109375" style="206" customWidth="1"/>
    <col min="8196" max="8196" width="42.85546875" style="206" customWidth="1"/>
    <col min="8197" max="8197" width="35.7109375" style="206" customWidth="1"/>
    <col min="8198" max="8198" width="6.5703125" style="206" customWidth="1"/>
    <col min="8199" max="8199" width="12.85546875" style="206" customWidth="1"/>
    <col min="8200" max="8200" width="12" style="206" customWidth="1"/>
    <col min="8201" max="8201" width="15.5703125" style="206" customWidth="1"/>
    <col min="8202" max="8216" width="12.140625" style="206"/>
    <col min="8217" max="8267" width="0" style="206" hidden="1" customWidth="1"/>
    <col min="8268" max="8448" width="12.140625" style="206"/>
    <col min="8449" max="8449" width="4" style="206" customWidth="1"/>
    <col min="8450" max="8450" width="7.42578125" style="206" customWidth="1"/>
    <col min="8451" max="8451" width="17.7109375" style="206" customWidth="1"/>
    <col min="8452" max="8452" width="42.85546875" style="206" customWidth="1"/>
    <col min="8453" max="8453" width="35.7109375" style="206" customWidth="1"/>
    <col min="8454" max="8454" width="6.5703125" style="206" customWidth="1"/>
    <col min="8455" max="8455" width="12.85546875" style="206" customWidth="1"/>
    <col min="8456" max="8456" width="12" style="206" customWidth="1"/>
    <col min="8457" max="8457" width="15.5703125" style="206" customWidth="1"/>
    <col min="8458" max="8472" width="12.140625" style="206"/>
    <col min="8473" max="8523" width="0" style="206" hidden="1" customWidth="1"/>
    <col min="8524" max="8704" width="12.140625" style="206"/>
    <col min="8705" max="8705" width="4" style="206" customWidth="1"/>
    <col min="8706" max="8706" width="7.42578125" style="206" customWidth="1"/>
    <col min="8707" max="8707" width="17.7109375" style="206" customWidth="1"/>
    <col min="8708" max="8708" width="42.85546875" style="206" customWidth="1"/>
    <col min="8709" max="8709" width="35.7109375" style="206" customWidth="1"/>
    <col min="8710" max="8710" width="6.5703125" style="206" customWidth="1"/>
    <col min="8711" max="8711" width="12.85546875" style="206" customWidth="1"/>
    <col min="8712" max="8712" width="12" style="206" customWidth="1"/>
    <col min="8713" max="8713" width="15.5703125" style="206" customWidth="1"/>
    <col min="8714" max="8728" width="12.140625" style="206"/>
    <col min="8729" max="8779" width="0" style="206" hidden="1" customWidth="1"/>
    <col min="8780" max="8960" width="12.140625" style="206"/>
    <col min="8961" max="8961" width="4" style="206" customWidth="1"/>
    <col min="8962" max="8962" width="7.42578125" style="206" customWidth="1"/>
    <col min="8963" max="8963" width="17.7109375" style="206" customWidth="1"/>
    <col min="8964" max="8964" width="42.85546875" style="206" customWidth="1"/>
    <col min="8965" max="8965" width="35.7109375" style="206" customWidth="1"/>
    <col min="8966" max="8966" width="6.5703125" style="206" customWidth="1"/>
    <col min="8967" max="8967" width="12.85546875" style="206" customWidth="1"/>
    <col min="8968" max="8968" width="12" style="206" customWidth="1"/>
    <col min="8969" max="8969" width="15.5703125" style="206" customWidth="1"/>
    <col min="8970" max="8984" width="12.140625" style="206"/>
    <col min="8985" max="9035" width="0" style="206" hidden="1" customWidth="1"/>
    <col min="9036" max="9216" width="12.140625" style="206"/>
    <col min="9217" max="9217" width="4" style="206" customWidth="1"/>
    <col min="9218" max="9218" width="7.42578125" style="206" customWidth="1"/>
    <col min="9219" max="9219" width="17.7109375" style="206" customWidth="1"/>
    <col min="9220" max="9220" width="42.85546875" style="206" customWidth="1"/>
    <col min="9221" max="9221" width="35.7109375" style="206" customWidth="1"/>
    <col min="9222" max="9222" width="6.5703125" style="206" customWidth="1"/>
    <col min="9223" max="9223" width="12.85546875" style="206" customWidth="1"/>
    <col min="9224" max="9224" width="12" style="206" customWidth="1"/>
    <col min="9225" max="9225" width="15.5703125" style="206" customWidth="1"/>
    <col min="9226" max="9240" width="12.140625" style="206"/>
    <col min="9241" max="9291" width="0" style="206" hidden="1" customWidth="1"/>
    <col min="9292" max="9472" width="12.140625" style="206"/>
    <col min="9473" max="9473" width="4" style="206" customWidth="1"/>
    <col min="9474" max="9474" width="7.42578125" style="206" customWidth="1"/>
    <col min="9475" max="9475" width="17.7109375" style="206" customWidth="1"/>
    <col min="9476" max="9476" width="42.85546875" style="206" customWidth="1"/>
    <col min="9477" max="9477" width="35.7109375" style="206" customWidth="1"/>
    <col min="9478" max="9478" width="6.5703125" style="206" customWidth="1"/>
    <col min="9479" max="9479" width="12.85546875" style="206" customWidth="1"/>
    <col min="9480" max="9480" width="12" style="206" customWidth="1"/>
    <col min="9481" max="9481" width="15.5703125" style="206" customWidth="1"/>
    <col min="9482" max="9496" width="12.140625" style="206"/>
    <col min="9497" max="9547" width="0" style="206" hidden="1" customWidth="1"/>
    <col min="9548" max="9728" width="12.140625" style="206"/>
    <col min="9729" max="9729" width="4" style="206" customWidth="1"/>
    <col min="9730" max="9730" width="7.42578125" style="206" customWidth="1"/>
    <col min="9731" max="9731" width="17.7109375" style="206" customWidth="1"/>
    <col min="9732" max="9732" width="42.85546875" style="206" customWidth="1"/>
    <col min="9733" max="9733" width="35.7109375" style="206" customWidth="1"/>
    <col min="9734" max="9734" width="6.5703125" style="206" customWidth="1"/>
    <col min="9735" max="9735" width="12.85546875" style="206" customWidth="1"/>
    <col min="9736" max="9736" width="12" style="206" customWidth="1"/>
    <col min="9737" max="9737" width="15.5703125" style="206" customWidth="1"/>
    <col min="9738" max="9752" width="12.140625" style="206"/>
    <col min="9753" max="9803" width="0" style="206" hidden="1" customWidth="1"/>
    <col min="9804" max="9984" width="12.140625" style="206"/>
    <col min="9985" max="9985" width="4" style="206" customWidth="1"/>
    <col min="9986" max="9986" width="7.42578125" style="206" customWidth="1"/>
    <col min="9987" max="9987" width="17.7109375" style="206" customWidth="1"/>
    <col min="9988" max="9988" width="42.85546875" style="206" customWidth="1"/>
    <col min="9989" max="9989" width="35.7109375" style="206" customWidth="1"/>
    <col min="9990" max="9990" width="6.5703125" style="206" customWidth="1"/>
    <col min="9991" max="9991" width="12.85546875" style="206" customWidth="1"/>
    <col min="9992" max="9992" width="12" style="206" customWidth="1"/>
    <col min="9993" max="9993" width="15.5703125" style="206" customWidth="1"/>
    <col min="9994" max="10008" width="12.140625" style="206"/>
    <col min="10009" max="10059" width="0" style="206" hidden="1" customWidth="1"/>
    <col min="10060" max="10240" width="12.140625" style="206"/>
    <col min="10241" max="10241" width="4" style="206" customWidth="1"/>
    <col min="10242" max="10242" width="7.42578125" style="206" customWidth="1"/>
    <col min="10243" max="10243" width="17.7109375" style="206" customWidth="1"/>
    <col min="10244" max="10244" width="42.85546875" style="206" customWidth="1"/>
    <col min="10245" max="10245" width="35.7109375" style="206" customWidth="1"/>
    <col min="10246" max="10246" width="6.5703125" style="206" customWidth="1"/>
    <col min="10247" max="10247" width="12.85546875" style="206" customWidth="1"/>
    <col min="10248" max="10248" width="12" style="206" customWidth="1"/>
    <col min="10249" max="10249" width="15.5703125" style="206" customWidth="1"/>
    <col min="10250" max="10264" width="12.140625" style="206"/>
    <col min="10265" max="10315" width="0" style="206" hidden="1" customWidth="1"/>
    <col min="10316" max="10496" width="12.140625" style="206"/>
    <col min="10497" max="10497" width="4" style="206" customWidth="1"/>
    <col min="10498" max="10498" width="7.42578125" style="206" customWidth="1"/>
    <col min="10499" max="10499" width="17.7109375" style="206" customWidth="1"/>
    <col min="10500" max="10500" width="42.85546875" style="206" customWidth="1"/>
    <col min="10501" max="10501" width="35.7109375" style="206" customWidth="1"/>
    <col min="10502" max="10502" width="6.5703125" style="206" customWidth="1"/>
    <col min="10503" max="10503" width="12.85546875" style="206" customWidth="1"/>
    <col min="10504" max="10504" width="12" style="206" customWidth="1"/>
    <col min="10505" max="10505" width="15.5703125" style="206" customWidth="1"/>
    <col min="10506" max="10520" width="12.140625" style="206"/>
    <col min="10521" max="10571" width="0" style="206" hidden="1" customWidth="1"/>
    <col min="10572" max="10752" width="12.140625" style="206"/>
    <col min="10753" max="10753" width="4" style="206" customWidth="1"/>
    <col min="10754" max="10754" width="7.42578125" style="206" customWidth="1"/>
    <col min="10755" max="10755" width="17.7109375" style="206" customWidth="1"/>
    <col min="10756" max="10756" width="42.85546875" style="206" customWidth="1"/>
    <col min="10757" max="10757" width="35.7109375" style="206" customWidth="1"/>
    <col min="10758" max="10758" width="6.5703125" style="206" customWidth="1"/>
    <col min="10759" max="10759" width="12.85546875" style="206" customWidth="1"/>
    <col min="10760" max="10760" width="12" style="206" customWidth="1"/>
    <col min="10761" max="10761" width="15.5703125" style="206" customWidth="1"/>
    <col min="10762" max="10776" width="12.140625" style="206"/>
    <col min="10777" max="10827" width="0" style="206" hidden="1" customWidth="1"/>
    <col min="10828" max="11008" width="12.140625" style="206"/>
    <col min="11009" max="11009" width="4" style="206" customWidth="1"/>
    <col min="11010" max="11010" width="7.42578125" style="206" customWidth="1"/>
    <col min="11011" max="11011" width="17.7109375" style="206" customWidth="1"/>
    <col min="11012" max="11012" width="42.85546875" style="206" customWidth="1"/>
    <col min="11013" max="11013" width="35.7109375" style="206" customWidth="1"/>
    <col min="11014" max="11014" width="6.5703125" style="206" customWidth="1"/>
    <col min="11015" max="11015" width="12.85546875" style="206" customWidth="1"/>
    <col min="11016" max="11016" width="12" style="206" customWidth="1"/>
    <col min="11017" max="11017" width="15.5703125" style="206" customWidth="1"/>
    <col min="11018" max="11032" width="12.140625" style="206"/>
    <col min="11033" max="11083" width="0" style="206" hidden="1" customWidth="1"/>
    <col min="11084" max="11264" width="12.140625" style="206"/>
    <col min="11265" max="11265" width="4" style="206" customWidth="1"/>
    <col min="11266" max="11266" width="7.42578125" style="206" customWidth="1"/>
    <col min="11267" max="11267" width="17.7109375" style="206" customWidth="1"/>
    <col min="11268" max="11268" width="42.85546875" style="206" customWidth="1"/>
    <col min="11269" max="11269" width="35.7109375" style="206" customWidth="1"/>
    <col min="11270" max="11270" width="6.5703125" style="206" customWidth="1"/>
    <col min="11271" max="11271" width="12.85546875" style="206" customWidth="1"/>
    <col min="11272" max="11272" width="12" style="206" customWidth="1"/>
    <col min="11273" max="11273" width="15.5703125" style="206" customWidth="1"/>
    <col min="11274" max="11288" width="12.140625" style="206"/>
    <col min="11289" max="11339" width="0" style="206" hidden="1" customWidth="1"/>
    <col min="11340" max="11520" width="12.140625" style="206"/>
    <col min="11521" max="11521" width="4" style="206" customWidth="1"/>
    <col min="11522" max="11522" width="7.42578125" style="206" customWidth="1"/>
    <col min="11523" max="11523" width="17.7109375" style="206" customWidth="1"/>
    <col min="11524" max="11524" width="42.85546875" style="206" customWidth="1"/>
    <col min="11525" max="11525" width="35.7109375" style="206" customWidth="1"/>
    <col min="11526" max="11526" width="6.5703125" style="206" customWidth="1"/>
    <col min="11527" max="11527" width="12.85546875" style="206" customWidth="1"/>
    <col min="11528" max="11528" width="12" style="206" customWidth="1"/>
    <col min="11529" max="11529" width="15.5703125" style="206" customWidth="1"/>
    <col min="11530" max="11544" width="12.140625" style="206"/>
    <col min="11545" max="11595" width="0" style="206" hidden="1" customWidth="1"/>
    <col min="11596" max="11776" width="12.140625" style="206"/>
    <col min="11777" max="11777" width="4" style="206" customWidth="1"/>
    <col min="11778" max="11778" width="7.42578125" style="206" customWidth="1"/>
    <col min="11779" max="11779" width="17.7109375" style="206" customWidth="1"/>
    <col min="11780" max="11780" width="42.85546875" style="206" customWidth="1"/>
    <col min="11781" max="11781" width="35.7109375" style="206" customWidth="1"/>
    <col min="11782" max="11782" width="6.5703125" style="206" customWidth="1"/>
    <col min="11783" max="11783" width="12.85546875" style="206" customWidth="1"/>
    <col min="11784" max="11784" width="12" style="206" customWidth="1"/>
    <col min="11785" max="11785" width="15.5703125" style="206" customWidth="1"/>
    <col min="11786" max="11800" width="12.140625" style="206"/>
    <col min="11801" max="11851" width="0" style="206" hidden="1" customWidth="1"/>
    <col min="11852" max="12032" width="12.140625" style="206"/>
    <col min="12033" max="12033" width="4" style="206" customWidth="1"/>
    <col min="12034" max="12034" width="7.42578125" style="206" customWidth="1"/>
    <col min="12035" max="12035" width="17.7109375" style="206" customWidth="1"/>
    <col min="12036" max="12036" width="42.85546875" style="206" customWidth="1"/>
    <col min="12037" max="12037" width="35.7109375" style="206" customWidth="1"/>
    <col min="12038" max="12038" width="6.5703125" style="206" customWidth="1"/>
    <col min="12039" max="12039" width="12.85546875" style="206" customWidth="1"/>
    <col min="12040" max="12040" width="12" style="206" customWidth="1"/>
    <col min="12041" max="12041" width="15.5703125" style="206" customWidth="1"/>
    <col min="12042" max="12056" width="12.140625" style="206"/>
    <col min="12057" max="12107" width="0" style="206" hidden="1" customWidth="1"/>
    <col min="12108" max="12288" width="12.140625" style="206"/>
    <col min="12289" max="12289" width="4" style="206" customWidth="1"/>
    <col min="12290" max="12290" width="7.42578125" style="206" customWidth="1"/>
    <col min="12291" max="12291" width="17.7109375" style="206" customWidth="1"/>
    <col min="12292" max="12292" width="42.85546875" style="206" customWidth="1"/>
    <col min="12293" max="12293" width="35.7109375" style="206" customWidth="1"/>
    <col min="12294" max="12294" width="6.5703125" style="206" customWidth="1"/>
    <col min="12295" max="12295" width="12.85546875" style="206" customWidth="1"/>
    <col min="12296" max="12296" width="12" style="206" customWidth="1"/>
    <col min="12297" max="12297" width="15.5703125" style="206" customWidth="1"/>
    <col min="12298" max="12312" width="12.140625" style="206"/>
    <col min="12313" max="12363" width="0" style="206" hidden="1" customWidth="1"/>
    <col min="12364" max="12544" width="12.140625" style="206"/>
    <col min="12545" max="12545" width="4" style="206" customWidth="1"/>
    <col min="12546" max="12546" width="7.42578125" style="206" customWidth="1"/>
    <col min="12547" max="12547" width="17.7109375" style="206" customWidth="1"/>
    <col min="12548" max="12548" width="42.85546875" style="206" customWidth="1"/>
    <col min="12549" max="12549" width="35.7109375" style="206" customWidth="1"/>
    <col min="12550" max="12550" width="6.5703125" style="206" customWidth="1"/>
    <col min="12551" max="12551" width="12.85546875" style="206" customWidth="1"/>
    <col min="12552" max="12552" width="12" style="206" customWidth="1"/>
    <col min="12553" max="12553" width="15.5703125" style="206" customWidth="1"/>
    <col min="12554" max="12568" width="12.140625" style="206"/>
    <col min="12569" max="12619" width="0" style="206" hidden="1" customWidth="1"/>
    <col min="12620" max="12800" width="12.140625" style="206"/>
    <col min="12801" max="12801" width="4" style="206" customWidth="1"/>
    <col min="12802" max="12802" width="7.42578125" style="206" customWidth="1"/>
    <col min="12803" max="12803" width="17.7109375" style="206" customWidth="1"/>
    <col min="12804" max="12804" width="42.85546875" style="206" customWidth="1"/>
    <col min="12805" max="12805" width="35.7109375" style="206" customWidth="1"/>
    <col min="12806" max="12806" width="6.5703125" style="206" customWidth="1"/>
    <col min="12807" max="12807" width="12.85546875" style="206" customWidth="1"/>
    <col min="12808" max="12808" width="12" style="206" customWidth="1"/>
    <col min="12809" max="12809" width="15.5703125" style="206" customWidth="1"/>
    <col min="12810" max="12824" width="12.140625" style="206"/>
    <col min="12825" max="12875" width="0" style="206" hidden="1" customWidth="1"/>
    <col min="12876" max="13056" width="12.140625" style="206"/>
    <col min="13057" max="13057" width="4" style="206" customWidth="1"/>
    <col min="13058" max="13058" width="7.42578125" style="206" customWidth="1"/>
    <col min="13059" max="13059" width="17.7109375" style="206" customWidth="1"/>
    <col min="13060" max="13060" width="42.85546875" style="206" customWidth="1"/>
    <col min="13061" max="13061" width="35.7109375" style="206" customWidth="1"/>
    <col min="13062" max="13062" width="6.5703125" style="206" customWidth="1"/>
    <col min="13063" max="13063" width="12.85546875" style="206" customWidth="1"/>
    <col min="13064" max="13064" width="12" style="206" customWidth="1"/>
    <col min="13065" max="13065" width="15.5703125" style="206" customWidth="1"/>
    <col min="13066" max="13080" width="12.140625" style="206"/>
    <col min="13081" max="13131" width="0" style="206" hidden="1" customWidth="1"/>
    <col min="13132" max="13312" width="12.140625" style="206"/>
    <col min="13313" max="13313" width="4" style="206" customWidth="1"/>
    <col min="13314" max="13314" width="7.42578125" style="206" customWidth="1"/>
    <col min="13315" max="13315" width="17.7109375" style="206" customWidth="1"/>
    <col min="13316" max="13316" width="42.85546875" style="206" customWidth="1"/>
    <col min="13317" max="13317" width="35.7109375" style="206" customWidth="1"/>
    <col min="13318" max="13318" width="6.5703125" style="206" customWidth="1"/>
    <col min="13319" max="13319" width="12.85546875" style="206" customWidth="1"/>
    <col min="13320" max="13320" width="12" style="206" customWidth="1"/>
    <col min="13321" max="13321" width="15.5703125" style="206" customWidth="1"/>
    <col min="13322" max="13336" width="12.140625" style="206"/>
    <col min="13337" max="13387" width="0" style="206" hidden="1" customWidth="1"/>
    <col min="13388" max="13568" width="12.140625" style="206"/>
    <col min="13569" max="13569" width="4" style="206" customWidth="1"/>
    <col min="13570" max="13570" width="7.42578125" style="206" customWidth="1"/>
    <col min="13571" max="13571" width="17.7109375" style="206" customWidth="1"/>
    <col min="13572" max="13572" width="42.85546875" style="206" customWidth="1"/>
    <col min="13573" max="13573" width="35.7109375" style="206" customWidth="1"/>
    <col min="13574" max="13574" width="6.5703125" style="206" customWidth="1"/>
    <col min="13575" max="13575" width="12.85546875" style="206" customWidth="1"/>
    <col min="13576" max="13576" width="12" style="206" customWidth="1"/>
    <col min="13577" max="13577" width="15.5703125" style="206" customWidth="1"/>
    <col min="13578" max="13592" width="12.140625" style="206"/>
    <col min="13593" max="13643" width="0" style="206" hidden="1" customWidth="1"/>
    <col min="13644" max="13824" width="12.140625" style="206"/>
    <col min="13825" max="13825" width="4" style="206" customWidth="1"/>
    <col min="13826" max="13826" width="7.42578125" style="206" customWidth="1"/>
    <col min="13827" max="13827" width="17.7109375" style="206" customWidth="1"/>
    <col min="13828" max="13828" width="42.85546875" style="206" customWidth="1"/>
    <col min="13829" max="13829" width="35.7109375" style="206" customWidth="1"/>
    <col min="13830" max="13830" width="6.5703125" style="206" customWidth="1"/>
    <col min="13831" max="13831" width="12.85546875" style="206" customWidth="1"/>
    <col min="13832" max="13832" width="12" style="206" customWidth="1"/>
    <col min="13833" max="13833" width="15.5703125" style="206" customWidth="1"/>
    <col min="13834" max="13848" width="12.140625" style="206"/>
    <col min="13849" max="13899" width="0" style="206" hidden="1" customWidth="1"/>
    <col min="13900" max="14080" width="12.140625" style="206"/>
    <col min="14081" max="14081" width="4" style="206" customWidth="1"/>
    <col min="14082" max="14082" width="7.42578125" style="206" customWidth="1"/>
    <col min="14083" max="14083" width="17.7109375" style="206" customWidth="1"/>
    <col min="14084" max="14084" width="42.85546875" style="206" customWidth="1"/>
    <col min="14085" max="14085" width="35.7109375" style="206" customWidth="1"/>
    <col min="14086" max="14086" width="6.5703125" style="206" customWidth="1"/>
    <col min="14087" max="14087" width="12.85546875" style="206" customWidth="1"/>
    <col min="14088" max="14088" width="12" style="206" customWidth="1"/>
    <col min="14089" max="14089" width="15.5703125" style="206" customWidth="1"/>
    <col min="14090" max="14104" width="12.140625" style="206"/>
    <col min="14105" max="14155" width="0" style="206" hidden="1" customWidth="1"/>
    <col min="14156" max="14336" width="12.140625" style="206"/>
    <col min="14337" max="14337" width="4" style="206" customWidth="1"/>
    <col min="14338" max="14338" width="7.42578125" style="206" customWidth="1"/>
    <col min="14339" max="14339" width="17.7109375" style="206" customWidth="1"/>
    <col min="14340" max="14340" width="42.85546875" style="206" customWidth="1"/>
    <col min="14341" max="14341" width="35.7109375" style="206" customWidth="1"/>
    <col min="14342" max="14342" width="6.5703125" style="206" customWidth="1"/>
    <col min="14343" max="14343" width="12.85546875" style="206" customWidth="1"/>
    <col min="14344" max="14344" width="12" style="206" customWidth="1"/>
    <col min="14345" max="14345" width="15.5703125" style="206" customWidth="1"/>
    <col min="14346" max="14360" width="12.140625" style="206"/>
    <col min="14361" max="14411" width="0" style="206" hidden="1" customWidth="1"/>
    <col min="14412" max="14592" width="12.140625" style="206"/>
    <col min="14593" max="14593" width="4" style="206" customWidth="1"/>
    <col min="14594" max="14594" width="7.42578125" style="206" customWidth="1"/>
    <col min="14595" max="14595" width="17.7109375" style="206" customWidth="1"/>
    <col min="14596" max="14596" width="42.85546875" style="206" customWidth="1"/>
    <col min="14597" max="14597" width="35.7109375" style="206" customWidth="1"/>
    <col min="14598" max="14598" width="6.5703125" style="206" customWidth="1"/>
    <col min="14599" max="14599" width="12.85546875" style="206" customWidth="1"/>
    <col min="14600" max="14600" width="12" style="206" customWidth="1"/>
    <col min="14601" max="14601" width="15.5703125" style="206" customWidth="1"/>
    <col min="14602" max="14616" width="12.140625" style="206"/>
    <col min="14617" max="14667" width="0" style="206" hidden="1" customWidth="1"/>
    <col min="14668" max="14848" width="12.140625" style="206"/>
    <col min="14849" max="14849" width="4" style="206" customWidth="1"/>
    <col min="14850" max="14850" width="7.42578125" style="206" customWidth="1"/>
    <col min="14851" max="14851" width="17.7109375" style="206" customWidth="1"/>
    <col min="14852" max="14852" width="42.85546875" style="206" customWidth="1"/>
    <col min="14853" max="14853" width="35.7109375" style="206" customWidth="1"/>
    <col min="14854" max="14854" width="6.5703125" style="206" customWidth="1"/>
    <col min="14855" max="14855" width="12.85546875" style="206" customWidth="1"/>
    <col min="14856" max="14856" width="12" style="206" customWidth="1"/>
    <col min="14857" max="14857" width="15.5703125" style="206" customWidth="1"/>
    <col min="14858" max="14872" width="12.140625" style="206"/>
    <col min="14873" max="14923" width="0" style="206" hidden="1" customWidth="1"/>
    <col min="14924" max="15104" width="12.140625" style="206"/>
    <col min="15105" max="15105" width="4" style="206" customWidth="1"/>
    <col min="15106" max="15106" width="7.42578125" style="206" customWidth="1"/>
    <col min="15107" max="15107" width="17.7109375" style="206" customWidth="1"/>
    <col min="15108" max="15108" width="42.85546875" style="206" customWidth="1"/>
    <col min="15109" max="15109" width="35.7109375" style="206" customWidth="1"/>
    <col min="15110" max="15110" width="6.5703125" style="206" customWidth="1"/>
    <col min="15111" max="15111" width="12.85546875" style="206" customWidth="1"/>
    <col min="15112" max="15112" width="12" style="206" customWidth="1"/>
    <col min="15113" max="15113" width="15.5703125" style="206" customWidth="1"/>
    <col min="15114" max="15128" width="12.140625" style="206"/>
    <col min="15129" max="15179" width="0" style="206" hidden="1" customWidth="1"/>
    <col min="15180" max="15360" width="12.140625" style="206"/>
    <col min="15361" max="15361" width="4" style="206" customWidth="1"/>
    <col min="15362" max="15362" width="7.42578125" style="206" customWidth="1"/>
    <col min="15363" max="15363" width="17.7109375" style="206" customWidth="1"/>
    <col min="15364" max="15364" width="42.85546875" style="206" customWidth="1"/>
    <col min="15365" max="15365" width="35.7109375" style="206" customWidth="1"/>
    <col min="15366" max="15366" width="6.5703125" style="206" customWidth="1"/>
    <col min="15367" max="15367" width="12.85546875" style="206" customWidth="1"/>
    <col min="15368" max="15368" width="12" style="206" customWidth="1"/>
    <col min="15369" max="15369" width="15.5703125" style="206" customWidth="1"/>
    <col min="15370" max="15384" width="12.140625" style="206"/>
    <col min="15385" max="15435" width="0" style="206" hidden="1" customWidth="1"/>
    <col min="15436" max="15616" width="12.140625" style="206"/>
    <col min="15617" max="15617" width="4" style="206" customWidth="1"/>
    <col min="15618" max="15618" width="7.42578125" style="206" customWidth="1"/>
    <col min="15619" max="15619" width="17.7109375" style="206" customWidth="1"/>
    <col min="15620" max="15620" width="42.85546875" style="206" customWidth="1"/>
    <col min="15621" max="15621" width="35.7109375" style="206" customWidth="1"/>
    <col min="15622" max="15622" width="6.5703125" style="206" customWidth="1"/>
    <col min="15623" max="15623" width="12.85546875" style="206" customWidth="1"/>
    <col min="15624" max="15624" width="12" style="206" customWidth="1"/>
    <col min="15625" max="15625" width="15.5703125" style="206" customWidth="1"/>
    <col min="15626" max="15640" width="12.140625" style="206"/>
    <col min="15641" max="15691" width="0" style="206" hidden="1" customWidth="1"/>
    <col min="15692" max="15872" width="12.140625" style="206"/>
    <col min="15873" max="15873" width="4" style="206" customWidth="1"/>
    <col min="15874" max="15874" width="7.42578125" style="206" customWidth="1"/>
    <col min="15875" max="15875" width="17.7109375" style="206" customWidth="1"/>
    <col min="15876" max="15876" width="42.85546875" style="206" customWidth="1"/>
    <col min="15877" max="15877" width="35.7109375" style="206" customWidth="1"/>
    <col min="15878" max="15878" width="6.5703125" style="206" customWidth="1"/>
    <col min="15879" max="15879" width="12.85546875" style="206" customWidth="1"/>
    <col min="15880" max="15880" width="12" style="206" customWidth="1"/>
    <col min="15881" max="15881" width="15.5703125" style="206" customWidth="1"/>
    <col min="15882" max="15896" width="12.140625" style="206"/>
    <col min="15897" max="15947" width="0" style="206" hidden="1" customWidth="1"/>
    <col min="15948" max="16128" width="12.140625" style="206"/>
    <col min="16129" max="16129" width="4" style="206" customWidth="1"/>
    <col min="16130" max="16130" width="7.42578125" style="206" customWidth="1"/>
    <col min="16131" max="16131" width="17.7109375" style="206" customWidth="1"/>
    <col min="16132" max="16132" width="42.85546875" style="206" customWidth="1"/>
    <col min="16133" max="16133" width="35.7109375" style="206" customWidth="1"/>
    <col min="16134" max="16134" width="6.5703125" style="206" customWidth="1"/>
    <col min="16135" max="16135" width="12.85546875" style="206" customWidth="1"/>
    <col min="16136" max="16136" width="12" style="206" customWidth="1"/>
    <col min="16137" max="16137" width="15.5703125" style="206" customWidth="1"/>
    <col min="16138" max="16152" width="12.140625" style="206"/>
    <col min="16153" max="16203" width="0" style="206" hidden="1" customWidth="1"/>
    <col min="16204" max="16384" width="12.140625" style="206"/>
  </cols>
  <sheetData>
    <row r="1" spans="1:75" ht="54.75" customHeight="1">
      <c r="A1" s="256" t="s">
        <v>1309</v>
      </c>
      <c r="B1" s="256"/>
      <c r="C1" s="256"/>
      <c r="D1" s="256"/>
      <c r="E1" s="256"/>
      <c r="F1" s="256"/>
      <c r="G1" s="256"/>
      <c r="H1" s="256"/>
      <c r="I1" s="256"/>
      <c r="J1" s="256"/>
      <c r="K1" s="256"/>
      <c r="AS1" s="225">
        <f>SUM(AJ1:AJ2)</f>
        <v>0</v>
      </c>
      <c r="AT1" s="225">
        <f>SUM(AK1:AK2)</f>
        <v>0</v>
      </c>
      <c r="AU1" s="225">
        <f>SUM(AL1:AL2)</f>
        <v>0</v>
      </c>
    </row>
    <row r="2" spans="1:75" ht="15" customHeight="1">
      <c r="A2" s="257" t="s">
        <v>1</v>
      </c>
      <c r="B2" s="258"/>
      <c r="C2" s="258"/>
      <c r="D2" s="261" t="s">
        <v>518</v>
      </c>
      <c r="E2" s="262"/>
      <c r="F2" s="258" t="s">
        <v>2</v>
      </c>
      <c r="G2" s="258"/>
      <c r="H2" s="303" t="s">
        <v>20</v>
      </c>
      <c r="I2" s="304" t="s">
        <v>3</v>
      </c>
      <c r="J2" s="264" t="s">
        <v>519</v>
      </c>
      <c r="K2" s="265"/>
    </row>
    <row r="3" spans="1:75" ht="15" customHeight="1">
      <c r="A3" s="259"/>
      <c r="B3" s="260"/>
      <c r="C3" s="260"/>
      <c r="D3" s="263"/>
      <c r="E3" s="263"/>
      <c r="F3" s="260"/>
      <c r="G3" s="260"/>
      <c r="H3" s="301"/>
      <c r="I3" s="301"/>
      <c r="J3" s="260"/>
      <c r="K3" s="266"/>
    </row>
    <row r="4" spans="1:75" ht="15" customHeight="1">
      <c r="A4" s="267" t="s">
        <v>4</v>
      </c>
      <c r="B4" s="260"/>
      <c r="C4" s="260"/>
      <c r="D4" s="268" t="s">
        <v>520</v>
      </c>
      <c r="E4" s="260"/>
      <c r="F4" s="260" t="s">
        <v>5</v>
      </c>
      <c r="G4" s="260"/>
      <c r="H4" s="301" t="s">
        <v>20</v>
      </c>
      <c r="I4" s="302" t="s">
        <v>6</v>
      </c>
      <c r="J4" s="268" t="s">
        <v>521</v>
      </c>
      <c r="K4" s="266"/>
    </row>
    <row r="5" spans="1:75" ht="15" customHeight="1">
      <c r="A5" s="259"/>
      <c r="B5" s="260"/>
      <c r="C5" s="260"/>
      <c r="D5" s="260"/>
      <c r="E5" s="260"/>
      <c r="F5" s="260"/>
      <c r="G5" s="260"/>
      <c r="H5" s="301"/>
      <c r="I5" s="301"/>
      <c r="J5" s="260"/>
      <c r="K5" s="266"/>
    </row>
    <row r="6" spans="1:75" ht="15" customHeight="1">
      <c r="A6" s="267" t="s">
        <v>7</v>
      </c>
      <c r="B6" s="260"/>
      <c r="C6" s="260"/>
      <c r="D6" s="268" t="s">
        <v>522</v>
      </c>
      <c r="E6" s="260"/>
      <c r="F6" s="260" t="s">
        <v>8</v>
      </c>
      <c r="G6" s="260"/>
      <c r="H6" s="301" t="s">
        <v>20</v>
      </c>
      <c r="I6" s="302" t="s">
        <v>9</v>
      </c>
      <c r="J6" s="260" t="s">
        <v>523</v>
      </c>
      <c r="K6" s="266"/>
    </row>
    <row r="7" spans="1:75" ht="15" customHeight="1">
      <c r="A7" s="259"/>
      <c r="B7" s="260"/>
      <c r="C7" s="260"/>
      <c r="D7" s="260"/>
      <c r="E7" s="260"/>
      <c r="F7" s="260"/>
      <c r="G7" s="260"/>
      <c r="H7" s="301"/>
      <c r="I7" s="301"/>
      <c r="J7" s="260"/>
      <c r="K7" s="266"/>
    </row>
    <row r="8" spans="1:75" ht="15" customHeight="1">
      <c r="A8" s="267" t="s">
        <v>10</v>
      </c>
      <c r="B8" s="260"/>
      <c r="C8" s="260"/>
      <c r="D8" s="268" t="s">
        <v>20</v>
      </c>
      <c r="E8" s="260"/>
      <c r="F8" s="260" t="s">
        <v>11</v>
      </c>
      <c r="G8" s="260"/>
      <c r="H8" s="301" t="s">
        <v>524</v>
      </c>
      <c r="I8" s="302" t="s">
        <v>12</v>
      </c>
      <c r="J8" s="268" t="s">
        <v>525</v>
      </c>
      <c r="K8" s="266"/>
    </row>
    <row r="9" spans="1:75" ht="15" customHeight="1" thickBot="1">
      <c r="A9" s="259"/>
      <c r="B9" s="260"/>
      <c r="C9" s="260"/>
      <c r="D9" s="260"/>
      <c r="E9" s="260"/>
      <c r="F9" s="260"/>
      <c r="G9" s="260"/>
      <c r="H9" s="301"/>
      <c r="I9" s="301"/>
      <c r="J9" s="273"/>
      <c r="K9" s="270"/>
    </row>
    <row r="10" spans="1:75" ht="15" customHeight="1">
      <c r="A10" s="226" t="s">
        <v>13</v>
      </c>
      <c r="B10" s="227" t="s">
        <v>526</v>
      </c>
      <c r="C10" s="227" t="s">
        <v>14</v>
      </c>
      <c r="D10" s="305" t="s">
        <v>15</v>
      </c>
      <c r="E10" s="306"/>
      <c r="F10" s="227" t="s">
        <v>16</v>
      </c>
      <c r="G10" s="228" t="s">
        <v>17</v>
      </c>
      <c r="H10" s="229" t="s">
        <v>527</v>
      </c>
      <c r="I10" s="230" t="s">
        <v>529</v>
      </c>
      <c r="K10" s="231"/>
      <c r="BK10" s="232" t="s">
        <v>19</v>
      </c>
      <c r="BL10" s="233" t="s">
        <v>18</v>
      </c>
      <c r="BW10" s="233" t="s">
        <v>532</v>
      </c>
    </row>
    <row r="11" spans="1:75" ht="15" customHeight="1" thickBot="1">
      <c r="A11" s="234" t="s">
        <v>20</v>
      </c>
      <c r="B11" s="235" t="s">
        <v>20</v>
      </c>
      <c r="C11" s="235" t="s">
        <v>20</v>
      </c>
      <c r="D11" s="307" t="s">
        <v>533</v>
      </c>
      <c r="E11" s="308"/>
      <c r="F11" s="235" t="s">
        <v>20</v>
      </c>
      <c r="G11" s="235" t="s">
        <v>20</v>
      </c>
      <c r="H11" s="236" t="s">
        <v>534</v>
      </c>
      <c r="I11" s="237" t="s">
        <v>536</v>
      </c>
      <c r="K11" s="231"/>
      <c r="Z11" s="232" t="s">
        <v>540</v>
      </c>
      <c r="AA11" s="232" t="s">
        <v>541</v>
      </c>
      <c r="AB11" s="232" t="s">
        <v>542</v>
      </c>
      <c r="AC11" s="232" t="s">
        <v>543</v>
      </c>
      <c r="AD11" s="232" t="s">
        <v>544</v>
      </c>
      <c r="AE11" s="232" t="s">
        <v>545</v>
      </c>
      <c r="AF11" s="232" t="s">
        <v>546</v>
      </c>
      <c r="AG11" s="232" t="s">
        <v>547</v>
      </c>
      <c r="AH11" s="232" t="s">
        <v>548</v>
      </c>
      <c r="BH11" s="232" t="s">
        <v>549</v>
      </c>
      <c r="BI11" s="232" t="s">
        <v>550</v>
      </c>
      <c r="BJ11" s="232" t="s">
        <v>551</v>
      </c>
    </row>
    <row r="12" spans="1:75" ht="15" customHeight="1">
      <c r="A12" s="238" t="s">
        <v>21</v>
      </c>
      <c r="B12" s="239" t="s">
        <v>552</v>
      </c>
      <c r="C12" s="239" t="s">
        <v>21</v>
      </c>
      <c r="D12" s="309" t="s">
        <v>22</v>
      </c>
      <c r="E12" s="310"/>
      <c r="F12" s="240" t="s">
        <v>20</v>
      </c>
      <c r="G12" s="240" t="s">
        <v>20</v>
      </c>
      <c r="H12" s="241" t="s">
        <v>20</v>
      </c>
      <c r="I12" s="242">
        <f>I14+I17+I21+I23+I26</f>
        <v>0</v>
      </c>
      <c r="K12" s="231"/>
    </row>
    <row r="13" spans="1:75" ht="15" customHeight="1">
      <c r="A13" s="238" t="s">
        <v>21</v>
      </c>
      <c r="B13" s="239" t="s">
        <v>552</v>
      </c>
      <c r="C13" s="239" t="s">
        <v>21</v>
      </c>
      <c r="D13" s="309" t="s">
        <v>1310</v>
      </c>
      <c r="E13" s="310"/>
      <c r="F13" s="240" t="s">
        <v>20</v>
      </c>
      <c r="G13" s="240" t="s">
        <v>20</v>
      </c>
      <c r="H13" s="241" t="s">
        <v>20</v>
      </c>
      <c r="I13" s="242">
        <f>I14+I17+I21+I23+I26</f>
        <v>0</v>
      </c>
      <c r="K13" s="231"/>
      <c r="AI13" s="232" t="s">
        <v>552</v>
      </c>
    </row>
    <row r="14" spans="1:75" ht="15" customHeight="1">
      <c r="A14" s="238" t="s">
        <v>21</v>
      </c>
      <c r="B14" s="239" t="s">
        <v>552</v>
      </c>
      <c r="C14" s="239" t="s">
        <v>25</v>
      </c>
      <c r="D14" s="309" t="s">
        <v>26</v>
      </c>
      <c r="E14" s="310"/>
      <c r="F14" s="240" t="s">
        <v>20</v>
      </c>
      <c r="G14" s="240" t="s">
        <v>20</v>
      </c>
      <c r="H14" s="241" t="s">
        <v>20</v>
      </c>
      <c r="I14" s="242">
        <f>SUM(I15:I16)</f>
        <v>0</v>
      </c>
      <c r="K14" s="231"/>
      <c r="AI14" s="232" t="s">
        <v>552</v>
      </c>
      <c r="AS14" s="225">
        <f>SUM(AJ15:AJ16)</f>
        <v>0</v>
      </c>
      <c r="AT14" s="225">
        <f>SUM(AK15:AK16)</f>
        <v>0</v>
      </c>
      <c r="AU14" s="225">
        <f>SUM(AL15:AL16)</f>
        <v>0</v>
      </c>
    </row>
    <row r="15" spans="1:75" ht="13.5" customHeight="1">
      <c r="A15" s="207" t="s">
        <v>553</v>
      </c>
      <c r="B15" s="208" t="s">
        <v>552</v>
      </c>
      <c r="C15" s="208" t="s">
        <v>27</v>
      </c>
      <c r="D15" s="268" t="s">
        <v>28</v>
      </c>
      <c r="E15" s="260"/>
      <c r="F15" s="208" t="s">
        <v>29</v>
      </c>
      <c r="G15" s="243">
        <v>1</v>
      </c>
      <c r="H15" s="244">
        <v>0</v>
      </c>
      <c r="I15" s="244">
        <f>G15*H15</f>
        <v>0</v>
      </c>
      <c r="K15" s="231"/>
      <c r="Z15" s="243">
        <f>IF(AQ15="5",BJ15,0)</f>
        <v>0</v>
      </c>
      <c r="AB15" s="243">
        <f>IF(AQ15="1",BH15,0)</f>
        <v>0</v>
      </c>
      <c r="AC15" s="243">
        <f>IF(AQ15="1",BI15,0)</f>
        <v>0</v>
      </c>
      <c r="AD15" s="243">
        <f>IF(AQ15="7",BH15,0)</f>
        <v>0</v>
      </c>
      <c r="AE15" s="243">
        <f>IF(AQ15="7",BI15,0)</f>
        <v>0</v>
      </c>
      <c r="AF15" s="243">
        <f>IF(AQ15="2",BH15,0)</f>
        <v>0</v>
      </c>
      <c r="AG15" s="243">
        <f>IF(AQ15="2",BI15,0)</f>
        <v>0</v>
      </c>
      <c r="AH15" s="243">
        <f>IF(AQ15="0",BJ15,0)</f>
        <v>0</v>
      </c>
      <c r="AI15" s="232" t="s">
        <v>552</v>
      </c>
      <c r="AJ15" s="243">
        <f>IF(AN15=0,I15,0)</f>
        <v>0</v>
      </c>
      <c r="AK15" s="243">
        <f>IF(AN15=12,I15,0)</f>
        <v>0</v>
      </c>
      <c r="AL15" s="243">
        <f>IF(AN15=21,I15,0)</f>
        <v>0</v>
      </c>
      <c r="AN15" s="243">
        <v>21</v>
      </c>
      <c r="AO15" s="243">
        <f>H15*0</f>
        <v>0</v>
      </c>
      <c r="AP15" s="243">
        <f>H15*(1-0)</f>
        <v>0</v>
      </c>
      <c r="AQ15" s="245" t="s">
        <v>556</v>
      </c>
      <c r="AV15" s="243">
        <f>AW15+AX15</f>
        <v>0</v>
      </c>
      <c r="AW15" s="243">
        <f>G15*AO15</f>
        <v>0</v>
      </c>
      <c r="AX15" s="243">
        <f>G15*AP15</f>
        <v>0</v>
      </c>
      <c r="AY15" s="245" t="s">
        <v>557</v>
      </c>
      <c r="AZ15" s="245" t="s">
        <v>1311</v>
      </c>
      <c r="BA15" s="232" t="s">
        <v>559</v>
      </c>
      <c r="BC15" s="243">
        <f>AW15+AX15</f>
        <v>0</v>
      </c>
      <c r="BD15" s="243">
        <f>H15/(100-BE15)*100</f>
        <v>0</v>
      </c>
      <c r="BE15" s="243">
        <v>0</v>
      </c>
      <c r="BF15" s="243">
        <f>15</f>
        <v>15</v>
      </c>
      <c r="BH15" s="243">
        <f>G15*AO15</f>
        <v>0</v>
      </c>
      <c r="BI15" s="243">
        <f>G15*AP15</f>
        <v>0</v>
      </c>
      <c r="BJ15" s="243">
        <f>G15*H15</f>
        <v>0</v>
      </c>
      <c r="BK15" s="243"/>
      <c r="BL15" s="243"/>
      <c r="BM15" s="243">
        <f>G15*H15</f>
        <v>0</v>
      </c>
      <c r="BW15" s="243">
        <v>21</v>
      </c>
    </row>
    <row r="16" spans="1:75" ht="13.5" customHeight="1">
      <c r="A16" s="207" t="s">
        <v>560</v>
      </c>
      <c r="B16" s="208" t="s">
        <v>552</v>
      </c>
      <c r="C16" s="208" t="s">
        <v>30</v>
      </c>
      <c r="D16" s="268" t="s">
        <v>31</v>
      </c>
      <c r="E16" s="260"/>
      <c r="F16" s="208" t="s">
        <v>29</v>
      </c>
      <c r="G16" s="243">
        <v>1</v>
      </c>
      <c r="H16" s="244">
        <v>0</v>
      </c>
      <c r="I16" s="244">
        <f>G16*H16</f>
        <v>0</v>
      </c>
      <c r="K16" s="231"/>
      <c r="Z16" s="243">
        <f>IF(AQ16="5",BJ16,0)</f>
        <v>0</v>
      </c>
      <c r="AB16" s="243">
        <f>IF(AQ16="1",BH16,0)</f>
        <v>0</v>
      </c>
      <c r="AC16" s="243">
        <f>IF(AQ16="1",BI16,0)</f>
        <v>0</v>
      </c>
      <c r="AD16" s="243">
        <f>IF(AQ16="7",BH16,0)</f>
        <v>0</v>
      </c>
      <c r="AE16" s="243">
        <f>IF(AQ16="7",BI16,0)</f>
        <v>0</v>
      </c>
      <c r="AF16" s="243">
        <f>IF(AQ16="2",BH16,0)</f>
        <v>0</v>
      </c>
      <c r="AG16" s="243">
        <f>IF(AQ16="2",BI16,0)</f>
        <v>0</v>
      </c>
      <c r="AH16" s="243">
        <f>IF(AQ16="0",BJ16,0)</f>
        <v>0</v>
      </c>
      <c r="AI16" s="232" t="s">
        <v>552</v>
      </c>
      <c r="AJ16" s="243">
        <f>IF(AN16=0,I16,0)</f>
        <v>0</v>
      </c>
      <c r="AK16" s="243">
        <f>IF(AN16=12,I16,0)</f>
        <v>0</v>
      </c>
      <c r="AL16" s="243">
        <f>IF(AN16=21,I16,0)</f>
        <v>0</v>
      </c>
      <c r="AN16" s="243">
        <v>21</v>
      </c>
      <c r="AO16" s="243">
        <f>H16*0</f>
        <v>0</v>
      </c>
      <c r="AP16" s="243">
        <f>H16*(1-0)</f>
        <v>0</v>
      </c>
      <c r="AQ16" s="245" t="s">
        <v>556</v>
      </c>
      <c r="AV16" s="243">
        <f>AW16+AX16</f>
        <v>0</v>
      </c>
      <c r="AW16" s="243">
        <f>G16*AO16</f>
        <v>0</v>
      </c>
      <c r="AX16" s="243">
        <f>G16*AP16</f>
        <v>0</v>
      </c>
      <c r="AY16" s="245" t="s">
        <v>557</v>
      </c>
      <c r="AZ16" s="245" t="s">
        <v>1311</v>
      </c>
      <c r="BA16" s="232" t="s">
        <v>559</v>
      </c>
      <c r="BC16" s="243">
        <f>AW16+AX16</f>
        <v>0</v>
      </c>
      <c r="BD16" s="243">
        <f>H16/(100-BE16)*100</f>
        <v>0</v>
      </c>
      <c r="BE16" s="243">
        <v>0</v>
      </c>
      <c r="BF16" s="243">
        <f>16</f>
        <v>16</v>
      </c>
      <c r="BH16" s="243">
        <f>G16*AO16</f>
        <v>0</v>
      </c>
      <c r="BI16" s="243">
        <f>G16*AP16</f>
        <v>0</v>
      </c>
      <c r="BJ16" s="243">
        <f>G16*H16</f>
        <v>0</v>
      </c>
      <c r="BK16" s="243"/>
      <c r="BL16" s="243"/>
      <c r="BM16" s="243">
        <f>G16*H16</f>
        <v>0</v>
      </c>
      <c r="BW16" s="243">
        <v>21</v>
      </c>
    </row>
    <row r="17" spans="1:75" ht="15" customHeight="1">
      <c r="A17" s="238" t="s">
        <v>21</v>
      </c>
      <c r="B17" s="239" t="s">
        <v>552</v>
      </c>
      <c r="C17" s="239" t="s">
        <v>32</v>
      </c>
      <c r="D17" s="309" t="s">
        <v>33</v>
      </c>
      <c r="E17" s="310"/>
      <c r="F17" s="240" t="s">
        <v>20</v>
      </c>
      <c r="G17" s="240" t="s">
        <v>20</v>
      </c>
      <c r="H17" s="241" t="s">
        <v>20</v>
      </c>
      <c r="I17" s="242">
        <f>SUM(I18:I20)</f>
        <v>0</v>
      </c>
      <c r="K17" s="231"/>
      <c r="AI17" s="232" t="s">
        <v>552</v>
      </c>
      <c r="AS17" s="225">
        <f>SUM(AJ18:AJ20)</f>
        <v>0</v>
      </c>
      <c r="AT17" s="225">
        <f>SUM(AK18:AK20)</f>
        <v>0</v>
      </c>
      <c r="AU17" s="225">
        <f>SUM(AL18:AL20)</f>
        <v>0</v>
      </c>
    </row>
    <row r="18" spans="1:75" ht="13.5" customHeight="1">
      <c r="A18" s="207" t="s">
        <v>561</v>
      </c>
      <c r="B18" s="208" t="s">
        <v>552</v>
      </c>
      <c r="C18" s="208" t="s">
        <v>34</v>
      </c>
      <c r="D18" s="268" t="s">
        <v>33</v>
      </c>
      <c r="E18" s="260"/>
      <c r="F18" s="208" t="s">
        <v>29</v>
      </c>
      <c r="G18" s="243">
        <v>1</v>
      </c>
      <c r="H18" s="244">
        <v>0</v>
      </c>
      <c r="I18" s="244">
        <f>G18*H18</f>
        <v>0</v>
      </c>
      <c r="K18" s="231"/>
      <c r="Z18" s="243">
        <f>IF(AQ18="5",BJ18,0)</f>
        <v>0</v>
      </c>
      <c r="AB18" s="243">
        <f>IF(AQ18="1",BH18,0)</f>
        <v>0</v>
      </c>
      <c r="AC18" s="243">
        <f>IF(AQ18="1",BI18,0)</f>
        <v>0</v>
      </c>
      <c r="AD18" s="243">
        <f>IF(AQ18="7",BH18,0)</f>
        <v>0</v>
      </c>
      <c r="AE18" s="243">
        <f>IF(AQ18="7",BI18,0)</f>
        <v>0</v>
      </c>
      <c r="AF18" s="243">
        <f>IF(AQ18="2",BH18,0)</f>
        <v>0</v>
      </c>
      <c r="AG18" s="243">
        <f>IF(AQ18="2",BI18,0)</f>
        <v>0</v>
      </c>
      <c r="AH18" s="243">
        <f>IF(AQ18="0",BJ18,0)</f>
        <v>0</v>
      </c>
      <c r="AI18" s="232" t="s">
        <v>552</v>
      </c>
      <c r="AJ18" s="243">
        <f>IF(AN18=0,I18,0)</f>
        <v>0</v>
      </c>
      <c r="AK18" s="243">
        <f>IF(AN18=12,I18,0)</f>
        <v>0</v>
      </c>
      <c r="AL18" s="243">
        <f>IF(AN18=21,I18,0)</f>
        <v>0</v>
      </c>
      <c r="AN18" s="243">
        <v>21</v>
      </c>
      <c r="AO18" s="243">
        <f>H18*0</f>
        <v>0</v>
      </c>
      <c r="AP18" s="243">
        <f>H18*(1-0)</f>
        <v>0</v>
      </c>
      <c r="AQ18" s="245" t="s">
        <v>556</v>
      </c>
      <c r="AV18" s="243">
        <f>AW18+AX18</f>
        <v>0</v>
      </c>
      <c r="AW18" s="243">
        <f>G18*AO18</f>
        <v>0</v>
      </c>
      <c r="AX18" s="243">
        <f>G18*AP18</f>
        <v>0</v>
      </c>
      <c r="AY18" s="245" t="s">
        <v>562</v>
      </c>
      <c r="AZ18" s="245" t="s">
        <v>1311</v>
      </c>
      <c r="BA18" s="232" t="s">
        <v>559</v>
      </c>
      <c r="BC18" s="243">
        <f>AW18+AX18</f>
        <v>0</v>
      </c>
      <c r="BD18" s="243">
        <f>H18/(100-BE18)*100</f>
        <v>0</v>
      </c>
      <c r="BE18" s="243">
        <v>0</v>
      </c>
      <c r="BF18" s="243">
        <f>18</f>
        <v>18</v>
      </c>
      <c r="BH18" s="243">
        <f>G18*AO18</f>
        <v>0</v>
      </c>
      <c r="BI18" s="243">
        <f>G18*AP18</f>
        <v>0</v>
      </c>
      <c r="BJ18" s="243">
        <f>G18*H18</f>
        <v>0</v>
      </c>
      <c r="BK18" s="243"/>
      <c r="BL18" s="243"/>
      <c r="BN18" s="243">
        <f>G18*H18</f>
        <v>0</v>
      </c>
      <c r="BW18" s="243">
        <v>21</v>
      </c>
    </row>
    <row r="19" spans="1:75" ht="13.5" customHeight="1">
      <c r="A19" s="207" t="s">
        <v>563</v>
      </c>
      <c r="B19" s="208" t="s">
        <v>552</v>
      </c>
      <c r="C19" s="208" t="s">
        <v>35</v>
      </c>
      <c r="D19" s="268" t="s">
        <v>36</v>
      </c>
      <c r="E19" s="260"/>
      <c r="F19" s="208" t="s">
        <v>29</v>
      </c>
      <c r="G19" s="243">
        <v>1</v>
      </c>
      <c r="H19" s="244">
        <v>0</v>
      </c>
      <c r="I19" s="244">
        <f>G19*H19</f>
        <v>0</v>
      </c>
      <c r="K19" s="231"/>
      <c r="Z19" s="243">
        <f>IF(AQ19="5",BJ19,0)</f>
        <v>0</v>
      </c>
      <c r="AB19" s="243">
        <f>IF(AQ19="1",BH19,0)</f>
        <v>0</v>
      </c>
      <c r="AC19" s="243">
        <f>IF(AQ19="1",BI19,0)</f>
        <v>0</v>
      </c>
      <c r="AD19" s="243">
        <f>IF(AQ19="7",BH19,0)</f>
        <v>0</v>
      </c>
      <c r="AE19" s="243">
        <f>IF(AQ19="7",BI19,0)</f>
        <v>0</v>
      </c>
      <c r="AF19" s="243">
        <f>IF(AQ19="2",BH19,0)</f>
        <v>0</v>
      </c>
      <c r="AG19" s="243">
        <f>IF(AQ19="2",BI19,0)</f>
        <v>0</v>
      </c>
      <c r="AH19" s="243">
        <f>IF(AQ19="0",BJ19,0)</f>
        <v>0</v>
      </c>
      <c r="AI19" s="232" t="s">
        <v>552</v>
      </c>
      <c r="AJ19" s="243">
        <f>IF(AN19=0,I19,0)</f>
        <v>0</v>
      </c>
      <c r="AK19" s="243">
        <f>IF(AN19=12,I19,0)</f>
        <v>0</v>
      </c>
      <c r="AL19" s="243">
        <f>IF(AN19=21,I19,0)</f>
        <v>0</v>
      </c>
      <c r="AN19" s="243">
        <v>21</v>
      </c>
      <c r="AO19" s="243">
        <f>H19*0.157894736842105</f>
        <v>0</v>
      </c>
      <c r="AP19" s="243">
        <f>H19*(1-0.157894736842105)</f>
        <v>0</v>
      </c>
      <c r="AQ19" s="245" t="s">
        <v>556</v>
      </c>
      <c r="AV19" s="243">
        <f>AW19+AX19</f>
        <v>0</v>
      </c>
      <c r="AW19" s="243">
        <f>G19*AO19</f>
        <v>0</v>
      </c>
      <c r="AX19" s="243">
        <f>G19*AP19</f>
        <v>0</v>
      </c>
      <c r="AY19" s="245" t="s">
        <v>562</v>
      </c>
      <c r="AZ19" s="245" t="s">
        <v>1311</v>
      </c>
      <c r="BA19" s="232" t="s">
        <v>559</v>
      </c>
      <c r="BC19" s="243">
        <f>AW19+AX19</f>
        <v>0</v>
      </c>
      <c r="BD19" s="243">
        <f>H19/(100-BE19)*100</f>
        <v>0</v>
      </c>
      <c r="BE19" s="243">
        <v>0</v>
      </c>
      <c r="BF19" s="243">
        <f>19</f>
        <v>19</v>
      </c>
      <c r="BH19" s="243">
        <f>G19*AO19</f>
        <v>0</v>
      </c>
      <c r="BI19" s="243">
        <f>G19*AP19</f>
        <v>0</v>
      </c>
      <c r="BJ19" s="243">
        <f>G19*H19</f>
        <v>0</v>
      </c>
      <c r="BK19" s="243"/>
      <c r="BL19" s="243"/>
      <c r="BN19" s="243">
        <f>G19*H19</f>
        <v>0</v>
      </c>
      <c r="BW19" s="243">
        <v>21</v>
      </c>
    </row>
    <row r="20" spans="1:75" ht="27" customHeight="1">
      <c r="A20" s="207" t="s">
        <v>564</v>
      </c>
      <c r="B20" s="208" t="s">
        <v>552</v>
      </c>
      <c r="C20" s="208" t="s">
        <v>37</v>
      </c>
      <c r="D20" s="268" t="s">
        <v>38</v>
      </c>
      <c r="E20" s="260"/>
      <c r="F20" s="208" t="s">
        <v>29</v>
      </c>
      <c r="G20" s="243">
        <v>1</v>
      </c>
      <c r="H20" s="244">
        <v>0</v>
      </c>
      <c r="I20" s="244">
        <f>G20*H20</f>
        <v>0</v>
      </c>
      <c r="K20" s="231"/>
      <c r="Z20" s="243">
        <f>IF(AQ20="5",BJ20,0)</f>
        <v>0</v>
      </c>
      <c r="AB20" s="243">
        <f>IF(AQ20="1",BH20,0)</f>
        <v>0</v>
      </c>
      <c r="AC20" s="243">
        <f>IF(AQ20="1",BI20,0)</f>
        <v>0</v>
      </c>
      <c r="AD20" s="243">
        <f>IF(AQ20="7",BH20,0)</f>
        <v>0</v>
      </c>
      <c r="AE20" s="243">
        <f>IF(AQ20="7",BI20,0)</f>
        <v>0</v>
      </c>
      <c r="AF20" s="243">
        <f>IF(AQ20="2",BH20,0)</f>
        <v>0</v>
      </c>
      <c r="AG20" s="243">
        <f>IF(AQ20="2",BI20,0)</f>
        <v>0</v>
      </c>
      <c r="AH20" s="243">
        <f>IF(AQ20="0",BJ20,0)</f>
        <v>0</v>
      </c>
      <c r="AI20" s="232" t="s">
        <v>552</v>
      </c>
      <c r="AJ20" s="243">
        <f>IF(AN20=0,I20,0)</f>
        <v>0</v>
      </c>
      <c r="AK20" s="243">
        <f>IF(AN20=12,I20,0)</f>
        <v>0</v>
      </c>
      <c r="AL20" s="243">
        <f>IF(AN20=21,I20,0)</f>
        <v>0</v>
      </c>
      <c r="AN20" s="243">
        <v>21</v>
      </c>
      <c r="AO20" s="243">
        <f>H20*0</f>
        <v>0</v>
      </c>
      <c r="AP20" s="243">
        <f>H20*(1-0)</f>
        <v>0</v>
      </c>
      <c r="AQ20" s="245" t="s">
        <v>556</v>
      </c>
      <c r="AV20" s="243">
        <f>AW20+AX20</f>
        <v>0</v>
      </c>
      <c r="AW20" s="243">
        <f>G20*AO20</f>
        <v>0</v>
      </c>
      <c r="AX20" s="243">
        <f>G20*AP20</f>
        <v>0</v>
      </c>
      <c r="AY20" s="245" t="s">
        <v>562</v>
      </c>
      <c r="AZ20" s="245" t="s">
        <v>1311</v>
      </c>
      <c r="BA20" s="232" t="s">
        <v>559</v>
      </c>
      <c r="BC20" s="243">
        <f>AW20+AX20</f>
        <v>0</v>
      </c>
      <c r="BD20" s="243">
        <f>H20/(100-BE20)*100</f>
        <v>0</v>
      </c>
      <c r="BE20" s="243">
        <v>0</v>
      </c>
      <c r="BF20" s="243">
        <f>20</f>
        <v>20</v>
      </c>
      <c r="BH20" s="243">
        <f>G20*AO20</f>
        <v>0</v>
      </c>
      <c r="BI20" s="243">
        <f>G20*AP20</f>
        <v>0</v>
      </c>
      <c r="BJ20" s="243">
        <f>G20*H20</f>
        <v>0</v>
      </c>
      <c r="BK20" s="243"/>
      <c r="BL20" s="243"/>
      <c r="BN20" s="243">
        <f>G20*H20</f>
        <v>0</v>
      </c>
      <c r="BW20" s="243">
        <v>21</v>
      </c>
    </row>
    <row r="21" spans="1:75" ht="15" customHeight="1">
      <c r="A21" s="238" t="s">
        <v>21</v>
      </c>
      <c r="B21" s="239" t="s">
        <v>552</v>
      </c>
      <c r="C21" s="239" t="s">
        <v>39</v>
      </c>
      <c r="D21" s="309" t="s">
        <v>40</v>
      </c>
      <c r="E21" s="310"/>
      <c r="F21" s="240" t="s">
        <v>20</v>
      </c>
      <c r="G21" s="240" t="s">
        <v>20</v>
      </c>
      <c r="H21" s="241" t="s">
        <v>20</v>
      </c>
      <c r="I21" s="242">
        <f>SUM(I22:I22)</f>
        <v>0</v>
      </c>
      <c r="K21" s="231"/>
      <c r="AI21" s="232" t="s">
        <v>552</v>
      </c>
      <c r="AS21" s="225">
        <f>SUM(AJ22:AJ22)</f>
        <v>0</v>
      </c>
      <c r="AT21" s="225">
        <f>SUM(AK22:AK22)</f>
        <v>0</v>
      </c>
      <c r="AU21" s="225">
        <f>SUM(AL22:AL22)</f>
        <v>0</v>
      </c>
    </row>
    <row r="22" spans="1:75" ht="13.5" customHeight="1">
      <c r="A22" s="207" t="s">
        <v>565</v>
      </c>
      <c r="B22" s="208" t="s">
        <v>552</v>
      </c>
      <c r="C22" s="208" t="s">
        <v>41</v>
      </c>
      <c r="D22" s="268" t="s">
        <v>42</v>
      </c>
      <c r="E22" s="260"/>
      <c r="F22" s="208" t="s">
        <v>29</v>
      </c>
      <c r="G22" s="243">
        <v>1</v>
      </c>
      <c r="H22" s="244">
        <v>0</v>
      </c>
      <c r="I22" s="244">
        <f>G22*H22</f>
        <v>0</v>
      </c>
      <c r="K22" s="231"/>
      <c r="Z22" s="243">
        <f>IF(AQ22="5",BJ22,0)</f>
        <v>0</v>
      </c>
      <c r="AB22" s="243">
        <f>IF(AQ22="1",BH22,0)</f>
        <v>0</v>
      </c>
      <c r="AC22" s="243">
        <f>IF(AQ22="1",BI22,0)</f>
        <v>0</v>
      </c>
      <c r="AD22" s="243">
        <f>IF(AQ22="7",BH22,0)</f>
        <v>0</v>
      </c>
      <c r="AE22" s="243">
        <f>IF(AQ22="7",BI22,0)</f>
        <v>0</v>
      </c>
      <c r="AF22" s="243">
        <f>IF(AQ22="2",BH22,0)</f>
        <v>0</v>
      </c>
      <c r="AG22" s="243">
        <f>IF(AQ22="2",BI22,0)</f>
        <v>0</v>
      </c>
      <c r="AH22" s="243">
        <f>IF(AQ22="0",BJ22,0)</f>
        <v>0</v>
      </c>
      <c r="AI22" s="232" t="s">
        <v>552</v>
      </c>
      <c r="AJ22" s="243">
        <f>IF(AN22=0,I22,0)</f>
        <v>0</v>
      </c>
      <c r="AK22" s="243">
        <f>IF(AN22=12,I22,0)</f>
        <v>0</v>
      </c>
      <c r="AL22" s="243">
        <f>IF(AN22=21,I22,0)</f>
        <v>0</v>
      </c>
      <c r="AN22" s="243">
        <v>21</v>
      </c>
      <c r="AO22" s="243">
        <f>H22*0</f>
        <v>0</v>
      </c>
      <c r="AP22" s="243">
        <f>H22*(1-0)</f>
        <v>0</v>
      </c>
      <c r="AQ22" s="245" t="s">
        <v>556</v>
      </c>
      <c r="AV22" s="243">
        <f>AW22+AX22</f>
        <v>0</v>
      </c>
      <c r="AW22" s="243">
        <f>G22*AO22</f>
        <v>0</v>
      </c>
      <c r="AX22" s="243">
        <f>G22*AP22</f>
        <v>0</v>
      </c>
      <c r="AY22" s="245" t="s">
        <v>566</v>
      </c>
      <c r="AZ22" s="245" t="s">
        <v>1311</v>
      </c>
      <c r="BA22" s="232" t="s">
        <v>559</v>
      </c>
      <c r="BC22" s="243">
        <f>AW22+AX22</f>
        <v>0</v>
      </c>
      <c r="BD22" s="243">
        <f>H22/(100-BE22)*100</f>
        <v>0</v>
      </c>
      <c r="BE22" s="243">
        <v>0</v>
      </c>
      <c r="BF22" s="243">
        <f>22</f>
        <v>22</v>
      </c>
      <c r="BH22" s="243">
        <f>G22*AO22</f>
        <v>0</v>
      </c>
      <c r="BI22" s="243">
        <f>G22*AP22</f>
        <v>0</v>
      </c>
      <c r="BJ22" s="243">
        <f>G22*H22</f>
        <v>0</v>
      </c>
      <c r="BK22" s="243"/>
      <c r="BL22" s="243"/>
      <c r="BO22" s="243">
        <f>G22*H22</f>
        <v>0</v>
      </c>
      <c r="BW22" s="243">
        <v>21</v>
      </c>
    </row>
    <row r="23" spans="1:75" ht="15" customHeight="1">
      <c r="A23" s="238" t="s">
        <v>21</v>
      </c>
      <c r="B23" s="239" t="s">
        <v>552</v>
      </c>
      <c r="C23" s="239" t="s">
        <v>43</v>
      </c>
      <c r="D23" s="309" t="s">
        <v>44</v>
      </c>
      <c r="E23" s="310"/>
      <c r="F23" s="240" t="s">
        <v>20</v>
      </c>
      <c r="G23" s="240" t="s">
        <v>20</v>
      </c>
      <c r="H23" s="241" t="s">
        <v>20</v>
      </c>
      <c r="I23" s="242">
        <f>SUM(I24:I25)</f>
        <v>0</v>
      </c>
      <c r="K23" s="231"/>
      <c r="AI23" s="232" t="s">
        <v>552</v>
      </c>
      <c r="AS23" s="225">
        <f>SUM(AJ24:AJ25)</f>
        <v>0</v>
      </c>
      <c r="AT23" s="225">
        <f>SUM(AK24:AK25)</f>
        <v>0</v>
      </c>
      <c r="AU23" s="225">
        <f>SUM(AL24:AL25)</f>
        <v>0</v>
      </c>
    </row>
    <row r="24" spans="1:75" ht="13.5" customHeight="1">
      <c r="A24" s="207" t="s">
        <v>567</v>
      </c>
      <c r="B24" s="208" t="s">
        <v>552</v>
      </c>
      <c r="C24" s="208" t="s">
        <v>45</v>
      </c>
      <c r="D24" s="268" t="s">
        <v>46</v>
      </c>
      <c r="E24" s="260"/>
      <c r="F24" s="208" t="s">
        <v>29</v>
      </c>
      <c r="G24" s="243">
        <v>1</v>
      </c>
      <c r="H24" s="244">
        <v>0</v>
      </c>
      <c r="I24" s="244">
        <f>G24*H24</f>
        <v>0</v>
      </c>
      <c r="K24" s="231"/>
      <c r="Z24" s="243">
        <f>IF(AQ24="5",BJ24,0)</f>
        <v>0</v>
      </c>
      <c r="AB24" s="243">
        <f>IF(AQ24="1",BH24,0)</f>
        <v>0</v>
      </c>
      <c r="AC24" s="243">
        <f>IF(AQ24="1",BI24,0)</f>
        <v>0</v>
      </c>
      <c r="AD24" s="243">
        <f>IF(AQ24="7",BH24,0)</f>
        <v>0</v>
      </c>
      <c r="AE24" s="243">
        <f>IF(AQ24="7",BI24,0)</f>
        <v>0</v>
      </c>
      <c r="AF24" s="243">
        <f>IF(AQ24="2",BH24,0)</f>
        <v>0</v>
      </c>
      <c r="AG24" s="243">
        <f>IF(AQ24="2",BI24,0)</f>
        <v>0</v>
      </c>
      <c r="AH24" s="243">
        <f>IF(AQ24="0",BJ24,0)</f>
        <v>0</v>
      </c>
      <c r="AI24" s="232" t="s">
        <v>552</v>
      </c>
      <c r="AJ24" s="243">
        <f>IF(AN24=0,I24,0)</f>
        <v>0</v>
      </c>
      <c r="AK24" s="243">
        <f>IF(AN24=12,I24,0)</f>
        <v>0</v>
      </c>
      <c r="AL24" s="243">
        <f>IF(AN24=21,I24,0)</f>
        <v>0</v>
      </c>
      <c r="AN24" s="243">
        <v>21</v>
      </c>
      <c r="AO24" s="243">
        <f>H24*0.1</f>
        <v>0</v>
      </c>
      <c r="AP24" s="243">
        <f>H24*(1-0.1)</f>
        <v>0</v>
      </c>
      <c r="AQ24" s="245" t="s">
        <v>556</v>
      </c>
      <c r="AV24" s="243">
        <f>AW24+AX24</f>
        <v>0</v>
      </c>
      <c r="AW24" s="243">
        <f>G24*AO24</f>
        <v>0</v>
      </c>
      <c r="AX24" s="243">
        <f>G24*AP24</f>
        <v>0</v>
      </c>
      <c r="AY24" s="245" t="s">
        <v>568</v>
      </c>
      <c r="AZ24" s="245" t="s">
        <v>1311</v>
      </c>
      <c r="BA24" s="232" t="s">
        <v>559</v>
      </c>
      <c r="BC24" s="243">
        <f>AW24+AX24</f>
        <v>0</v>
      </c>
      <c r="BD24" s="243">
        <f>H24/(100-BE24)*100</f>
        <v>0</v>
      </c>
      <c r="BE24" s="243">
        <v>0</v>
      </c>
      <c r="BF24" s="243">
        <f>24</f>
        <v>24</v>
      </c>
      <c r="BH24" s="243">
        <f>G24*AO24</f>
        <v>0</v>
      </c>
      <c r="BI24" s="243">
        <f>G24*AP24</f>
        <v>0</v>
      </c>
      <c r="BJ24" s="243">
        <f>G24*H24</f>
        <v>0</v>
      </c>
      <c r="BK24" s="243"/>
      <c r="BL24" s="243"/>
      <c r="BP24" s="243">
        <f>G24*H24</f>
        <v>0</v>
      </c>
      <c r="BW24" s="243">
        <v>21</v>
      </c>
    </row>
    <row r="25" spans="1:75" ht="13.5" customHeight="1">
      <c r="A25" s="207" t="s">
        <v>569</v>
      </c>
      <c r="B25" s="208" t="s">
        <v>552</v>
      </c>
      <c r="C25" s="208" t="s">
        <v>47</v>
      </c>
      <c r="D25" s="268" t="s">
        <v>48</v>
      </c>
      <c r="E25" s="260"/>
      <c r="F25" s="208" t="s">
        <v>29</v>
      </c>
      <c r="G25" s="243">
        <v>1</v>
      </c>
      <c r="H25" s="244">
        <v>0</v>
      </c>
      <c r="I25" s="244">
        <f>G25*H25</f>
        <v>0</v>
      </c>
      <c r="K25" s="231"/>
      <c r="Z25" s="243">
        <f>IF(AQ25="5",BJ25,0)</f>
        <v>0</v>
      </c>
      <c r="AB25" s="243">
        <f>IF(AQ25="1",BH25,0)</f>
        <v>0</v>
      </c>
      <c r="AC25" s="243">
        <f>IF(AQ25="1",BI25,0)</f>
        <v>0</v>
      </c>
      <c r="AD25" s="243">
        <f>IF(AQ25="7",BH25,0)</f>
        <v>0</v>
      </c>
      <c r="AE25" s="243">
        <f>IF(AQ25="7",BI25,0)</f>
        <v>0</v>
      </c>
      <c r="AF25" s="243">
        <f>IF(AQ25="2",BH25,0)</f>
        <v>0</v>
      </c>
      <c r="AG25" s="243">
        <f>IF(AQ25="2",BI25,0)</f>
        <v>0</v>
      </c>
      <c r="AH25" s="243">
        <f>IF(AQ25="0",BJ25,0)</f>
        <v>0</v>
      </c>
      <c r="AI25" s="232" t="s">
        <v>552</v>
      </c>
      <c r="AJ25" s="243">
        <f>IF(AN25=0,I25,0)</f>
        <v>0</v>
      </c>
      <c r="AK25" s="243">
        <f>IF(AN25=12,I25,0)</f>
        <v>0</v>
      </c>
      <c r="AL25" s="243">
        <f>IF(AN25=21,I25,0)</f>
        <v>0</v>
      </c>
      <c r="AN25" s="243">
        <v>21</v>
      </c>
      <c r="AO25" s="243">
        <f>H25*0</f>
        <v>0</v>
      </c>
      <c r="AP25" s="243">
        <f>H25*(1-0)</f>
        <v>0</v>
      </c>
      <c r="AQ25" s="245" t="s">
        <v>556</v>
      </c>
      <c r="AV25" s="243">
        <f>AW25+AX25</f>
        <v>0</v>
      </c>
      <c r="AW25" s="243">
        <f>G25*AO25</f>
        <v>0</v>
      </c>
      <c r="AX25" s="243">
        <f>G25*AP25</f>
        <v>0</v>
      </c>
      <c r="AY25" s="245" t="s">
        <v>568</v>
      </c>
      <c r="AZ25" s="245" t="s">
        <v>1311</v>
      </c>
      <c r="BA25" s="232" t="s">
        <v>559</v>
      </c>
      <c r="BC25" s="243">
        <f>AW25+AX25</f>
        <v>0</v>
      </c>
      <c r="BD25" s="243">
        <f>H25/(100-BE25)*100</f>
        <v>0</v>
      </c>
      <c r="BE25" s="243">
        <v>0</v>
      </c>
      <c r="BF25" s="243">
        <f>25</f>
        <v>25</v>
      </c>
      <c r="BH25" s="243">
        <f>G25*AO25</f>
        <v>0</v>
      </c>
      <c r="BI25" s="243">
        <f>G25*AP25</f>
        <v>0</v>
      </c>
      <c r="BJ25" s="243">
        <f>G25*H25</f>
        <v>0</v>
      </c>
      <c r="BK25" s="243"/>
      <c r="BL25" s="243"/>
      <c r="BP25" s="243">
        <f>G25*H25</f>
        <v>0</v>
      </c>
      <c r="BW25" s="243">
        <v>21</v>
      </c>
    </row>
    <row r="26" spans="1:75" ht="15" customHeight="1">
      <c r="A26" s="238" t="s">
        <v>21</v>
      </c>
      <c r="B26" s="239" t="s">
        <v>552</v>
      </c>
      <c r="C26" s="239" t="s">
        <v>49</v>
      </c>
      <c r="D26" s="309" t="s">
        <v>50</v>
      </c>
      <c r="E26" s="310"/>
      <c r="F26" s="240" t="s">
        <v>20</v>
      </c>
      <c r="G26" s="240" t="s">
        <v>20</v>
      </c>
      <c r="H26" s="241" t="s">
        <v>20</v>
      </c>
      <c r="I26" s="242">
        <f>SUM(I27:I27)</f>
        <v>0</v>
      </c>
      <c r="K26" s="231"/>
      <c r="AI26" s="232" t="s">
        <v>552</v>
      </c>
      <c r="AS26" s="225">
        <f>SUM(AJ27:AJ27)</f>
        <v>0</v>
      </c>
      <c r="AT26" s="225">
        <f>SUM(AK27:AK27)</f>
        <v>0</v>
      </c>
      <c r="AU26" s="225">
        <f>SUM(AL27:AL27)</f>
        <v>0</v>
      </c>
    </row>
    <row r="27" spans="1:75" ht="13.5" customHeight="1">
      <c r="A27" s="207" t="s">
        <v>570</v>
      </c>
      <c r="B27" s="208" t="s">
        <v>552</v>
      </c>
      <c r="C27" s="208" t="s">
        <v>51</v>
      </c>
      <c r="D27" s="268" t="s">
        <v>52</v>
      </c>
      <c r="E27" s="260"/>
      <c r="F27" s="208" t="s">
        <v>29</v>
      </c>
      <c r="G27" s="243">
        <v>1</v>
      </c>
      <c r="H27" s="244">
        <v>0</v>
      </c>
      <c r="I27" s="244">
        <f>G27*H27</f>
        <v>0</v>
      </c>
      <c r="K27" s="231"/>
      <c r="Z27" s="243">
        <f>IF(AQ27="5",BJ27,0)</f>
        <v>0</v>
      </c>
      <c r="AB27" s="243">
        <f>IF(AQ27="1",BH27,0)</f>
        <v>0</v>
      </c>
      <c r="AC27" s="243">
        <f>IF(AQ27="1",BI27,0)</f>
        <v>0</v>
      </c>
      <c r="AD27" s="243">
        <f>IF(AQ27="7",BH27,0)</f>
        <v>0</v>
      </c>
      <c r="AE27" s="243">
        <f>IF(AQ27="7",BI27,0)</f>
        <v>0</v>
      </c>
      <c r="AF27" s="243">
        <f>IF(AQ27="2",BH27,0)</f>
        <v>0</v>
      </c>
      <c r="AG27" s="243">
        <f>IF(AQ27="2",BI27,0)</f>
        <v>0</v>
      </c>
      <c r="AH27" s="243">
        <f>IF(AQ27="0",BJ27,0)</f>
        <v>0</v>
      </c>
      <c r="AI27" s="232" t="s">
        <v>552</v>
      </c>
      <c r="AJ27" s="243">
        <f>IF(AN27=0,I27,0)</f>
        <v>0</v>
      </c>
      <c r="AK27" s="243">
        <f>IF(AN27=12,I27,0)</f>
        <v>0</v>
      </c>
      <c r="AL27" s="243">
        <f>IF(AN27=21,I27,0)</f>
        <v>0</v>
      </c>
      <c r="AN27" s="243">
        <v>21</v>
      </c>
      <c r="AO27" s="243">
        <f>H27*0</f>
        <v>0</v>
      </c>
      <c r="AP27" s="243">
        <f>H27*(1-0)</f>
        <v>0</v>
      </c>
      <c r="AQ27" s="245" t="s">
        <v>556</v>
      </c>
      <c r="AV27" s="243">
        <f>AW27+AX27</f>
        <v>0</v>
      </c>
      <c r="AW27" s="243">
        <f>G27*AO27</f>
        <v>0</v>
      </c>
      <c r="AX27" s="243">
        <f>G27*AP27</f>
        <v>0</v>
      </c>
      <c r="AY27" s="245" t="s">
        <v>571</v>
      </c>
      <c r="AZ27" s="245" t="s">
        <v>1311</v>
      </c>
      <c r="BA27" s="232" t="s">
        <v>559</v>
      </c>
      <c r="BC27" s="243">
        <f>AW27+AX27</f>
        <v>0</v>
      </c>
      <c r="BD27" s="243">
        <f>H27/(100-BE27)*100</f>
        <v>0</v>
      </c>
      <c r="BE27" s="243">
        <v>0</v>
      </c>
      <c r="BF27" s="243">
        <f>27</f>
        <v>27</v>
      </c>
      <c r="BH27" s="243">
        <f>G27*AO27</f>
        <v>0</v>
      </c>
      <c r="BI27" s="243">
        <f>G27*AP27</f>
        <v>0</v>
      </c>
      <c r="BJ27" s="243">
        <f>G27*H27</f>
        <v>0</v>
      </c>
      <c r="BK27" s="243"/>
      <c r="BL27" s="243"/>
      <c r="BU27" s="243">
        <f>G27*H27</f>
        <v>0</v>
      </c>
      <c r="BW27" s="243">
        <v>21</v>
      </c>
    </row>
    <row r="28" spans="1:75" ht="15" customHeight="1">
      <c r="A28" s="238" t="s">
        <v>21</v>
      </c>
      <c r="B28" s="239" t="s">
        <v>572</v>
      </c>
      <c r="C28" s="239" t="s">
        <v>21</v>
      </c>
      <c r="D28" s="309" t="s">
        <v>53</v>
      </c>
      <c r="E28" s="310"/>
      <c r="F28" s="240" t="s">
        <v>20</v>
      </c>
      <c r="G28" s="240" t="s">
        <v>20</v>
      </c>
      <c r="H28" s="241" t="s">
        <v>20</v>
      </c>
      <c r="I28" s="242">
        <f>I29+I31+I33+I43+I48+I51</f>
        <v>0</v>
      </c>
      <c r="K28" s="231"/>
    </row>
    <row r="29" spans="1:75" ht="15" customHeight="1">
      <c r="A29" s="238" t="s">
        <v>21</v>
      </c>
      <c r="B29" s="239" t="s">
        <v>572</v>
      </c>
      <c r="C29" s="239" t="s">
        <v>54</v>
      </c>
      <c r="D29" s="309" t="s">
        <v>55</v>
      </c>
      <c r="E29" s="310"/>
      <c r="F29" s="240" t="s">
        <v>20</v>
      </c>
      <c r="G29" s="240" t="s">
        <v>20</v>
      </c>
      <c r="H29" s="241" t="s">
        <v>20</v>
      </c>
      <c r="I29" s="242">
        <f>SUM(I30:I30)</f>
        <v>0</v>
      </c>
      <c r="K29" s="231"/>
      <c r="AI29" s="232" t="s">
        <v>572</v>
      </c>
      <c r="AS29" s="225">
        <f>SUM(AJ30:AJ30)</f>
        <v>0</v>
      </c>
      <c r="AT29" s="225">
        <f>SUM(AK30:AK30)</f>
        <v>0</v>
      </c>
      <c r="AU29" s="225">
        <f>SUM(AL30:AL30)</f>
        <v>0</v>
      </c>
    </row>
    <row r="30" spans="1:75" ht="13.5" customHeight="1">
      <c r="A30" s="207" t="s">
        <v>573</v>
      </c>
      <c r="B30" s="208" t="s">
        <v>572</v>
      </c>
      <c r="C30" s="208" t="s">
        <v>56</v>
      </c>
      <c r="D30" s="268" t="s">
        <v>57</v>
      </c>
      <c r="E30" s="260"/>
      <c r="F30" s="208" t="s">
        <v>58</v>
      </c>
      <c r="G30" s="243">
        <v>1</v>
      </c>
      <c r="H30" s="244">
        <v>0</v>
      </c>
      <c r="I30" s="244">
        <f>G30*H30</f>
        <v>0</v>
      </c>
      <c r="K30" s="231"/>
      <c r="Z30" s="243">
        <f>IF(AQ30="5",BJ30,0)</f>
        <v>0</v>
      </c>
      <c r="AB30" s="243">
        <f>IF(AQ30="1",BH30,0)</f>
        <v>0</v>
      </c>
      <c r="AC30" s="243">
        <f>IF(AQ30="1",BI30,0)</f>
        <v>0</v>
      </c>
      <c r="AD30" s="243">
        <f>IF(AQ30="7",BH30,0)</f>
        <v>0</v>
      </c>
      <c r="AE30" s="243">
        <f>IF(AQ30="7",BI30,0)</f>
        <v>0</v>
      </c>
      <c r="AF30" s="243">
        <f>IF(AQ30="2",BH30,0)</f>
        <v>0</v>
      </c>
      <c r="AG30" s="243">
        <f>IF(AQ30="2",BI30,0)</f>
        <v>0</v>
      </c>
      <c r="AH30" s="243">
        <f>IF(AQ30="0",BJ30,0)</f>
        <v>0</v>
      </c>
      <c r="AI30" s="232" t="s">
        <v>572</v>
      </c>
      <c r="AJ30" s="243">
        <f>IF(AN30=0,I30,0)</f>
        <v>0</v>
      </c>
      <c r="AK30" s="243">
        <f>IF(AN30=12,I30,0)</f>
        <v>0</v>
      </c>
      <c r="AL30" s="243">
        <f>IF(AN30=21,I30,0)</f>
        <v>0</v>
      </c>
      <c r="AN30" s="243">
        <v>21</v>
      </c>
      <c r="AO30" s="243">
        <f>H30*0.166666666666667</f>
        <v>0</v>
      </c>
      <c r="AP30" s="243">
        <f>H30*(1-0.166666666666667)</f>
        <v>0</v>
      </c>
      <c r="AQ30" s="245" t="s">
        <v>553</v>
      </c>
      <c r="AV30" s="243">
        <f>AW30+AX30</f>
        <v>0</v>
      </c>
      <c r="AW30" s="243">
        <f>G30*AO30</f>
        <v>0</v>
      </c>
      <c r="AX30" s="243">
        <f>G30*AP30</f>
        <v>0</v>
      </c>
      <c r="AY30" s="245" t="s">
        <v>574</v>
      </c>
      <c r="AZ30" s="245" t="s">
        <v>575</v>
      </c>
      <c r="BA30" s="232" t="s">
        <v>576</v>
      </c>
      <c r="BC30" s="243">
        <f>AW30+AX30</f>
        <v>0</v>
      </c>
      <c r="BD30" s="243">
        <f>H30/(100-BE30)*100</f>
        <v>0</v>
      </c>
      <c r="BE30" s="243">
        <v>0</v>
      </c>
      <c r="BF30" s="243">
        <f>30</f>
        <v>30</v>
      </c>
      <c r="BH30" s="243">
        <f>G30*AO30</f>
        <v>0</v>
      </c>
      <c r="BI30" s="243">
        <f>G30*AP30</f>
        <v>0</v>
      </c>
      <c r="BJ30" s="243">
        <f>G30*H30</f>
        <v>0</v>
      </c>
      <c r="BK30" s="243"/>
      <c r="BL30" s="243">
        <v>0</v>
      </c>
      <c r="BW30" s="243">
        <v>21</v>
      </c>
    </row>
    <row r="31" spans="1:75" ht="15" customHeight="1">
      <c r="A31" s="238" t="s">
        <v>21</v>
      </c>
      <c r="B31" s="239" t="s">
        <v>572</v>
      </c>
      <c r="C31" s="239" t="s">
        <v>59</v>
      </c>
      <c r="D31" s="309" t="s">
        <v>60</v>
      </c>
      <c r="E31" s="310"/>
      <c r="F31" s="240" t="s">
        <v>20</v>
      </c>
      <c r="G31" s="240" t="s">
        <v>20</v>
      </c>
      <c r="H31" s="241" t="s">
        <v>20</v>
      </c>
      <c r="I31" s="242">
        <f>SUM(I32:I32)</f>
        <v>0</v>
      </c>
      <c r="K31" s="231"/>
      <c r="AI31" s="232" t="s">
        <v>572</v>
      </c>
      <c r="AS31" s="225">
        <f>SUM(AJ32:AJ32)</f>
        <v>0</v>
      </c>
      <c r="AT31" s="225">
        <f>SUM(AK32:AK32)</f>
        <v>0</v>
      </c>
      <c r="AU31" s="225">
        <f>SUM(AL32:AL32)</f>
        <v>0</v>
      </c>
    </row>
    <row r="32" spans="1:75" ht="13.5" customHeight="1">
      <c r="A32" s="207" t="s">
        <v>241</v>
      </c>
      <c r="B32" s="208" t="s">
        <v>572</v>
      </c>
      <c r="C32" s="208" t="s">
        <v>61</v>
      </c>
      <c r="D32" s="268" t="s">
        <v>62</v>
      </c>
      <c r="E32" s="260"/>
      <c r="F32" s="208" t="s">
        <v>63</v>
      </c>
      <c r="G32" s="243">
        <v>48</v>
      </c>
      <c r="H32" s="244">
        <v>0</v>
      </c>
      <c r="I32" s="244">
        <f>G32*H32</f>
        <v>0</v>
      </c>
      <c r="K32" s="231"/>
      <c r="Z32" s="243">
        <f>IF(AQ32="5",BJ32,0)</f>
        <v>0</v>
      </c>
      <c r="AB32" s="243">
        <f>IF(AQ32="1",BH32,0)</f>
        <v>0</v>
      </c>
      <c r="AC32" s="243">
        <f>IF(AQ32="1",BI32,0)</f>
        <v>0</v>
      </c>
      <c r="AD32" s="243">
        <f>IF(AQ32="7",BH32,0)</f>
        <v>0</v>
      </c>
      <c r="AE32" s="243">
        <f>IF(AQ32="7",BI32,0)</f>
        <v>0</v>
      </c>
      <c r="AF32" s="243">
        <f>IF(AQ32="2",BH32,0)</f>
        <v>0</v>
      </c>
      <c r="AG32" s="243">
        <f>IF(AQ32="2",BI32,0)</f>
        <v>0</v>
      </c>
      <c r="AH32" s="243">
        <f>IF(AQ32="0",BJ32,0)</f>
        <v>0</v>
      </c>
      <c r="AI32" s="232" t="s">
        <v>572</v>
      </c>
      <c r="AJ32" s="243">
        <f>IF(AN32=0,I32,0)</f>
        <v>0</v>
      </c>
      <c r="AK32" s="243">
        <f>IF(AN32=12,I32,0)</f>
        <v>0</v>
      </c>
      <c r="AL32" s="243">
        <f>IF(AN32=21,I32,0)</f>
        <v>0</v>
      </c>
      <c r="AN32" s="243">
        <v>21</v>
      </c>
      <c r="AO32" s="243">
        <f>H32*0</f>
        <v>0</v>
      </c>
      <c r="AP32" s="243">
        <f>H32*(1-0)</f>
        <v>0</v>
      </c>
      <c r="AQ32" s="245" t="s">
        <v>567</v>
      </c>
      <c r="AV32" s="243">
        <f>AW32+AX32</f>
        <v>0</v>
      </c>
      <c r="AW32" s="243">
        <f>G32*AO32</f>
        <v>0</v>
      </c>
      <c r="AX32" s="243">
        <f>G32*AP32</f>
        <v>0</v>
      </c>
      <c r="AY32" s="245" t="s">
        <v>578</v>
      </c>
      <c r="AZ32" s="245" t="s">
        <v>579</v>
      </c>
      <c r="BA32" s="232" t="s">
        <v>576</v>
      </c>
      <c r="BC32" s="243">
        <f>AW32+AX32</f>
        <v>0</v>
      </c>
      <c r="BD32" s="243">
        <f>H32/(100-BE32)*100</f>
        <v>0</v>
      </c>
      <c r="BE32" s="243">
        <v>0</v>
      </c>
      <c r="BF32" s="243">
        <f>32</f>
        <v>32</v>
      </c>
      <c r="BH32" s="243">
        <f>G32*AO32</f>
        <v>0</v>
      </c>
      <c r="BI32" s="243">
        <f>G32*AP32</f>
        <v>0</v>
      </c>
      <c r="BJ32" s="243">
        <f>G32*H32</f>
        <v>0</v>
      </c>
      <c r="BK32" s="243"/>
      <c r="BL32" s="243">
        <v>713</v>
      </c>
      <c r="BW32" s="243">
        <v>21</v>
      </c>
    </row>
    <row r="33" spans="1:75" ht="15" customHeight="1">
      <c r="A33" s="238" t="s">
        <v>21</v>
      </c>
      <c r="B33" s="239" t="s">
        <v>572</v>
      </c>
      <c r="C33" s="239" t="s">
        <v>64</v>
      </c>
      <c r="D33" s="309" t="s">
        <v>65</v>
      </c>
      <c r="E33" s="310"/>
      <c r="F33" s="240" t="s">
        <v>20</v>
      </c>
      <c r="G33" s="240" t="s">
        <v>20</v>
      </c>
      <c r="H33" s="241" t="s">
        <v>20</v>
      </c>
      <c r="I33" s="242">
        <f>SUM(I34:I42)</f>
        <v>0</v>
      </c>
      <c r="K33" s="231"/>
      <c r="AI33" s="232" t="s">
        <v>572</v>
      </c>
      <c r="AS33" s="225">
        <f>SUM(AJ34:AJ42)</f>
        <v>0</v>
      </c>
      <c r="AT33" s="225">
        <f>SUM(AK34:AK42)</f>
        <v>0</v>
      </c>
      <c r="AU33" s="225">
        <f>SUM(AL34:AL42)</f>
        <v>0</v>
      </c>
    </row>
    <row r="34" spans="1:75" ht="13.5" customHeight="1">
      <c r="A34" s="207" t="s">
        <v>256</v>
      </c>
      <c r="B34" s="208" t="s">
        <v>572</v>
      </c>
      <c r="C34" s="208" t="s">
        <v>66</v>
      </c>
      <c r="D34" s="268" t="s">
        <v>67</v>
      </c>
      <c r="E34" s="260"/>
      <c r="F34" s="208" t="s">
        <v>68</v>
      </c>
      <c r="G34" s="243">
        <v>1</v>
      </c>
      <c r="H34" s="244">
        <v>0</v>
      </c>
      <c r="I34" s="244">
        <f t="shared" ref="I34:I42" si="0">G34*H34</f>
        <v>0</v>
      </c>
      <c r="K34" s="231"/>
      <c r="Z34" s="243">
        <f t="shared" ref="Z34:Z42" si="1">IF(AQ34="5",BJ34,0)</f>
        <v>0</v>
      </c>
      <c r="AB34" s="243">
        <f t="shared" ref="AB34:AB42" si="2">IF(AQ34="1",BH34,0)</f>
        <v>0</v>
      </c>
      <c r="AC34" s="243">
        <f t="shared" ref="AC34:AC42" si="3">IF(AQ34="1",BI34,0)</f>
        <v>0</v>
      </c>
      <c r="AD34" s="243">
        <f t="shared" ref="AD34:AD42" si="4">IF(AQ34="7",BH34,0)</f>
        <v>0</v>
      </c>
      <c r="AE34" s="243">
        <f t="shared" ref="AE34:AE42" si="5">IF(AQ34="7",BI34,0)</f>
        <v>0</v>
      </c>
      <c r="AF34" s="243">
        <f t="shared" ref="AF34:AF42" si="6">IF(AQ34="2",BH34,0)</f>
        <v>0</v>
      </c>
      <c r="AG34" s="243">
        <f t="shared" ref="AG34:AG42" si="7">IF(AQ34="2",BI34,0)</f>
        <v>0</v>
      </c>
      <c r="AH34" s="243">
        <f t="shared" ref="AH34:AH42" si="8">IF(AQ34="0",BJ34,0)</f>
        <v>0</v>
      </c>
      <c r="AI34" s="232" t="s">
        <v>572</v>
      </c>
      <c r="AJ34" s="243">
        <f t="shared" ref="AJ34:AJ42" si="9">IF(AN34=0,I34,0)</f>
        <v>0</v>
      </c>
      <c r="AK34" s="243">
        <f t="shared" ref="AK34:AK42" si="10">IF(AN34=12,I34,0)</f>
        <v>0</v>
      </c>
      <c r="AL34" s="243">
        <f t="shared" ref="AL34:AL42" si="11">IF(AN34=21,I34,0)</f>
        <v>0</v>
      </c>
      <c r="AN34" s="243">
        <v>21</v>
      </c>
      <c r="AO34" s="243">
        <f>H34*0</f>
        <v>0</v>
      </c>
      <c r="AP34" s="243">
        <f>H34*(1-0)</f>
        <v>0</v>
      </c>
      <c r="AQ34" s="245" t="s">
        <v>567</v>
      </c>
      <c r="AV34" s="243">
        <f t="shared" ref="AV34:AV42" si="12">AW34+AX34</f>
        <v>0</v>
      </c>
      <c r="AW34" s="243">
        <f t="shared" ref="AW34:AW42" si="13">G34*AO34</f>
        <v>0</v>
      </c>
      <c r="AX34" s="243">
        <f t="shared" ref="AX34:AX42" si="14">G34*AP34</f>
        <v>0</v>
      </c>
      <c r="AY34" s="245" t="s">
        <v>580</v>
      </c>
      <c r="AZ34" s="245" t="s">
        <v>581</v>
      </c>
      <c r="BA34" s="232" t="s">
        <v>576</v>
      </c>
      <c r="BC34" s="243">
        <f t="shared" ref="BC34:BC42" si="15">AW34+AX34</f>
        <v>0</v>
      </c>
      <c r="BD34" s="243">
        <f t="shared" ref="BD34:BD42" si="16">H34/(100-BE34)*100</f>
        <v>0</v>
      </c>
      <c r="BE34" s="243">
        <v>0</v>
      </c>
      <c r="BF34" s="243">
        <f>34</f>
        <v>34</v>
      </c>
      <c r="BH34" s="243">
        <f t="shared" ref="BH34:BH42" si="17">G34*AO34</f>
        <v>0</v>
      </c>
      <c r="BI34" s="243">
        <f t="shared" ref="BI34:BI42" si="18">G34*AP34</f>
        <v>0</v>
      </c>
      <c r="BJ34" s="243">
        <f t="shared" ref="BJ34:BJ42" si="19">G34*H34</f>
        <v>0</v>
      </c>
      <c r="BK34" s="243"/>
      <c r="BL34" s="243">
        <v>732</v>
      </c>
      <c r="BW34" s="243">
        <v>21</v>
      </c>
    </row>
    <row r="35" spans="1:75" ht="13.5" customHeight="1">
      <c r="A35" s="207" t="s">
        <v>582</v>
      </c>
      <c r="B35" s="208" t="s">
        <v>572</v>
      </c>
      <c r="C35" s="208" t="s">
        <v>69</v>
      </c>
      <c r="D35" s="268" t="s">
        <v>70</v>
      </c>
      <c r="E35" s="260"/>
      <c r="F35" s="208" t="s">
        <v>68</v>
      </c>
      <c r="G35" s="243">
        <v>2</v>
      </c>
      <c r="H35" s="244">
        <v>0</v>
      </c>
      <c r="I35" s="244">
        <f t="shared" si="0"/>
        <v>0</v>
      </c>
      <c r="K35" s="231"/>
      <c r="Z35" s="243">
        <f t="shared" si="1"/>
        <v>0</v>
      </c>
      <c r="AB35" s="243">
        <f t="shared" si="2"/>
        <v>0</v>
      </c>
      <c r="AC35" s="243">
        <f t="shared" si="3"/>
        <v>0</v>
      </c>
      <c r="AD35" s="243">
        <f t="shared" si="4"/>
        <v>0</v>
      </c>
      <c r="AE35" s="243">
        <f t="shared" si="5"/>
        <v>0</v>
      </c>
      <c r="AF35" s="243">
        <f t="shared" si="6"/>
        <v>0</v>
      </c>
      <c r="AG35" s="243">
        <f t="shared" si="7"/>
        <v>0</v>
      </c>
      <c r="AH35" s="243">
        <f t="shared" si="8"/>
        <v>0</v>
      </c>
      <c r="AI35" s="232" t="s">
        <v>572</v>
      </c>
      <c r="AJ35" s="243">
        <f t="shared" si="9"/>
        <v>0</v>
      </c>
      <c r="AK35" s="243">
        <f t="shared" si="10"/>
        <v>0</v>
      </c>
      <c r="AL35" s="243">
        <f t="shared" si="11"/>
        <v>0</v>
      </c>
      <c r="AN35" s="243">
        <v>21</v>
      </c>
      <c r="AO35" s="243">
        <f>H35*0</f>
        <v>0</v>
      </c>
      <c r="AP35" s="243">
        <f>H35*(1-0)</f>
        <v>0</v>
      </c>
      <c r="AQ35" s="245" t="s">
        <v>567</v>
      </c>
      <c r="AV35" s="243">
        <f t="shared" si="12"/>
        <v>0</v>
      </c>
      <c r="AW35" s="243">
        <f t="shared" si="13"/>
        <v>0</v>
      </c>
      <c r="AX35" s="243">
        <f t="shared" si="14"/>
        <v>0</v>
      </c>
      <c r="AY35" s="245" t="s">
        <v>580</v>
      </c>
      <c r="AZ35" s="245" t="s">
        <v>581</v>
      </c>
      <c r="BA35" s="232" t="s">
        <v>576</v>
      </c>
      <c r="BC35" s="243">
        <f t="shared" si="15"/>
        <v>0</v>
      </c>
      <c r="BD35" s="243">
        <f t="shared" si="16"/>
        <v>0</v>
      </c>
      <c r="BE35" s="243">
        <v>0</v>
      </c>
      <c r="BF35" s="243">
        <f>35</f>
        <v>35</v>
      </c>
      <c r="BH35" s="243">
        <f t="shared" si="17"/>
        <v>0</v>
      </c>
      <c r="BI35" s="243">
        <f t="shared" si="18"/>
        <v>0</v>
      </c>
      <c r="BJ35" s="243">
        <f t="shared" si="19"/>
        <v>0</v>
      </c>
      <c r="BK35" s="243"/>
      <c r="BL35" s="243">
        <v>732</v>
      </c>
      <c r="BW35" s="243">
        <v>21</v>
      </c>
    </row>
    <row r="36" spans="1:75" ht="13.5" customHeight="1">
      <c r="A36" s="207" t="s">
        <v>583</v>
      </c>
      <c r="B36" s="208" t="s">
        <v>572</v>
      </c>
      <c r="C36" s="208" t="s">
        <v>71</v>
      </c>
      <c r="D36" s="268" t="s">
        <v>72</v>
      </c>
      <c r="E36" s="260"/>
      <c r="F36" s="208" t="s">
        <v>58</v>
      </c>
      <c r="G36" s="243">
        <v>1</v>
      </c>
      <c r="H36" s="244">
        <v>0</v>
      </c>
      <c r="I36" s="244">
        <f t="shared" si="0"/>
        <v>0</v>
      </c>
      <c r="K36" s="231"/>
      <c r="Z36" s="243">
        <f t="shared" si="1"/>
        <v>0</v>
      </c>
      <c r="AB36" s="243">
        <f t="shared" si="2"/>
        <v>0</v>
      </c>
      <c r="AC36" s="243">
        <f t="shared" si="3"/>
        <v>0</v>
      </c>
      <c r="AD36" s="243">
        <f t="shared" si="4"/>
        <v>0</v>
      </c>
      <c r="AE36" s="243">
        <f t="shared" si="5"/>
        <v>0</v>
      </c>
      <c r="AF36" s="243">
        <f t="shared" si="6"/>
        <v>0</v>
      </c>
      <c r="AG36" s="243">
        <f t="shared" si="7"/>
        <v>0</v>
      </c>
      <c r="AH36" s="243">
        <f t="shared" si="8"/>
        <v>0</v>
      </c>
      <c r="AI36" s="232" t="s">
        <v>572</v>
      </c>
      <c r="AJ36" s="243">
        <f t="shared" si="9"/>
        <v>0</v>
      </c>
      <c r="AK36" s="243">
        <f t="shared" si="10"/>
        <v>0</v>
      </c>
      <c r="AL36" s="243">
        <f t="shared" si="11"/>
        <v>0</v>
      </c>
      <c r="AN36" s="243">
        <v>21</v>
      </c>
      <c r="AO36" s="243">
        <f>H36*0.632508123680949</f>
        <v>0</v>
      </c>
      <c r="AP36" s="243">
        <f>H36*(1-0.632508123680949)</f>
        <v>0</v>
      </c>
      <c r="AQ36" s="245" t="s">
        <v>567</v>
      </c>
      <c r="AV36" s="243">
        <f t="shared" si="12"/>
        <v>0</v>
      </c>
      <c r="AW36" s="243">
        <f t="shared" si="13"/>
        <v>0</v>
      </c>
      <c r="AX36" s="243">
        <f t="shared" si="14"/>
        <v>0</v>
      </c>
      <c r="AY36" s="245" t="s">
        <v>580</v>
      </c>
      <c r="AZ36" s="245" t="s">
        <v>581</v>
      </c>
      <c r="BA36" s="232" t="s">
        <v>576</v>
      </c>
      <c r="BC36" s="243">
        <f t="shared" si="15"/>
        <v>0</v>
      </c>
      <c r="BD36" s="243">
        <f t="shared" si="16"/>
        <v>0</v>
      </c>
      <c r="BE36" s="243">
        <v>0</v>
      </c>
      <c r="BF36" s="243">
        <f>36</f>
        <v>36</v>
      </c>
      <c r="BH36" s="243">
        <f t="shared" si="17"/>
        <v>0</v>
      </c>
      <c r="BI36" s="243">
        <f t="shared" si="18"/>
        <v>0</v>
      </c>
      <c r="BJ36" s="243">
        <f t="shared" si="19"/>
        <v>0</v>
      </c>
      <c r="BK36" s="243"/>
      <c r="BL36" s="243">
        <v>732</v>
      </c>
      <c r="BW36" s="243">
        <v>21</v>
      </c>
    </row>
    <row r="37" spans="1:75" ht="13.5" customHeight="1">
      <c r="A37" s="207" t="s">
        <v>584</v>
      </c>
      <c r="B37" s="208" t="s">
        <v>572</v>
      </c>
      <c r="C37" s="208" t="s">
        <v>73</v>
      </c>
      <c r="D37" s="268" t="s">
        <v>74</v>
      </c>
      <c r="E37" s="260"/>
      <c r="F37" s="208" t="s">
        <v>58</v>
      </c>
      <c r="G37" s="243">
        <v>1</v>
      </c>
      <c r="H37" s="244">
        <v>0</v>
      </c>
      <c r="I37" s="244">
        <f t="shared" si="0"/>
        <v>0</v>
      </c>
      <c r="K37" s="231"/>
      <c r="Z37" s="243">
        <f t="shared" si="1"/>
        <v>0</v>
      </c>
      <c r="AB37" s="243">
        <f t="shared" si="2"/>
        <v>0</v>
      </c>
      <c r="AC37" s="243">
        <f t="shared" si="3"/>
        <v>0</v>
      </c>
      <c r="AD37" s="243">
        <f t="shared" si="4"/>
        <v>0</v>
      </c>
      <c r="AE37" s="243">
        <f t="shared" si="5"/>
        <v>0</v>
      </c>
      <c r="AF37" s="243">
        <f t="shared" si="6"/>
        <v>0</v>
      </c>
      <c r="AG37" s="243">
        <f t="shared" si="7"/>
        <v>0</v>
      </c>
      <c r="AH37" s="243">
        <f t="shared" si="8"/>
        <v>0</v>
      </c>
      <c r="AI37" s="232" t="s">
        <v>572</v>
      </c>
      <c r="AJ37" s="243">
        <f t="shared" si="9"/>
        <v>0</v>
      </c>
      <c r="AK37" s="243">
        <f t="shared" si="10"/>
        <v>0</v>
      </c>
      <c r="AL37" s="243">
        <f t="shared" si="11"/>
        <v>0</v>
      </c>
      <c r="AN37" s="243">
        <v>21</v>
      </c>
      <c r="AO37" s="243">
        <f>H37*0</f>
        <v>0</v>
      </c>
      <c r="AP37" s="243">
        <f>H37*(1-0)</f>
        <v>0</v>
      </c>
      <c r="AQ37" s="245" t="s">
        <v>567</v>
      </c>
      <c r="AV37" s="243">
        <f t="shared" si="12"/>
        <v>0</v>
      </c>
      <c r="AW37" s="243">
        <f t="shared" si="13"/>
        <v>0</v>
      </c>
      <c r="AX37" s="243">
        <f t="shared" si="14"/>
        <v>0</v>
      </c>
      <c r="AY37" s="245" t="s">
        <v>580</v>
      </c>
      <c r="AZ37" s="245" t="s">
        <v>581</v>
      </c>
      <c r="BA37" s="232" t="s">
        <v>576</v>
      </c>
      <c r="BC37" s="243">
        <f t="shared" si="15"/>
        <v>0</v>
      </c>
      <c r="BD37" s="243">
        <f t="shared" si="16"/>
        <v>0</v>
      </c>
      <c r="BE37" s="243">
        <v>0</v>
      </c>
      <c r="BF37" s="243">
        <f>37</f>
        <v>37</v>
      </c>
      <c r="BH37" s="243">
        <f t="shared" si="17"/>
        <v>0</v>
      </c>
      <c r="BI37" s="243">
        <f t="shared" si="18"/>
        <v>0</v>
      </c>
      <c r="BJ37" s="243">
        <f t="shared" si="19"/>
        <v>0</v>
      </c>
      <c r="BK37" s="243"/>
      <c r="BL37" s="243">
        <v>732</v>
      </c>
      <c r="BW37" s="243">
        <v>21</v>
      </c>
    </row>
    <row r="38" spans="1:75" ht="13.5" customHeight="1">
      <c r="A38" s="207" t="s">
        <v>585</v>
      </c>
      <c r="B38" s="208" t="s">
        <v>572</v>
      </c>
      <c r="C38" s="208" t="s">
        <v>75</v>
      </c>
      <c r="D38" s="268" t="s">
        <v>76</v>
      </c>
      <c r="E38" s="260"/>
      <c r="F38" s="208" t="s">
        <v>68</v>
      </c>
      <c r="G38" s="243">
        <v>2</v>
      </c>
      <c r="H38" s="244">
        <v>0</v>
      </c>
      <c r="I38" s="244">
        <f t="shared" si="0"/>
        <v>0</v>
      </c>
      <c r="K38" s="231"/>
      <c r="Z38" s="243">
        <f t="shared" si="1"/>
        <v>0</v>
      </c>
      <c r="AB38" s="243">
        <f t="shared" si="2"/>
        <v>0</v>
      </c>
      <c r="AC38" s="243">
        <f t="shared" si="3"/>
        <v>0</v>
      </c>
      <c r="AD38" s="243">
        <f t="shared" si="4"/>
        <v>0</v>
      </c>
      <c r="AE38" s="243">
        <f t="shared" si="5"/>
        <v>0</v>
      </c>
      <c r="AF38" s="243">
        <f t="shared" si="6"/>
        <v>0</v>
      </c>
      <c r="AG38" s="243">
        <f t="shared" si="7"/>
        <v>0</v>
      </c>
      <c r="AH38" s="243">
        <f t="shared" si="8"/>
        <v>0</v>
      </c>
      <c r="AI38" s="232" t="s">
        <v>572</v>
      </c>
      <c r="AJ38" s="243">
        <f t="shared" si="9"/>
        <v>0</v>
      </c>
      <c r="AK38" s="243">
        <f t="shared" si="10"/>
        <v>0</v>
      </c>
      <c r="AL38" s="243">
        <f t="shared" si="11"/>
        <v>0</v>
      </c>
      <c r="AN38" s="243">
        <v>21</v>
      </c>
      <c r="AO38" s="243">
        <f>H38*0</f>
        <v>0</v>
      </c>
      <c r="AP38" s="243">
        <f>H38*(1-0)</f>
        <v>0</v>
      </c>
      <c r="AQ38" s="245" t="s">
        <v>567</v>
      </c>
      <c r="AV38" s="243">
        <f t="shared" si="12"/>
        <v>0</v>
      </c>
      <c r="AW38" s="243">
        <f t="shared" si="13"/>
        <v>0</v>
      </c>
      <c r="AX38" s="243">
        <f t="shared" si="14"/>
        <v>0</v>
      </c>
      <c r="AY38" s="245" t="s">
        <v>580</v>
      </c>
      <c r="AZ38" s="245" t="s">
        <v>581</v>
      </c>
      <c r="BA38" s="232" t="s">
        <v>576</v>
      </c>
      <c r="BC38" s="243">
        <f t="shared" si="15"/>
        <v>0</v>
      </c>
      <c r="BD38" s="243">
        <f t="shared" si="16"/>
        <v>0</v>
      </c>
      <c r="BE38" s="243">
        <v>0</v>
      </c>
      <c r="BF38" s="243">
        <f>38</f>
        <v>38</v>
      </c>
      <c r="BH38" s="243">
        <f t="shared" si="17"/>
        <v>0</v>
      </c>
      <c r="BI38" s="243">
        <f t="shared" si="18"/>
        <v>0</v>
      </c>
      <c r="BJ38" s="243">
        <f t="shared" si="19"/>
        <v>0</v>
      </c>
      <c r="BK38" s="243"/>
      <c r="BL38" s="243">
        <v>732</v>
      </c>
      <c r="BW38" s="243">
        <v>21</v>
      </c>
    </row>
    <row r="39" spans="1:75" ht="13.5" customHeight="1">
      <c r="A39" s="207" t="s">
        <v>264</v>
      </c>
      <c r="B39" s="208" t="s">
        <v>572</v>
      </c>
      <c r="C39" s="208" t="s">
        <v>77</v>
      </c>
      <c r="D39" s="268" t="s">
        <v>78</v>
      </c>
      <c r="E39" s="260"/>
      <c r="F39" s="208" t="s">
        <v>68</v>
      </c>
      <c r="G39" s="243">
        <v>2</v>
      </c>
      <c r="H39" s="244">
        <v>0</v>
      </c>
      <c r="I39" s="244">
        <f t="shared" si="0"/>
        <v>0</v>
      </c>
      <c r="K39" s="231"/>
      <c r="Z39" s="243">
        <f t="shared" si="1"/>
        <v>0</v>
      </c>
      <c r="AB39" s="243">
        <f t="shared" si="2"/>
        <v>0</v>
      </c>
      <c r="AC39" s="243">
        <f t="shared" si="3"/>
        <v>0</v>
      </c>
      <c r="AD39" s="243">
        <f t="shared" si="4"/>
        <v>0</v>
      </c>
      <c r="AE39" s="243">
        <f t="shared" si="5"/>
        <v>0</v>
      </c>
      <c r="AF39" s="243">
        <f t="shared" si="6"/>
        <v>0</v>
      </c>
      <c r="AG39" s="243">
        <f t="shared" si="7"/>
        <v>0</v>
      </c>
      <c r="AH39" s="243">
        <f t="shared" si="8"/>
        <v>0</v>
      </c>
      <c r="AI39" s="232" t="s">
        <v>572</v>
      </c>
      <c r="AJ39" s="243">
        <f t="shared" si="9"/>
        <v>0</v>
      </c>
      <c r="AK39" s="243">
        <f t="shared" si="10"/>
        <v>0</v>
      </c>
      <c r="AL39" s="243">
        <f t="shared" si="11"/>
        <v>0</v>
      </c>
      <c r="AN39" s="243">
        <v>21</v>
      </c>
      <c r="AO39" s="243">
        <f>H39*0</f>
        <v>0</v>
      </c>
      <c r="AP39" s="243">
        <f>H39*(1-0)</f>
        <v>0</v>
      </c>
      <c r="AQ39" s="245" t="s">
        <v>567</v>
      </c>
      <c r="AV39" s="243">
        <f t="shared" si="12"/>
        <v>0</v>
      </c>
      <c r="AW39" s="243">
        <f t="shared" si="13"/>
        <v>0</v>
      </c>
      <c r="AX39" s="243">
        <f t="shared" si="14"/>
        <v>0</v>
      </c>
      <c r="AY39" s="245" t="s">
        <v>580</v>
      </c>
      <c r="AZ39" s="245" t="s">
        <v>581</v>
      </c>
      <c r="BA39" s="232" t="s">
        <v>576</v>
      </c>
      <c r="BC39" s="243">
        <f t="shared" si="15"/>
        <v>0</v>
      </c>
      <c r="BD39" s="243">
        <f t="shared" si="16"/>
        <v>0</v>
      </c>
      <c r="BE39" s="243">
        <v>0</v>
      </c>
      <c r="BF39" s="243">
        <f>39</f>
        <v>39</v>
      </c>
      <c r="BH39" s="243">
        <f t="shared" si="17"/>
        <v>0</v>
      </c>
      <c r="BI39" s="243">
        <f t="shared" si="18"/>
        <v>0</v>
      </c>
      <c r="BJ39" s="243">
        <f t="shared" si="19"/>
        <v>0</v>
      </c>
      <c r="BK39" s="243"/>
      <c r="BL39" s="243">
        <v>732</v>
      </c>
      <c r="BW39" s="243">
        <v>21</v>
      </c>
    </row>
    <row r="40" spans="1:75" ht="13.5" customHeight="1">
      <c r="A40" s="207" t="s">
        <v>274</v>
      </c>
      <c r="B40" s="208" t="s">
        <v>572</v>
      </c>
      <c r="C40" s="208" t="s">
        <v>79</v>
      </c>
      <c r="D40" s="268" t="s">
        <v>80</v>
      </c>
      <c r="E40" s="260"/>
      <c r="F40" s="208" t="s">
        <v>58</v>
      </c>
      <c r="G40" s="243">
        <v>2</v>
      </c>
      <c r="H40" s="244">
        <v>0</v>
      </c>
      <c r="I40" s="244">
        <f t="shared" si="0"/>
        <v>0</v>
      </c>
      <c r="K40" s="231"/>
      <c r="Z40" s="243">
        <f t="shared" si="1"/>
        <v>0</v>
      </c>
      <c r="AB40" s="243">
        <f t="shared" si="2"/>
        <v>0</v>
      </c>
      <c r="AC40" s="243">
        <f t="shared" si="3"/>
        <v>0</v>
      </c>
      <c r="AD40" s="243">
        <f t="shared" si="4"/>
        <v>0</v>
      </c>
      <c r="AE40" s="243">
        <f t="shared" si="5"/>
        <v>0</v>
      </c>
      <c r="AF40" s="243">
        <f t="shared" si="6"/>
        <v>0</v>
      </c>
      <c r="AG40" s="243">
        <f t="shared" si="7"/>
        <v>0</v>
      </c>
      <c r="AH40" s="243">
        <f t="shared" si="8"/>
        <v>0</v>
      </c>
      <c r="AI40" s="232" t="s">
        <v>572</v>
      </c>
      <c r="AJ40" s="243">
        <f t="shared" si="9"/>
        <v>0</v>
      </c>
      <c r="AK40" s="243">
        <f t="shared" si="10"/>
        <v>0</v>
      </c>
      <c r="AL40" s="243">
        <f t="shared" si="11"/>
        <v>0</v>
      </c>
      <c r="AN40" s="243">
        <v>21</v>
      </c>
      <c r="AO40" s="243">
        <f>H40*0.149544198895028</f>
        <v>0</v>
      </c>
      <c r="AP40" s="243">
        <f>H40*(1-0.149544198895028)</f>
        <v>0</v>
      </c>
      <c r="AQ40" s="245" t="s">
        <v>567</v>
      </c>
      <c r="AV40" s="243">
        <f t="shared" si="12"/>
        <v>0</v>
      </c>
      <c r="AW40" s="243">
        <f t="shared" si="13"/>
        <v>0</v>
      </c>
      <c r="AX40" s="243">
        <f t="shared" si="14"/>
        <v>0</v>
      </c>
      <c r="AY40" s="245" t="s">
        <v>580</v>
      </c>
      <c r="AZ40" s="245" t="s">
        <v>581</v>
      </c>
      <c r="BA40" s="232" t="s">
        <v>576</v>
      </c>
      <c r="BC40" s="243">
        <f t="shared" si="15"/>
        <v>0</v>
      </c>
      <c r="BD40" s="243">
        <f t="shared" si="16"/>
        <v>0</v>
      </c>
      <c r="BE40" s="243">
        <v>0</v>
      </c>
      <c r="BF40" s="243">
        <f>40</f>
        <v>40</v>
      </c>
      <c r="BH40" s="243">
        <f t="shared" si="17"/>
        <v>0</v>
      </c>
      <c r="BI40" s="243">
        <f t="shared" si="18"/>
        <v>0</v>
      </c>
      <c r="BJ40" s="243">
        <f t="shared" si="19"/>
        <v>0</v>
      </c>
      <c r="BK40" s="243"/>
      <c r="BL40" s="243">
        <v>732</v>
      </c>
      <c r="BW40" s="243">
        <v>21</v>
      </c>
    </row>
    <row r="41" spans="1:75" ht="13.5" customHeight="1">
      <c r="A41" s="207" t="s">
        <v>586</v>
      </c>
      <c r="B41" s="208" t="s">
        <v>572</v>
      </c>
      <c r="C41" s="208" t="s">
        <v>81</v>
      </c>
      <c r="D41" s="268" t="s">
        <v>82</v>
      </c>
      <c r="E41" s="260"/>
      <c r="F41" s="208" t="s">
        <v>68</v>
      </c>
      <c r="G41" s="243">
        <v>2</v>
      </c>
      <c r="H41" s="244">
        <v>0</v>
      </c>
      <c r="I41" s="244">
        <f t="shared" si="0"/>
        <v>0</v>
      </c>
      <c r="K41" s="231"/>
      <c r="Z41" s="243">
        <f t="shared" si="1"/>
        <v>0</v>
      </c>
      <c r="AB41" s="243">
        <f t="shared" si="2"/>
        <v>0</v>
      </c>
      <c r="AC41" s="243">
        <f t="shared" si="3"/>
        <v>0</v>
      </c>
      <c r="AD41" s="243">
        <f t="shared" si="4"/>
        <v>0</v>
      </c>
      <c r="AE41" s="243">
        <f t="shared" si="5"/>
        <v>0</v>
      </c>
      <c r="AF41" s="243">
        <f t="shared" si="6"/>
        <v>0</v>
      </c>
      <c r="AG41" s="243">
        <f t="shared" si="7"/>
        <v>0</v>
      </c>
      <c r="AH41" s="243">
        <f t="shared" si="8"/>
        <v>0</v>
      </c>
      <c r="AI41" s="232" t="s">
        <v>572</v>
      </c>
      <c r="AJ41" s="243">
        <f t="shared" si="9"/>
        <v>0</v>
      </c>
      <c r="AK41" s="243">
        <f t="shared" si="10"/>
        <v>0</v>
      </c>
      <c r="AL41" s="243">
        <f t="shared" si="11"/>
        <v>0</v>
      </c>
      <c r="AN41" s="243">
        <v>21</v>
      </c>
      <c r="AO41" s="243">
        <f>H41*0.558091787439614</f>
        <v>0</v>
      </c>
      <c r="AP41" s="243">
        <f>H41*(1-0.558091787439614)</f>
        <v>0</v>
      </c>
      <c r="AQ41" s="245" t="s">
        <v>567</v>
      </c>
      <c r="AV41" s="243">
        <f t="shared" si="12"/>
        <v>0</v>
      </c>
      <c r="AW41" s="243">
        <f t="shared" si="13"/>
        <v>0</v>
      </c>
      <c r="AX41" s="243">
        <f t="shared" si="14"/>
        <v>0</v>
      </c>
      <c r="AY41" s="245" t="s">
        <v>580</v>
      </c>
      <c r="AZ41" s="245" t="s">
        <v>581</v>
      </c>
      <c r="BA41" s="232" t="s">
        <v>576</v>
      </c>
      <c r="BC41" s="243">
        <f t="shared" si="15"/>
        <v>0</v>
      </c>
      <c r="BD41" s="243">
        <f t="shared" si="16"/>
        <v>0</v>
      </c>
      <c r="BE41" s="243">
        <v>0</v>
      </c>
      <c r="BF41" s="243">
        <f>41</f>
        <v>41</v>
      </c>
      <c r="BH41" s="243">
        <f t="shared" si="17"/>
        <v>0</v>
      </c>
      <c r="BI41" s="243">
        <f t="shared" si="18"/>
        <v>0</v>
      </c>
      <c r="BJ41" s="243">
        <f t="shared" si="19"/>
        <v>0</v>
      </c>
      <c r="BK41" s="243"/>
      <c r="BL41" s="243">
        <v>732</v>
      </c>
      <c r="BW41" s="243">
        <v>21</v>
      </c>
    </row>
    <row r="42" spans="1:75" ht="13.5" customHeight="1">
      <c r="A42" s="207" t="s">
        <v>587</v>
      </c>
      <c r="B42" s="208" t="s">
        <v>572</v>
      </c>
      <c r="C42" s="208" t="s">
        <v>83</v>
      </c>
      <c r="D42" s="268" t="s">
        <v>84</v>
      </c>
      <c r="E42" s="260"/>
      <c r="F42" s="208" t="s">
        <v>58</v>
      </c>
      <c r="G42" s="243">
        <v>1</v>
      </c>
      <c r="H42" s="244">
        <v>0</v>
      </c>
      <c r="I42" s="244">
        <f t="shared" si="0"/>
        <v>0</v>
      </c>
      <c r="K42" s="231"/>
      <c r="Z42" s="243">
        <f t="shared" si="1"/>
        <v>0</v>
      </c>
      <c r="AB42" s="243">
        <f t="shared" si="2"/>
        <v>0</v>
      </c>
      <c r="AC42" s="243">
        <f t="shared" si="3"/>
        <v>0</v>
      </c>
      <c r="AD42" s="243">
        <f t="shared" si="4"/>
        <v>0</v>
      </c>
      <c r="AE42" s="243">
        <f t="shared" si="5"/>
        <v>0</v>
      </c>
      <c r="AF42" s="243">
        <f t="shared" si="6"/>
        <v>0</v>
      </c>
      <c r="AG42" s="243">
        <f t="shared" si="7"/>
        <v>0</v>
      </c>
      <c r="AH42" s="243">
        <f t="shared" si="8"/>
        <v>0</v>
      </c>
      <c r="AI42" s="232" t="s">
        <v>572</v>
      </c>
      <c r="AJ42" s="243">
        <f t="shared" si="9"/>
        <v>0</v>
      </c>
      <c r="AK42" s="243">
        <f t="shared" si="10"/>
        <v>0</v>
      </c>
      <c r="AL42" s="243">
        <f t="shared" si="11"/>
        <v>0</v>
      </c>
      <c r="AN42" s="243">
        <v>21</v>
      </c>
      <c r="AO42" s="243">
        <f>H42*0.455580865603645</f>
        <v>0</v>
      </c>
      <c r="AP42" s="243">
        <f>H42*(1-0.455580865603645)</f>
        <v>0</v>
      </c>
      <c r="AQ42" s="245" t="s">
        <v>567</v>
      </c>
      <c r="AV42" s="243">
        <f t="shared" si="12"/>
        <v>0</v>
      </c>
      <c r="AW42" s="243">
        <f t="shared" si="13"/>
        <v>0</v>
      </c>
      <c r="AX42" s="243">
        <f t="shared" si="14"/>
        <v>0</v>
      </c>
      <c r="AY42" s="245" t="s">
        <v>580</v>
      </c>
      <c r="AZ42" s="245" t="s">
        <v>581</v>
      </c>
      <c r="BA42" s="232" t="s">
        <v>576</v>
      </c>
      <c r="BC42" s="243">
        <f t="shared" si="15"/>
        <v>0</v>
      </c>
      <c r="BD42" s="243">
        <f t="shared" si="16"/>
        <v>0</v>
      </c>
      <c r="BE42" s="243">
        <v>0</v>
      </c>
      <c r="BF42" s="243">
        <f>42</f>
        <v>42</v>
      </c>
      <c r="BH42" s="243">
        <f t="shared" si="17"/>
        <v>0</v>
      </c>
      <c r="BI42" s="243">
        <f t="shared" si="18"/>
        <v>0</v>
      </c>
      <c r="BJ42" s="243">
        <f t="shared" si="19"/>
        <v>0</v>
      </c>
      <c r="BK42" s="243"/>
      <c r="BL42" s="243">
        <v>732</v>
      </c>
      <c r="BW42" s="243">
        <v>21</v>
      </c>
    </row>
    <row r="43" spans="1:75" ht="15" customHeight="1">
      <c r="A43" s="238" t="s">
        <v>21</v>
      </c>
      <c r="B43" s="239" t="s">
        <v>572</v>
      </c>
      <c r="C43" s="239" t="s">
        <v>85</v>
      </c>
      <c r="D43" s="309" t="s">
        <v>86</v>
      </c>
      <c r="E43" s="310"/>
      <c r="F43" s="240" t="s">
        <v>20</v>
      </c>
      <c r="G43" s="240" t="s">
        <v>20</v>
      </c>
      <c r="H43" s="241" t="s">
        <v>20</v>
      </c>
      <c r="I43" s="242">
        <f>SUM(I44:I47)</f>
        <v>0</v>
      </c>
      <c r="K43" s="231"/>
      <c r="AI43" s="232" t="s">
        <v>572</v>
      </c>
      <c r="AS43" s="225">
        <f>SUM(AJ44:AJ47)</f>
        <v>0</v>
      </c>
      <c r="AT43" s="225">
        <f>SUM(AK44:AK47)</f>
        <v>0</v>
      </c>
      <c r="AU43" s="225">
        <f>SUM(AL44:AL47)</f>
        <v>0</v>
      </c>
    </row>
    <row r="44" spans="1:75" ht="13.5" customHeight="1">
      <c r="A44" s="207" t="s">
        <v>554</v>
      </c>
      <c r="B44" s="208" t="s">
        <v>572</v>
      </c>
      <c r="C44" s="208" t="s">
        <v>87</v>
      </c>
      <c r="D44" s="268" t="s">
        <v>88</v>
      </c>
      <c r="E44" s="260"/>
      <c r="F44" s="208" t="s">
        <v>68</v>
      </c>
      <c r="G44" s="243">
        <v>4</v>
      </c>
      <c r="H44" s="244">
        <v>0</v>
      </c>
      <c r="I44" s="244">
        <f>G44*H44</f>
        <v>0</v>
      </c>
      <c r="K44" s="231"/>
      <c r="Z44" s="243">
        <f>IF(AQ44="5",BJ44,0)</f>
        <v>0</v>
      </c>
      <c r="AB44" s="243">
        <f>IF(AQ44="1",BH44,0)</f>
        <v>0</v>
      </c>
      <c r="AC44" s="243">
        <f>IF(AQ44="1",BI44,0)</f>
        <v>0</v>
      </c>
      <c r="AD44" s="243">
        <f>IF(AQ44="7",BH44,0)</f>
        <v>0</v>
      </c>
      <c r="AE44" s="243">
        <f>IF(AQ44="7",BI44,0)</f>
        <v>0</v>
      </c>
      <c r="AF44" s="243">
        <f>IF(AQ44="2",BH44,0)</f>
        <v>0</v>
      </c>
      <c r="AG44" s="243">
        <f>IF(AQ44="2",BI44,0)</f>
        <v>0</v>
      </c>
      <c r="AH44" s="243">
        <f>IF(AQ44="0",BJ44,0)</f>
        <v>0</v>
      </c>
      <c r="AI44" s="232" t="s">
        <v>572</v>
      </c>
      <c r="AJ44" s="243">
        <f>IF(AN44=0,I44,0)</f>
        <v>0</v>
      </c>
      <c r="AK44" s="243">
        <f>IF(AN44=12,I44,0)</f>
        <v>0</v>
      </c>
      <c r="AL44" s="243">
        <f>IF(AN44=21,I44,0)</f>
        <v>0</v>
      </c>
      <c r="AN44" s="243">
        <v>21</v>
      </c>
      <c r="AO44" s="243">
        <f>H44*0.277834101382488</f>
        <v>0</v>
      </c>
      <c r="AP44" s="243">
        <f>H44*(1-0.277834101382488)</f>
        <v>0</v>
      </c>
      <c r="AQ44" s="245" t="s">
        <v>567</v>
      </c>
      <c r="AV44" s="243">
        <f>AW44+AX44</f>
        <v>0</v>
      </c>
      <c r="AW44" s="243">
        <f>G44*AO44</f>
        <v>0</v>
      </c>
      <c r="AX44" s="243">
        <f>G44*AP44</f>
        <v>0</v>
      </c>
      <c r="AY44" s="245" t="s">
        <v>588</v>
      </c>
      <c r="AZ44" s="245" t="s">
        <v>581</v>
      </c>
      <c r="BA44" s="232" t="s">
        <v>576</v>
      </c>
      <c r="BC44" s="243">
        <f>AW44+AX44</f>
        <v>0</v>
      </c>
      <c r="BD44" s="243">
        <f>H44/(100-BE44)*100</f>
        <v>0</v>
      </c>
      <c r="BE44" s="243">
        <v>0</v>
      </c>
      <c r="BF44" s="243">
        <f>44</f>
        <v>44</v>
      </c>
      <c r="BH44" s="243">
        <f>G44*AO44</f>
        <v>0</v>
      </c>
      <c r="BI44" s="243">
        <f>G44*AP44</f>
        <v>0</v>
      </c>
      <c r="BJ44" s="243">
        <f>G44*H44</f>
        <v>0</v>
      </c>
      <c r="BK44" s="243"/>
      <c r="BL44" s="243">
        <v>733</v>
      </c>
      <c r="BW44" s="243">
        <v>21</v>
      </c>
    </row>
    <row r="45" spans="1:75" ht="13.5" customHeight="1">
      <c r="A45" s="207" t="s">
        <v>589</v>
      </c>
      <c r="B45" s="208" t="s">
        <v>572</v>
      </c>
      <c r="C45" s="208" t="s">
        <v>89</v>
      </c>
      <c r="D45" s="268" t="s">
        <v>90</v>
      </c>
      <c r="E45" s="260"/>
      <c r="F45" s="208" t="s">
        <v>68</v>
      </c>
      <c r="G45" s="243">
        <v>6</v>
      </c>
      <c r="H45" s="244">
        <v>0</v>
      </c>
      <c r="I45" s="244">
        <f>G45*H45</f>
        <v>0</v>
      </c>
      <c r="K45" s="231"/>
      <c r="Z45" s="243">
        <f>IF(AQ45="5",BJ45,0)</f>
        <v>0</v>
      </c>
      <c r="AB45" s="243">
        <f>IF(AQ45="1",BH45,0)</f>
        <v>0</v>
      </c>
      <c r="AC45" s="243">
        <f>IF(AQ45="1",BI45,0)</f>
        <v>0</v>
      </c>
      <c r="AD45" s="243">
        <f>IF(AQ45="7",BH45,0)</f>
        <v>0</v>
      </c>
      <c r="AE45" s="243">
        <f>IF(AQ45="7",BI45,0)</f>
        <v>0</v>
      </c>
      <c r="AF45" s="243">
        <f>IF(AQ45="2",BH45,0)</f>
        <v>0</v>
      </c>
      <c r="AG45" s="243">
        <f>IF(AQ45="2",BI45,0)</f>
        <v>0</v>
      </c>
      <c r="AH45" s="243">
        <f>IF(AQ45="0",BJ45,0)</f>
        <v>0</v>
      </c>
      <c r="AI45" s="232" t="s">
        <v>572</v>
      </c>
      <c r="AJ45" s="243">
        <f>IF(AN45=0,I45,0)</f>
        <v>0</v>
      </c>
      <c r="AK45" s="243">
        <f>IF(AN45=12,I45,0)</f>
        <v>0</v>
      </c>
      <c r="AL45" s="243">
        <f>IF(AN45=21,I45,0)</f>
        <v>0</v>
      </c>
      <c r="AN45" s="243">
        <v>21</v>
      </c>
      <c r="AO45" s="243">
        <f>H45*0</f>
        <v>0</v>
      </c>
      <c r="AP45" s="243">
        <f>H45*(1-0)</f>
        <v>0</v>
      </c>
      <c r="AQ45" s="245" t="s">
        <v>567</v>
      </c>
      <c r="AV45" s="243">
        <f>AW45+AX45</f>
        <v>0</v>
      </c>
      <c r="AW45" s="243">
        <f>G45*AO45</f>
        <v>0</v>
      </c>
      <c r="AX45" s="243">
        <f>G45*AP45</f>
        <v>0</v>
      </c>
      <c r="AY45" s="245" t="s">
        <v>588</v>
      </c>
      <c r="AZ45" s="245" t="s">
        <v>581</v>
      </c>
      <c r="BA45" s="232" t="s">
        <v>576</v>
      </c>
      <c r="BC45" s="243">
        <f>AW45+AX45</f>
        <v>0</v>
      </c>
      <c r="BD45" s="243">
        <f>H45/(100-BE45)*100</f>
        <v>0</v>
      </c>
      <c r="BE45" s="243">
        <v>0</v>
      </c>
      <c r="BF45" s="243">
        <f>45</f>
        <v>45</v>
      </c>
      <c r="BH45" s="243">
        <f>G45*AO45</f>
        <v>0</v>
      </c>
      <c r="BI45" s="243">
        <f>G45*AP45</f>
        <v>0</v>
      </c>
      <c r="BJ45" s="243">
        <f>G45*H45</f>
        <v>0</v>
      </c>
      <c r="BK45" s="243"/>
      <c r="BL45" s="243">
        <v>733</v>
      </c>
      <c r="BW45" s="243">
        <v>21</v>
      </c>
    </row>
    <row r="46" spans="1:75" ht="13.5" customHeight="1">
      <c r="A46" s="207" t="s">
        <v>590</v>
      </c>
      <c r="B46" s="208" t="s">
        <v>572</v>
      </c>
      <c r="C46" s="208" t="s">
        <v>91</v>
      </c>
      <c r="D46" s="268" t="s">
        <v>92</v>
      </c>
      <c r="E46" s="260"/>
      <c r="F46" s="208" t="s">
        <v>63</v>
      </c>
      <c r="G46" s="243">
        <v>36</v>
      </c>
      <c r="H46" s="244">
        <v>0</v>
      </c>
      <c r="I46" s="244">
        <f>G46*H46</f>
        <v>0</v>
      </c>
      <c r="K46" s="231"/>
      <c r="Z46" s="243">
        <f>IF(AQ46="5",BJ46,0)</f>
        <v>0</v>
      </c>
      <c r="AB46" s="243">
        <f>IF(AQ46="1",BH46,0)</f>
        <v>0</v>
      </c>
      <c r="AC46" s="243">
        <f>IF(AQ46="1",BI46,0)</f>
        <v>0</v>
      </c>
      <c r="AD46" s="243">
        <f>IF(AQ46="7",BH46,0)</f>
        <v>0</v>
      </c>
      <c r="AE46" s="243">
        <f>IF(AQ46="7",BI46,0)</f>
        <v>0</v>
      </c>
      <c r="AF46" s="243">
        <f>IF(AQ46="2",BH46,0)</f>
        <v>0</v>
      </c>
      <c r="AG46" s="243">
        <f>IF(AQ46="2",BI46,0)</f>
        <v>0</v>
      </c>
      <c r="AH46" s="243">
        <f>IF(AQ46="0",BJ46,0)</f>
        <v>0</v>
      </c>
      <c r="AI46" s="232" t="s">
        <v>572</v>
      </c>
      <c r="AJ46" s="243">
        <f>IF(AN46=0,I46,0)</f>
        <v>0</v>
      </c>
      <c r="AK46" s="243">
        <f>IF(AN46=12,I46,0)</f>
        <v>0</v>
      </c>
      <c r="AL46" s="243">
        <f>IF(AN46=21,I46,0)</f>
        <v>0</v>
      </c>
      <c r="AN46" s="243">
        <v>21</v>
      </c>
      <c r="AO46" s="243">
        <f>H46*0.283846153846154</f>
        <v>0</v>
      </c>
      <c r="AP46" s="243">
        <f>H46*(1-0.283846153846154)</f>
        <v>0</v>
      </c>
      <c r="AQ46" s="245" t="s">
        <v>567</v>
      </c>
      <c r="AV46" s="243">
        <f>AW46+AX46</f>
        <v>0</v>
      </c>
      <c r="AW46" s="243">
        <f>G46*AO46</f>
        <v>0</v>
      </c>
      <c r="AX46" s="243">
        <f>G46*AP46</f>
        <v>0</v>
      </c>
      <c r="AY46" s="245" t="s">
        <v>588</v>
      </c>
      <c r="AZ46" s="245" t="s">
        <v>581</v>
      </c>
      <c r="BA46" s="232" t="s">
        <v>576</v>
      </c>
      <c r="BC46" s="243">
        <f>AW46+AX46</f>
        <v>0</v>
      </c>
      <c r="BD46" s="243">
        <f>H46/(100-BE46)*100</f>
        <v>0</v>
      </c>
      <c r="BE46" s="243">
        <v>0</v>
      </c>
      <c r="BF46" s="243">
        <f>46</f>
        <v>46</v>
      </c>
      <c r="BH46" s="243">
        <f>G46*AO46</f>
        <v>0</v>
      </c>
      <c r="BI46" s="243">
        <f>G46*AP46</f>
        <v>0</v>
      </c>
      <c r="BJ46" s="243">
        <f>G46*H46</f>
        <v>0</v>
      </c>
      <c r="BK46" s="243"/>
      <c r="BL46" s="243">
        <v>733</v>
      </c>
      <c r="BW46" s="243">
        <v>21</v>
      </c>
    </row>
    <row r="47" spans="1:75" ht="13.5" customHeight="1">
      <c r="A47" s="207" t="s">
        <v>591</v>
      </c>
      <c r="B47" s="208" t="s">
        <v>572</v>
      </c>
      <c r="C47" s="208" t="s">
        <v>93</v>
      </c>
      <c r="D47" s="268" t="s">
        <v>94</v>
      </c>
      <c r="E47" s="260"/>
      <c r="F47" s="208" t="s">
        <v>63</v>
      </c>
      <c r="G47" s="243">
        <v>12</v>
      </c>
      <c r="H47" s="244">
        <v>0</v>
      </c>
      <c r="I47" s="244">
        <f>G47*H47</f>
        <v>0</v>
      </c>
      <c r="K47" s="231"/>
      <c r="Z47" s="243">
        <f>IF(AQ47="5",BJ47,0)</f>
        <v>0</v>
      </c>
      <c r="AB47" s="243">
        <f>IF(AQ47="1",BH47,0)</f>
        <v>0</v>
      </c>
      <c r="AC47" s="243">
        <f>IF(AQ47="1",BI47,0)</f>
        <v>0</v>
      </c>
      <c r="AD47" s="243">
        <f>IF(AQ47="7",BH47,0)</f>
        <v>0</v>
      </c>
      <c r="AE47" s="243">
        <f>IF(AQ47="7",BI47,0)</f>
        <v>0</v>
      </c>
      <c r="AF47" s="243">
        <f>IF(AQ47="2",BH47,0)</f>
        <v>0</v>
      </c>
      <c r="AG47" s="243">
        <f>IF(AQ47="2",BI47,0)</f>
        <v>0</v>
      </c>
      <c r="AH47" s="243">
        <f>IF(AQ47="0",BJ47,0)</f>
        <v>0</v>
      </c>
      <c r="AI47" s="232" t="s">
        <v>572</v>
      </c>
      <c r="AJ47" s="243">
        <f>IF(AN47=0,I47,0)</f>
        <v>0</v>
      </c>
      <c r="AK47" s="243">
        <f>IF(AN47=12,I47,0)</f>
        <v>0</v>
      </c>
      <c r="AL47" s="243">
        <f>IF(AN47=21,I47,0)</f>
        <v>0</v>
      </c>
      <c r="AN47" s="243">
        <v>21</v>
      </c>
      <c r="AO47" s="243">
        <f>H47*0</f>
        <v>0</v>
      </c>
      <c r="AP47" s="243">
        <f>H47*(1-0)</f>
        <v>0</v>
      </c>
      <c r="AQ47" s="245" t="s">
        <v>567</v>
      </c>
      <c r="AV47" s="243">
        <f>AW47+AX47</f>
        <v>0</v>
      </c>
      <c r="AW47" s="243">
        <f>G47*AO47</f>
        <v>0</v>
      </c>
      <c r="AX47" s="243">
        <f>G47*AP47</f>
        <v>0</v>
      </c>
      <c r="AY47" s="245" t="s">
        <v>588</v>
      </c>
      <c r="AZ47" s="245" t="s">
        <v>581</v>
      </c>
      <c r="BA47" s="232" t="s">
        <v>576</v>
      </c>
      <c r="BC47" s="243">
        <f>AW47+AX47</f>
        <v>0</v>
      </c>
      <c r="BD47" s="243">
        <f>H47/(100-BE47)*100</f>
        <v>0</v>
      </c>
      <c r="BE47" s="243">
        <v>0</v>
      </c>
      <c r="BF47" s="243">
        <f>47</f>
        <v>47</v>
      </c>
      <c r="BH47" s="243">
        <f>G47*AO47</f>
        <v>0</v>
      </c>
      <c r="BI47" s="243">
        <f>G47*AP47</f>
        <v>0</v>
      </c>
      <c r="BJ47" s="243">
        <f>G47*H47</f>
        <v>0</v>
      </c>
      <c r="BK47" s="243"/>
      <c r="BL47" s="243">
        <v>733</v>
      </c>
      <c r="BW47" s="243">
        <v>21</v>
      </c>
    </row>
    <row r="48" spans="1:75" ht="15" customHeight="1">
      <c r="A48" s="238" t="s">
        <v>21</v>
      </c>
      <c r="B48" s="239" t="s">
        <v>572</v>
      </c>
      <c r="C48" s="239" t="s">
        <v>95</v>
      </c>
      <c r="D48" s="309" t="s">
        <v>96</v>
      </c>
      <c r="E48" s="310"/>
      <c r="F48" s="240" t="s">
        <v>20</v>
      </c>
      <c r="G48" s="240" t="s">
        <v>20</v>
      </c>
      <c r="H48" s="241" t="s">
        <v>20</v>
      </c>
      <c r="I48" s="242">
        <f>SUM(I49:I50)</f>
        <v>0</v>
      </c>
      <c r="K48" s="231"/>
      <c r="AI48" s="232" t="s">
        <v>572</v>
      </c>
      <c r="AS48" s="225">
        <f>SUM(AJ49:AJ50)</f>
        <v>0</v>
      </c>
      <c r="AT48" s="225">
        <f>SUM(AK49:AK50)</f>
        <v>0</v>
      </c>
      <c r="AU48" s="225">
        <f>SUM(AL49:AL50)</f>
        <v>0</v>
      </c>
    </row>
    <row r="49" spans="1:75" ht="13.5" customHeight="1">
      <c r="A49" s="207" t="s">
        <v>592</v>
      </c>
      <c r="B49" s="208" t="s">
        <v>572</v>
      </c>
      <c r="C49" s="208" t="s">
        <v>97</v>
      </c>
      <c r="D49" s="268" t="s">
        <v>98</v>
      </c>
      <c r="E49" s="260"/>
      <c r="F49" s="208" t="s">
        <v>68</v>
      </c>
      <c r="G49" s="243">
        <v>30</v>
      </c>
      <c r="H49" s="244">
        <v>0</v>
      </c>
      <c r="I49" s="244">
        <f>G49*H49</f>
        <v>0</v>
      </c>
      <c r="K49" s="231"/>
      <c r="Z49" s="243">
        <f>IF(AQ49="5",BJ49,0)</f>
        <v>0</v>
      </c>
      <c r="AB49" s="243">
        <f>IF(AQ49="1",BH49,0)</f>
        <v>0</v>
      </c>
      <c r="AC49" s="243">
        <f>IF(AQ49="1",BI49,0)</f>
        <v>0</v>
      </c>
      <c r="AD49" s="243">
        <f>IF(AQ49="7",BH49,0)</f>
        <v>0</v>
      </c>
      <c r="AE49" s="243">
        <f>IF(AQ49="7",BI49,0)</f>
        <v>0</v>
      </c>
      <c r="AF49" s="243">
        <f>IF(AQ49="2",BH49,0)</f>
        <v>0</v>
      </c>
      <c r="AG49" s="243">
        <f>IF(AQ49="2",BI49,0)</f>
        <v>0</v>
      </c>
      <c r="AH49" s="243">
        <f>IF(AQ49="0",BJ49,0)</f>
        <v>0</v>
      </c>
      <c r="AI49" s="232" t="s">
        <v>572</v>
      </c>
      <c r="AJ49" s="243">
        <f>IF(AN49=0,I49,0)</f>
        <v>0</v>
      </c>
      <c r="AK49" s="243">
        <f>IF(AN49=12,I49,0)</f>
        <v>0</v>
      </c>
      <c r="AL49" s="243">
        <f>IF(AN49=21,I49,0)</f>
        <v>0</v>
      </c>
      <c r="AN49" s="243">
        <v>21</v>
      </c>
      <c r="AO49" s="243">
        <f>H49*0.00554133498354477</f>
        <v>0</v>
      </c>
      <c r="AP49" s="243">
        <f>H49*(1-0.00554133498354477)</f>
        <v>0</v>
      </c>
      <c r="AQ49" s="245" t="s">
        <v>567</v>
      </c>
      <c r="AV49" s="243">
        <f>AW49+AX49</f>
        <v>0</v>
      </c>
      <c r="AW49" s="243">
        <f>G49*AO49</f>
        <v>0</v>
      </c>
      <c r="AX49" s="243">
        <f>G49*AP49</f>
        <v>0</v>
      </c>
      <c r="AY49" s="245" t="s">
        <v>593</v>
      </c>
      <c r="AZ49" s="245" t="s">
        <v>581</v>
      </c>
      <c r="BA49" s="232" t="s">
        <v>576</v>
      </c>
      <c r="BC49" s="243">
        <f>AW49+AX49</f>
        <v>0</v>
      </c>
      <c r="BD49" s="243">
        <f>H49/(100-BE49)*100</f>
        <v>0</v>
      </c>
      <c r="BE49" s="243">
        <v>0</v>
      </c>
      <c r="BF49" s="243">
        <f>49</f>
        <v>49</v>
      </c>
      <c r="BH49" s="243">
        <f>G49*AO49</f>
        <v>0</v>
      </c>
      <c r="BI49" s="243">
        <f>G49*AP49</f>
        <v>0</v>
      </c>
      <c r="BJ49" s="243">
        <f>G49*H49</f>
        <v>0</v>
      </c>
      <c r="BK49" s="243"/>
      <c r="BL49" s="243">
        <v>734</v>
      </c>
      <c r="BW49" s="243">
        <v>21</v>
      </c>
    </row>
    <row r="50" spans="1:75" ht="13.5" customHeight="1">
      <c r="A50" s="207" t="s">
        <v>594</v>
      </c>
      <c r="B50" s="208" t="s">
        <v>572</v>
      </c>
      <c r="C50" s="208" t="s">
        <v>99</v>
      </c>
      <c r="D50" s="268" t="s">
        <v>100</v>
      </c>
      <c r="E50" s="260"/>
      <c r="F50" s="208" t="s">
        <v>68</v>
      </c>
      <c r="G50" s="243">
        <v>8</v>
      </c>
      <c r="H50" s="244">
        <v>0</v>
      </c>
      <c r="I50" s="244">
        <f>G50*H50</f>
        <v>0</v>
      </c>
      <c r="K50" s="231"/>
      <c r="Z50" s="243">
        <f>IF(AQ50="5",BJ50,0)</f>
        <v>0</v>
      </c>
      <c r="AB50" s="243">
        <f>IF(AQ50="1",BH50,0)</f>
        <v>0</v>
      </c>
      <c r="AC50" s="243">
        <f>IF(AQ50="1",BI50,0)</f>
        <v>0</v>
      </c>
      <c r="AD50" s="243">
        <f>IF(AQ50="7",BH50,0)</f>
        <v>0</v>
      </c>
      <c r="AE50" s="243">
        <f>IF(AQ50="7",BI50,0)</f>
        <v>0</v>
      </c>
      <c r="AF50" s="243">
        <f>IF(AQ50="2",BH50,0)</f>
        <v>0</v>
      </c>
      <c r="AG50" s="243">
        <f>IF(AQ50="2",BI50,0)</f>
        <v>0</v>
      </c>
      <c r="AH50" s="243">
        <f>IF(AQ50="0",BJ50,0)</f>
        <v>0</v>
      </c>
      <c r="AI50" s="232" t="s">
        <v>572</v>
      </c>
      <c r="AJ50" s="243">
        <f>IF(AN50=0,I50,0)</f>
        <v>0</v>
      </c>
      <c r="AK50" s="243">
        <f>IF(AN50=12,I50,0)</f>
        <v>0</v>
      </c>
      <c r="AL50" s="243">
        <f>IF(AN50=21,I50,0)</f>
        <v>0</v>
      </c>
      <c r="AN50" s="243">
        <v>21</v>
      </c>
      <c r="AO50" s="243">
        <f>H50*0.222789327357982</f>
        <v>0</v>
      </c>
      <c r="AP50" s="243">
        <f>H50*(1-0.222789327357982)</f>
        <v>0</v>
      </c>
      <c r="AQ50" s="245" t="s">
        <v>567</v>
      </c>
      <c r="AV50" s="243">
        <f>AW50+AX50</f>
        <v>0</v>
      </c>
      <c r="AW50" s="243">
        <f>G50*AO50</f>
        <v>0</v>
      </c>
      <c r="AX50" s="243">
        <f>G50*AP50</f>
        <v>0</v>
      </c>
      <c r="AY50" s="245" t="s">
        <v>593</v>
      </c>
      <c r="AZ50" s="245" t="s">
        <v>581</v>
      </c>
      <c r="BA50" s="232" t="s">
        <v>576</v>
      </c>
      <c r="BC50" s="243">
        <f>AW50+AX50</f>
        <v>0</v>
      </c>
      <c r="BD50" s="243">
        <f>H50/(100-BE50)*100</f>
        <v>0</v>
      </c>
      <c r="BE50" s="243">
        <v>0</v>
      </c>
      <c r="BF50" s="243">
        <f>50</f>
        <v>50</v>
      </c>
      <c r="BH50" s="243">
        <f>G50*AO50</f>
        <v>0</v>
      </c>
      <c r="BI50" s="243">
        <f>G50*AP50</f>
        <v>0</v>
      </c>
      <c r="BJ50" s="243">
        <f>G50*H50</f>
        <v>0</v>
      </c>
      <c r="BK50" s="243"/>
      <c r="BL50" s="243">
        <v>734</v>
      </c>
      <c r="BW50" s="243">
        <v>21</v>
      </c>
    </row>
    <row r="51" spans="1:75" ht="15" customHeight="1">
      <c r="A51" s="238" t="s">
        <v>21</v>
      </c>
      <c r="B51" s="239" t="s">
        <v>572</v>
      </c>
      <c r="C51" s="239" t="s">
        <v>101</v>
      </c>
      <c r="D51" s="309" t="s">
        <v>102</v>
      </c>
      <c r="E51" s="310"/>
      <c r="F51" s="240" t="s">
        <v>20</v>
      </c>
      <c r="G51" s="240" t="s">
        <v>20</v>
      </c>
      <c r="H51" s="241" t="s">
        <v>20</v>
      </c>
      <c r="I51" s="242">
        <f>SUM(I52:I52)</f>
        <v>0</v>
      </c>
      <c r="K51" s="231"/>
      <c r="AI51" s="232" t="s">
        <v>572</v>
      </c>
      <c r="AS51" s="225">
        <f>SUM(AJ52:AJ52)</f>
        <v>0</v>
      </c>
      <c r="AT51" s="225">
        <f>SUM(AK52:AK52)</f>
        <v>0</v>
      </c>
      <c r="AU51" s="225">
        <f>SUM(AL52:AL52)</f>
        <v>0</v>
      </c>
    </row>
    <row r="52" spans="1:75" ht="13.5" customHeight="1">
      <c r="A52" s="207" t="s">
        <v>595</v>
      </c>
      <c r="B52" s="208" t="s">
        <v>572</v>
      </c>
      <c r="C52" s="208" t="s">
        <v>103</v>
      </c>
      <c r="D52" s="268" t="s">
        <v>104</v>
      </c>
      <c r="E52" s="260"/>
      <c r="F52" s="208" t="s">
        <v>105</v>
      </c>
      <c r="G52" s="243">
        <v>350</v>
      </c>
      <c r="H52" s="244">
        <v>0</v>
      </c>
      <c r="I52" s="244">
        <f>G52*H52</f>
        <v>0</v>
      </c>
      <c r="K52" s="231"/>
      <c r="Z52" s="243">
        <f>IF(AQ52="5",BJ52,0)</f>
        <v>0</v>
      </c>
      <c r="AB52" s="243">
        <f>IF(AQ52="1",BH52,0)</f>
        <v>0</v>
      </c>
      <c r="AC52" s="243">
        <f>IF(AQ52="1",BI52,0)</f>
        <v>0</v>
      </c>
      <c r="AD52" s="243">
        <f>IF(AQ52="7",BH52,0)</f>
        <v>0</v>
      </c>
      <c r="AE52" s="243">
        <f>IF(AQ52="7",BI52,0)</f>
        <v>0</v>
      </c>
      <c r="AF52" s="243">
        <f>IF(AQ52="2",BH52,0)</f>
        <v>0</v>
      </c>
      <c r="AG52" s="243">
        <f>IF(AQ52="2",BI52,0)</f>
        <v>0</v>
      </c>
      <c r="AH52" s="243">
        <f>IF(AQ52="0",BJ52,0)</f>
        <v>0</v>
      </c>
      <c r="AI52" s="232" t="s">
        <v>572</v>
      </c>
      <c r="AJ52" s="243">
        <f>IF(AN52=0,I52,0)</f>
        <v>0</v>
      </c>
      <c r="AK52" s="243">
        <f>IF(AN52=12,I52,0)</f>
        <v>0</v>
      </c>
      <c r="AL52" s="243">
        <f>IF(AN52=21,I52,0)</f>
        <v>0</v>
      </c>
      <c r="AN52" s="243">
        <v>21</v>
      </c>
      <c r="AO52" s="243">
        <f>H52*0.304531722054381</f>
        <v>0</v>
      </c>
      <c r="AP52" s="243">
        <f>H52*(1-0.304531722054381)</f>
        <v>0</v>
      </c>
      <c r="AQ52" s="245" t="s">
        <v>567</v>
      </c>
      <c r="AV52" s="243">
        <f>AW52+AX52</f>
        <v>0</v>
      </c>
      <c r="AW52" s="243">
        <f>G52*AO52</f>
        <v>0</v>
      </c>
      <c r="AX52" s="243">
        <f>G52*AP52</f>
        <v>0</v>
      </c>
      <c r="AY52" s="245" t="s">
        <v>596</v>
      </c>
      <c r="AZ52" s="245" t="s">
        <v>597</v>
      </c>
      <c r="BA52" s="232" t="s">
        <v>576</v>
      </c>
      <c r="BC52" s="243">
        <f>AW52+AX52</f>
        <v>0</v>
      </c>
      <c r="BD52" s="243">
        <f>H52/(100-BE52)*100</f>
        <v>0</v>
      </c>
      <c r="BE52" s="243">
        <v>0</v>
      </c>
      <c r="BF52" s="243">
        <f>52</f>
        <v>52</v>
      </c>
      <c r="BH52" s="243">
        <f>G52*AO52</f>
        <v>0</v>
      </c>
      <c r="BI52" s="243">
        <f>G52*AP52</f>
        <v>0</v>
      </c>
      <c r="BJ52" s="243">
        <f>G52*H52</f>
        <v>0</v>
      </c>
      <c r="BK52" s="243"/>
      <c r="BL52" s="243">
        <v>767</v>
      </c>
      <c r="BW52" s="243">
        <v>21</v>
      </c>
    </row>
    <row r="53" spans="1:75" ht="15" customHeight="1">
      <c r="A53" s="238" t="s">
        <v>21</v>
      </c>
      <c r="B53" s="239" t="s">
        <v>598</v>
      </c>
      <c r="C53" s="239" t="s">
        <v>21</v>
      </c>
      <c r="D53" s="309" t="s">
        <v>106</v>
      </c>
      <c r="E53" s="310"/>
      <c r="F53" s="240" t="s">
        <v>20</v>
      </c>
      <c r="G53" s="240" t="s">
        <v>20</v>
      </c>
      <c r="H53" s="241" t="s">
        <v>20</v>
      </c>
      <c r="I53" s="242">
        <f>I54+I62+I85+I87+I90+I97+I118</f>
        <v>0</v>
      </c>
      <c r="K53" s="231"/>
    </row>
    <row r="54" spans="1:75" ht="15" customHeight="1">
      <c r="A54" s="238" t="s">
        <v>21</v>
      </c>
      <c r="B54" s="239" t="s">
        <v>598</v>
      </c>
      <c r="C54" s="239" t="s">
        <v>54</v>
      </c>
      <c r="D54" s="309" t="s">
        <v>55</v>
      </c>
      <c r="E54" s="310"/>
      <c r="F54" s="240" t="s">
        <v>20</v>
      </c>
      <c r="G54" s="240" t="s">
        <v>20</v>
      </c>
      <c r="H54" s="241" t="s">
        <v>20</v>
      </c>
      <c r="I54" s="242">
        <f>SUM(I55:I61)</f>
        <v>0</v>
      </c>
      <c r="K54" s="231"/>
      <c r="AI54" s="232" t="s">
        <v>598</v>
      </c>
      <c r="AS54" s="225">
        <f>SUM(AJ55:AJ61)</f>
        <v>0</v>
      </c>
      <c r="AT54" s="225">
        <f>SUM(AK55:AK61)</f>
        <v>0</v>
      </c>
      <c r="AU54" s="225">
        <f>SUM(AL55:AL61)</f>
        <v>0</v>
      </c>
    </row>
    <row r="55" spans="1:75" ht="13.5" customHeight="1">
      <c r="A55" s="207" t="s">
        <v>599</v>
      </c>
      <c r="B55" s="208" t="s">
        <v>598</v>
      </c>
      <c r="C55" s="208" t="s">
        <v>107</v>
      </c>
      <c r="D55" s="268" t="s">
        <v>108</v>
      </c>
      <c r="E55" s="260"/>
      <c r="F55" s="208" t="s">
        <v>109</v>
      </c>
      <c r="G55" s="243">
        <v>16</v>
      </c>
      <c r="H55" s="244">
        <v>0</v>
      </c>
      <c r="I55" s="244">
        <f t="shared" ref="I55:I61" si="20">G55*H55</f>
        <v>0</v>
      </c>
      <c r="K55" s="231"/>
      <c r="Z55" s="243">
        <f t="shared" ref="Z55:Z61" si="21">IF(AQ55="5",BJ55,0)</f>
        <v>0</v>
      </c>
      <c r="AB55" s="243">
        <f t="shared" ref="AB55:AB61" si="22">IF(AQ55="1",BH55,0)</f>
        <v>0</v>
      </c>
      <c r="AC55" s="243">
        <f t="shared" ref="AC55:AC61" si="23">IF(AQ55="1",BI55,0)</f>
        <v>0</v>
      </c>
      <c r="AD55" s="243">
        <f t="shared" ref="AD55:AD61" si="24">IF(AQ55="7",BH55,0)</f>
        <v>0</v>
      </c>
      <c r="AE55" s="243">
        <f t="shared" ref="AE55:AE61" si="25">IF(AQ55="7",BI55,0)</f>
        <v>0</v>
      </c>
      <c r="AF55" s="243">
        <f t="shared" ref="AF55:AF61" si="26">IF(AQ55="2",BH55,0)</f>
        <v>0</v>
      </c>
      <c r="AG55" s="243">
        <f t="shared" ref="AG55:AG61" si="27">IF(AQ55="2",BI55,0)</f>
        <v>0</v>
      </c>
      <c r="AH55" s="243">
        <f t="shared" ref="AH55:AH61" si="28">IF(AQ55="0",BJ55,0)</f>
        <v>0</v>
      </c>
      <c r="AI55" s="232" t="s">
        <v>598</v>
      </c>
      <c r="AJ55" s="243">
        <f t="shared" ref="AJ55:AJ61" si="29">IF(AN55=0,I55,0)</f>
        <v>0</v>
      </c>
      <c r="AK55" s="243">
        <f t="shared" ref="AK55:AK61" si="30">IF(AN55=12,I55,0)</f>
        <v>0</v>
      </c>
      <c r="AL55" s="243">
        <f t="shared" ref="AL55:AL61" si="31">IF(AN55=21,I55,0)</f>
        <v>0</v>
      </c>
      <c r="AN55" s="243">
        <v>21</v>
      </c>
      <c r="AO55" s="243">
        <f>H55*0</f>
        <v>0</v>
      </c>
      <c r="AP55" s="243">
        <f>H55*(1-0)</f>
        <v>0</v>
      </c>
      <c r="AQ55" s="245" t="s">
        <v>553</v>
      </c>
      <c r="AV55" s="243">
        <f t="shared" ref="AV55:AV61" si="32">AW55+AX55</f>
        <v>0</v>
      </c>
      <c r="AW55" s="243">
        <f t="shared" ref="AW55:AW61" si="33">G55*AO55</f>
        <v>0</v>
      </c>
      <c r="AX55" s="243">
        <f t="shared" ref="AX55:AX61" si="34">G55*AP55</f>
        <v>0</v>
      </c>
      <c r="AY55" s="245" t="s">
        <v>574</v>
      </c>
      <c r="AZ55" s="245" t="s">
        <v>600</v>
      </c>
      <c r="BA55" s="232" t="s">
        <v>601</v>
      </c>
      <c r="BC55" s="243">
        <f t="shared" ref="BC55:BC61" si="35">AW55+AX55</f>
        <v>0</v>
      </c>
      <c r="BD55" s="243">
        <f t="shared" ref="BD55:BD61" si="36">H55/(100-BE55)*100</f>
        <v>0</v>
      </c>
      <c r="BE55" s="243">
        <v>0</v>
      </c>
      <c r="BF55" s="243">
        <f>55</f>
        <v>55</v>
      </c>
      <c r="BH55" s="243">
        <f t="shared" ref="BH55:BH61" si="37">G55*AO55</f>
        <v>0</v>
      </c>
      <c r="BI55" s="243">
        <f t="shared" ref="BI55:BI61" si="38">G55*AP55</f>
        <v>0</v>
      </c>
      <c r="BJ55" s="243">
        <f t="shared" ref="BJ55:BJ61" si="39">G55*H55</f>
        <v>0</v>
      </c>
      <c r="BK55" s="243"/>
      <c r="BL55" s="243">
        <v>0</v>
      </c>
      <c r="BW55" s="243">
        <v>21</v>
      </c>
    </row>
    <row r="56" spans="1:75" ht="27" customHeight="1">
      <c r="A56" s="207" t="s">
        <v>602</v>
      </c>
      <c r="B56" s="208" t="s">
        <v>598</v>
      </c>
      <c r="C56" s="208" t="s">
        <v>110</v>
      </c>
      <c r="D56" s="268" t="s">
        <v>111</v>
      </c>
      <c r="E56" s="260"/>
      <c r="F56" s="208" t="s">
        <v>112</v>
      </c>
      <c r="G56" s="243">
        <v>8</v>
      </c>
      <c r="H56" s="244">
        <v>0</v>
      </c>
      <c r="I56" s="244">
        <f t="shared" si="20"/>
        <v>0</v>
      </c>
      <c r="K56" s="231"/>
      <c r="Z56" s="243">
        <f t="shared" si="21"/>
        <v>0</v>
      </c>
      <c r="AB56" s="243">
        <f t="shared" si="22"/>
        <v>0</v>
      </c>
      <c r="AC56" s="243">
        <f t="shared" si="23"/>
        <v>0</v>
      </c>
      <c r="AD56" s="243">
        <f t="shared" si="24"/>
        <v>0</v>
      </c>
      <c r="AE56" s="243">
        <f t="shared" si="25"/>
        <v>0</v>
      </c>
      <c r="AF56" s="243">
        <f t="shared" si="26"/>
        <v>0</v>
      </c>
      <c r="AG56" s="243">
        <f t="shared" si="27"/>
        <v>0</v>
      </c>
      <c r="AH56" s="243">
        <f t="shared" si="28"/>
        <v>0</v>
      </c>
      <c r="AI56" s="232" t="s">
        <v>598</v>
      </c>
      <c r="AJ56" s="243">
        <f t="shared" si="29"/>
        <v>0</v>
      </c>
      <c r="AK56" s="243">
        <f t="shared" si="30"/>
        <v>0</v>
      </c>
      <c r="AL56" s="243">
        <f t="shared" si="31"/>
        <v>0</v>
      </c>
      <c r="AN56" s="243">
        <v>21</v>
      </c>
      <c r="AO56" s="243">
        <f>H56*0.298352654057352</f>
        <v>0</v>
      </c>
      <c r="AP56" s="243">
        <f>H56*(1-0.298352654057352)</f>
        <v>0</v>
      </c>
      <c r="AQ56" s="245" t="s">
        <v>553</v>
      </c>
      <c r="AV56" s="243">
        <f t="shared" si="32"/>
        <v>0</v>
      </c>
      <c r="AW56" s="243">
        <f t="shared" si="33"/>
        <v>0</v>
      </c>
      <c r="AX56" s="243">
        <f t="shared" si="34"/>
        <v>0</v>
      </c>
      <c r="AY56" s="245" t="s">
        <v>574</v>
      </c>
      <c r="AZ56" s="245" t="s">
        <v>600</v>
      </c>
      <c r="BA56" s="232" t="s">
        <v>601</v>
      </c>
      <c r="BC56" s="243">
        <f t="shared" si="35"/>
        <v>0</v>
      </c>
      <c r="BD56" s="243">
        <f t="shared" si="36"/>
        <v>0</v>
      </c>
      <c r="BE56" s="243">
        <v>0</v>
      </c>
      <c r="BF56" s="243">
        <f>56</f>
        <v>56</v>
      </c>
      <c r="BH56" s="243">
        <f t="shared" si="37"/>
        <v>0</v>
      </c>
      <c r="BI56" s="243">
        <f t="shared" si="38"/>
        <v>0</v>
      </c>
      <c r="BJ56" s="243">
        <f t="shared" si="39"/>
        <v>0</v>
      </c>
      <c r="BK56" s="243"/>
      <c r="BL56" s="243">
        <v>0</v>
      </c>
      <c r="BW56" s="243">
        <v>21</v>
      </c>
    </row>
    <row r="57" spans="1:75" ht="13.5" customHeight="1">
      <c r="A57" s="207" t="s">
        <v>603</v>
      </c>
      <c r="B57" s="208" t="s">
        <v>598</v>
      </c>
      <c r="C57" s="208" t="s">
        <v>113</v>
      </c>
      <c r="D57" s="268" t="s">
        <v>114</v>
      </c>
      <c r="E57" s="260"/>
      <c r="F57" s="208" t="s">
        <v>58</v>
      </c>
      <c r="G57" s="243">
        <v>12</v>
      </c>
      <c r="H57" s="244">
        <v>0</v>
      </c>
      <c r="I57" s="244">
        <f t="shared" si="20"/>
        <v>0</v>
      </c>
      <c r="K57" s="231"/>
      <c r="Z57" s="243">
        <f t="shared" si="21"/>
        <v>0</v>
      </c>
      <c r="AB57" s="243">
        <f t="shared" si="22"/>
        <v>0</v>
      </c>
      <c r="AC57" s="243">
        <f t="shared" si="23"/>
        <v>0</v>
      </c>
      <c r="AD57" s="243">
        <f t="shared" si="24"/>
        <v>0</v>
      </c>
      <c r="AE57" s="243">
        <f t="shared" si="25"/>
        <v>0</v>
      </c>
      <c r="AF57" s="243">
        <f t="shared" si="26"/>
        <v>0</v>
      </c>
      <c r="AG57" s="243">
        <f t="shared" si="27"/>
        <v>0</v>
      </c>
      <c r="AH57" s="243">
        <f t="shared" si="28"/>
        <v>0</v>
      </c>
      <c r="AI57" s="232" t="s">
        <v>598</v>
      </c>
      <c r="AJ57" s="243">
        <f t="shared" si="29"/>
        <v>0</v>
      </c>
      <c r="AK57" s="243">
        <f t="shared" si="30"/>
        <v>0</v>
      </c>
      <c r="AL57" s="243">
        <f t="shared" si="31"/>
        <v>0</v>
      </c>
      <c r="AN57" s="243">
        <v>21</v>
      </c>
      <c r="AO57" s="243">
        <f>H57*0.790020703933747</f>
        <v>0</v>
      </c>
      <c r="AP57" s="243">
        <f>H57*(1-0.790020703933747)</f>
        <v>0</v>
      </c>
      <c r="AQ57" s="245" t="s">
        <v>553</v>
      </c>
      <c r="AV57" s="243">
        <f t="shared" si="32"/>
        <v>0</v>
      </c>
      <c r="AW57" s="243">
        <f t="shared" si="33"/>
        <v>0</v>
      </c>
      <c r="AX57" s="243">
        <f t="shared" si="34"/>
        <v>0</v>
      </c>
      <c r="AY57" s="245" t="s">
        <v>574</v>
      </c>
      <c r="AZ57" s="245" t="s">
        <v>600</v>
      </c>
      <c r="BA57" s="232" t="s">
        <v>601</v>
      </c>
      <c r="BC57" s="243">
        <f t="shared" si="35"/>
        <v>0</v>
      </c>
      <c r="BD57" s="243">
        <f t="shared" si="36"/>
        <v>0</v>
      </c>
      <c r="BE57" s="243">
        <v>0</v>
      </c>
      <c r="BF57" s="243">
        <f>57</f>
        <v>57</v>
      </c>
      <c r="BH57" s="243">
        <f t="shared" si="37"/>
        <v>0</v>
      </c>
      <c r="BI57" s="243">
        <f t="shared" si="38"/>
        <v>0</v>
      </c>
      <c r="BJ57" s="243">
        <f t="shared" si="39"/>
        <v>0</v>
      </c>
      <c r="BK57" s="243"/>
      <c r="BL57" s="243">
        <v>0</v>
      </c>
      <c r="BW57" s="243">
        <v>21</v>
      </c>
    </row>
    <row r="58" spans="1:75" ht="13.5" customHeight="1">
      <c r="A58" s="207" t="s">
        <v>604</v>
      </c>
      <c r="B58" s="208" t="s">
        <v>598</v>
      </c>
      <c r="C58" s="208" t="s">
        <v>115</v>
      </c>
      <c r="D58" s="268" t="s">
        <v>116</v>
      </c>
      <c r="E58" s="260"/>
      <c r="F58" s="208" t="s">
        <v>58</v>
      </c>
      <c r="G58" s="243">
        <v>1</v>
      </c>
      <c r="H58" s="244">
        <v>0</v>
      </c>
      <c r="I58" s="244">
        <f t="shared" si="20"/>
        <v>0</v>
      </c>
      <c r="K58" s="231"/>
      <c r="Z58" s="243">
        <f t="shared" si="21"/>
        <v>0</v>
      </c>
      <c r="AB58" s="243">
        <f t="shared" si="22"/>
        <v>0</v>
      </c>
      <c r="AC58" s="243">
        <f t="shared" si="23"/>
        <v>0</v>
      </c>
      <c r="AD58" s="243">
        <f t="shared" si="24"/>
        <v>0</v>
      </c>
      <c r="AE58" s="243">
        <f t="shared" si="25"/>
        <v>0</v>
      </c>
      <c r="AF58" s="243">
        <f t="shared" si="26"/>
        <v>0</v>
      </c>
      <c r="AG58" s="243">
        <f t="shared" si="27"/>
        <v>0</v>
      </c>
      <c r="AH58" s="243">
        <f t="shared" si="28"/>
        <v>0</v>
      </c>
      <c r="AI58" s="232" t="s">
        <v>598</v>
      </c>
      <c r="AJ58" s="243">
        <f t="shared" si="29"/>
        <v>0</v>
      </c>
      <c r="AK58" s="243">
        <f t="shared" si="30"/>
        <v>0</v>
      </c>
      <c r="AL58" s="243">
        <f t="shared" si="31"/>
        <v>0</v>
      </c>
      <c r="AN58" s="243">
        <v>21</v>
      </c>
      <c r="AO58" s="243">
        <f>H58*0</f>
        <v>0</v>
      </c>
      <c r="AP58" s="243">
        <f>H58*(1-0)</f>
        <v>0</v>
      </c>
      <c r="AQ58" s="245" t="s">
        <v>553</v>
      </c>
      <c r="AV58" s="243">
        <f t="shared" si="32"/>
        <v>0</v>
      </c>
      <c r="AW58" s="243">
        <f t="shared" si="33"/>
        <v>0</v>
      </c>
      <c r="AX58" s="243">
        <f t="shared" si="34"/>
        <v>0</v>
      </c>
      <c r="AY58" s="245" t="s">
        <v>574</v>
      </c>
      <c r="AZ58" s="245" t="s">
        <v>600</v>
      </c>
      <c r="BA58" s="232" t="s">
        <v>601</v>
      </c>
      <c r="BC58" s="243">
        <f t="shared" si="35"/>
        <v>0</v>
      </c>
      <c r="BD58" s="243">
        <f t="shared" si="36"/>
        <v>0</v>
      </c>
      <c r="BE58" s="243">
        <v>0</v>
      </c>
      <c r="BF58" s="243">
        <f>58</f>
        <v>58</v>
      </c>
      <c r="BH58" s="243">
        <f t="shared" si="37"/>
        <v>0</v>
      </c>
      <c r="BI58" s="243">
        <f t="shared" si="38"/>
        <v>0</v>
      </c>
      <c r="BJ58" s="243">
        <f t="shared" si="39"/>
        <v>0</v>
      </c>
      <c r="BK58" s="243"/>
      <c r="BL58" s="243">
        <v>0</v>
      </c>
      <c r="BW58" s="243">
        <v>21</v>
      </c>
    </row>
    <row r="59" spans="1:75" ht="13.5" customHeight="1">
      <c r="A59" s="207" t="s">
        <v>606</v>
      </c>
      <c r="B59" s="208" t="s">
        <v>598</v>
      </c>
      <c r="C59" s="208" t="s">
        <v>119</v>
      </c>
      <c r="D59" s="268" t="s">
        <v>120</v>
      </c>
      <c r="E59" s="260"/>
      <c r="F59" s="208" t="s">
        <v>58</v>
      </c>
      <c r="G59" s="243">
        <v>1</v>
      </c>
      <c r="H59" s="244">
        <v>0</v>
      </c>
      <c r="I59" s="244">
        <f t="shared" si="20"/>
        <v>0</v>
      </c>
      <c r="K59" s="231"/>
      <c r="Z59" s="243">
        <f t="shared" si="21"/>
        <v>0</v>
      </c>
      <c r="AB59" s="243">
        <f t="shared" si="22"/>
        <v>0</v>
      </c>
      <c r="AC59" s="243">
        <f t="shared" si="23"/>
        <v>0</v>
      </c>
      <c r="AD59" s="243">
        <f t="shared" si="24"/>
        <v>0</v>
      </c>
      <c r="AE59" s="243">
        <f t="shared" si="25"/>
        <v>0</v>
      </c>
      <c r="AF59" s="243">
        <f t="shared" si="26"/>
        <v>0</v>
      </c>
      <c r="AG59" s="243">
        <f t="shared" si="27"/>
        <v>0</v>
      </c>
      <c r="AH59" s="243">
        <f t="shared" si="28"/>
        <v>0</v>
      </c>
      <c r="AI59" s="232" t="s">
        <v>598</v>
      </c>
      <c r="AJ59" s="243">
        <f t="shared" si="29"/>
        <v>0</v>
      </c>
      <c r="AK59" s="243">
        <f t="shared" si="30"/>
        <v>0</v>
      </c>
      <c r="AL59" s="243">
        <f t="shared" si="31"/>
        <v>0</v>
      </c>
      <c r="AN59" s="243">
        <v>21</v>
      </c>
      <c r="AO59" s="243">
        <f>H59*0</f>
        <v>0</v>
      </c>
      <c r="AP59" s="243">
        <f>H59*(1-0)</f>
        <v>0</v>
      </c>
      <c r="AQ59" s="245" t="s">
        <v>553</v>
      </c>
      <c r="AV59" s="243">
        <f t="shared" si="32"/>
        <v>0</v>
      </c>
      <c r="AW59" s="243">
        <f t="shared" si="33"/>
        <v>0</v>
      </c>
      <c r="AX59" s="243">
        <f t="shared" si="34"/>
        <v>0</v>
      </c>
      <c r="AY59" s="245" t="s">
        <v>574</v>
      </c>
      <c r="AZ59" s="245" t="s">
        <v>600</v>
      </c>
      <c r="BA59" s="232" t="s">
        <v>601</v>
      </c>
      <c r="BC59" s="243">
        <f t="shared" si="35"/>
        <v>0</v>
      </c>
      <c r="BD59" s="243">
        <f t="shared" si="36"/>
        <v>0</v>
      </c>
      <c r="BE59" s="243">
        <v>0</v>
      </c>
      <c r="BF59" s="243">
        <f>59</f>
        <v>59</v>
      </c>
      <c r="BH59" s="243">
        <f t="shared" si="37"/>
        <v>0</v>
      </c>
      <c r="BI59" s="243">
        <f t="shared" si="38"/>
        <v>0</v>
      </c>
      <c r="BJ59" s="243">
        <f t="shared" si="39"/>
        <v>0</v>
      </c>
      <c r="BK59" s="243"/>
      <c r="BL59" s="243">
        <v>0</v>
      </c>
      <c r="BW59" s="243">
        <v>21</v>
      </c>
    </row>
    <row r="60" spans="1:75" ht="13.5" customHeight="1">
      <c r="A60" s="207" t="s">
        <v>607</v>
      </c>
      <c r="B60" s="208" t="s">
        <v>598</v>
      </c>
      <c r="C60" s="208" t="s">
        <v>121</v>
      </c>
      <c r="D60" s="268" t="s">
        <v>122</v>
      </c>
      <c r="E60" s="260"/>
      <c r="F60" s="208" t="s">
        <v>123</v>
      </c>
      <c r="G60" s="243">
        <v>0.61323000000000005</v>
      </c>
      <c r="H60" s="244">
        <v>0</v>
      </c>
      <c r="I60" s="244">
        <f t="shared" si="20"/>
        <v>0</v>
      </c>
      <c r="K60" s="231"/>
      <c r="Z60" s="243">
        <f t="shared" si="21"/>
        <v>0</v>
      </c>
      <c r="AB60" s="243">
        <f t="shared" si="22"/>
        <v>0</v>
      </c>
      <c r="AC60" s="243">
        <f t="shared" si="23"/>
        <v>0</v>
      </c>
      <c r="AD60" s="243">
        <f t="shared" si="24"/>
        <v>0</v>
      </c>
      <c r="AE60" s="243">
        <f t="shared" si="25"/>
        <v>0</v>
      </c>
      <c r="AF60" s="243">
        <f t="shared" si="26"/>
        <v>0</v>
      </c>
      <c r="AG60" s="243">
        <f t="shared" si="27"/>
        <v>0</v>
      </c>
      <c r="AH60" s="243">
        <f t="shared" si="28"/>
        <v>0</v>
      </c>
      <c r="AI60" s="232" t="s">
        <v>598</v>
      </c>
      <c r="AJ60" s="243">
        <f t="shared" si="29"/>
        <v>0</v>
      </c>
      <c r="AK60" s="243">
        <f t="shared" si="30"/>
        <v>0</v>
      </c>
      <c r="AL60" s="243">
        <f t="shared" si="31"/>
        <v>0</v>
      </c>
      <c r="AN60" s="243">
        <v>21</v>
      </c>
      <c r="AO60" s="243">
        <f>H60*0</f>
        <v>0</v>
      </c>
      <c r="AP60" s="243">
        <f>H60*(1-0)</f>
        <v>0</v>
      </c>
      <c r="AQ60" s="245" t="s">
        <v>564</v>
      </c>
      <c r="AV60" s="243">
        <f t="shared" si="32"/>
        <v>0</v>
      </c>
      <c r="AW60" s="243">
        <f t="shared" si="33"/>
        <v>0</v>
      </c>
      <c r="AX60" s="243">
        <f t="shared" si="34"/>
        <v>0</v>
      </c>
      <c r="AY60" s="245" t="s">
        <v>574</v>
      </c>
      <c r="AZ60" s="245" t="s">
        <v>600</v>
      </c>
      <c r="BA60" s="232" t="s">
        <v>601</v>
      </c>
      <c r="BC60" s="243">
        <f t="shared" si="35"/>
        <v>0</v>
      </c>
      <c r="BD60" s="243">
        <f t="shared" si="36"/>
        <v>0</v>
      </c>
      <c r="BE60" s="243">
        <v>0</v>
      </c>
      <c r="BF60" s="243">
        <f>60</f>
        <v>60</v>
      </c>
      <c r="BH60" s="243">
        <f t="shared" si="37"/>
        <v>0</v>
      </c>
      <c r="BI60" s="243">
        <f t="shared" si="38"/>
        <v>0</v>
      </c>
      <c r="BJ60" s="243">
        <f t="shared" si="39"/>
        <v>0</v>
      </c>
      <c r="BK60" s="243"/>
      <c r="BL60" s="243">
        <v>0</v>
      </c>
      <c r="BW60" s="243">
        <v>21</v>
      </c>
    </row>
    <row r="61" spans="1:75" ht="13.5" customHeight="1">
      <c r="A61" s="207" t="s">
        <v>608</v>
      </c>
      <c r="B61" s="208" t="s">
        <v>598</v>
      </c>
      <c r="C61" s="208" t="s">
        <v>124</v>
      </c>
      <c r="D61" s="268" t="s">
        <v>125</v>
      </c>
      <c r="E61" s="260"/>
      <c r="F61" s="208" t="s">
        <v>123</v>
      </c>
      <c r="G61" s="243">
        <v>0.61323000000000005</v>
      </c>
      <c r="H61" s="244">
        <v>0</v>
      </c>
      <c r="I61" s="244">
        <f t="shared" si="20"/>
        <v>0</v>
      </c>
      <c r="K61" s="231"/>
      <c r="Z61" s="243">
        <f t="shared" si="21"/>
        <v>0</v>
      </c>
      <c r="AB61" s="243">
        <f t="shared" si="22"/>
        <v>0</v>
      </c>
      <c r="AC61" s="243">
        <f t="shared" si="23"/>
        <v>0</v>
      </c>
      <c r="AD61" s="243">
        <f t="shared" si="24"/>
        <v>0</v>
      </c>
      <c r="AE61" s="243">
        <f t="shared" si="25"/>
        <v>0</v>
      </c>
      <c r="AF61" s="243">
        <f t="shared" si="26"/>
        <v>0</v>
      </c>
      <c r="AG61" s="243">
        <f t="shared" si="27"/>
        <v>0</v>
      </c>
      <c r="AH61" s="243">
        <f t="shared" si="28"/>
        <v>0</v>
      </c>
      <c r="AI61" s="232" t="s">
        <v>598</v>
      </c>
      <c r="AJ61" s="243">
        <f t="shared" si="29"/>
        <v>0</v>
      </c>
      <c r="AK61" s="243">
        <f t="shared" si="30"/>
        <v>0</v>
      </c>
      <c r="AL61" s="243">
        <f t="shared" si="31"/>
        <v>0</v>
      </c>
      <c r="AN61" s="243">
        <v>21</v>
      </c>
      <c r="AO61" s="243">
        <f>H61*0</f>
        <v>0</v>
      </c>
      <c r="AP61" s="243">
        <f>H61*(1-0)</f>
        <v>0</v>
      </c>
      <c r="AQ61" s="245" t="s">
        <v>564</v>
      </c>
      <c r="AV61" s="243">
        <f t="shared" si="32"/>
        <v>0</v>
      </c>
      <c r="AW61" s="243">
        <f t="shared" si="33"/>
        <v>0</v>
      </c>
      <c r="AX61" s="243">
        <f t="shared" si="34"/>
        <v>0</v>
      </c>
      <c r="AY61" s="245" t="s">
        <v>574</v>
      </c>
      <c r="AZ61" s="245" t="s">
        <v>600</v>
      </c>
      <c r="BA61" s="232" t="s">
        <v>601</v>
      </c>
      <c r="BC61" s="243">
        <f t="shared" si="35"/>
        <v>0</v>
      </c>
      <c r="BD61" s="243">
        <f t="shared" si="36"/>
        <v>0</v>
      </c>
      <c r="BE61" s="243">
        <v>0</v>
      </c>
      <c r="BF61" s="243">
        <f>61</f>
        <v>61</v>
      </c>
      <c r="BH61" s="243">
        <f t="shared" si="37"/>
        <v>0</v>
      </c>
      <c r="BI61" s="243">
        <f t="shared" si="38"/>
        <v>0</v>
      </c>
      <c r="BJ61" s="243">
        <f t="shared" si="39"/>
        <v>0</v>
      </c>
      <c r="BK61" s="243"/>
      <c r="BL61" s="243">
        <v>0</v>
      </c>
      <c r="BW61" s="243">
        <v>21</v>
      </c>
    </row>
    <row r="62" spans="1:75" ht="15" customHeight="1">
      <c r="A62" s="238" t="s">
        <v>21</v>
      </c>
      <c r="B62" s="239" t="s">
        <v>598</v>
      </c>
      <c r="C62" s="239" t="s">
        <v>126</v>
      </c>
      <c r="D62" s="309" t="s">
        <v>127</v>
      </c>
      <c r="E62" s="310"/>
      <c r="F62" s="240" t="s">
        <v>20</v>
      </c>
      <c r="G62" s="240" t="s">
        <v>20</v>
      </c>
      <c r="H62" s="241" t="s">
        <v>20</v>
      </c>
      <c r="I62" s="242">
        <f>SUM(I63:I84)</f>
        <v>0</v>
      </c>
      <c r="K62" s="231"/>
      <c r="AI62" s="232" t="s">
        <v>598</v>
      </c>
      <c r="AS62" s="225">
        <f>SUM(AJ63:AJ84)</f>
        <v>0</v>
      </c>
      <c r="AT62" s="225">
        <f>SUM(AK63:AK84)</f>
        <v>0</v>
      </c>
      <c r="AU62" s="225">
        <f>SUM(AL63:AL84)</f>
        <v>0</v>
      </c>
    </row>
    <row r="63" spans="1:75" ht="13.5" customHeight="1">
      <c r="A63" s="207" t="s">
        <v>609</v>
      </c>
      <c r="B63" s="208" t="s">
        <v>598</v>
      </c>
      <c r="C63" s="208" t="s">
        <v>128</v>
      </c>
      <c r="D63" s="268" t="s">
        <v>1312</v>
      </c>
      <c r="E63" s="260"/>
      <c r="F63" s="208" t="s">
        <v>68</v>
      </c>
      <c r="G63" s="243">
        <v>1</v>
      </c>
      <c r="H63" s="244">
        <v>0</v>
      </c>
      <c r="I63" s="244">
        <f t="shared" ref="I63:I84" si="40">G63*H63</f>
        <v>0</v>
      </c>
      <c r="K63" s="231"/>
      <c r="Z63" s="243">
        <f t="shared" ref="Z63:Z84" si="41">IF(AQ63="5",BJ63,0)</f>
        <v>0</v>
      </c>
      <c r="AB63" s="243">
        <f t="shared" ref="AB63:AB84" si="42">IF(AQ63="1",BH63,0)</f>
        <v>0</v>
      </c>
      <c r="AC63" s="243">
        <f t="shared" ref="AC63:AC84" si="43">IF(AQ63="1",BI63,0)</f>
        <v>0</v>
      </c>
      <c r="AD63" s="243">
        <f t="shared" ref="AD63:AD84" si="44">IF(AQ63="7",BH63,0)</f>
        <v>0</v>
      </c>
      <c r="AE63" s="243">
        <f t="shared" ref="AE63:AE84" si="45">IF(AQ63="7",BI63,0)</f>
        <v>0</v>
      </c>
      <c r="AF63" s="243">
        <f t="shared" ref="AF63:AF84" si="46">IF(AQ63="2",BH63,0)</f>
        <v>0</v>
      </c>
      <c r="AG63" s="243">
        <f t="shared" ref="AG63:AG84" si="47">IF(AQ63="2",BI63,0)</f>
        <v>0</v>
      </c>
      <c r="AH63" s="243">
        <f t="shared" ref="AH63:AH84" si="48">IF(AQ63="0",BJ63,0)</f>
        <v>0</v>
      </c>
      <c r="AI63" s="232" t="s">
        <v>598</v>
      </c>
      <c r="AJ63" s="243">
        <f t="shared" ref="AJ63:AJ84" si="49">IF(AN63=0,I63,0)</f>
        <v>0</v>
      </c>
      <c r="AK63" s="243">
        <f t="shared" ref="AK63:AK84" si="50">IF(AN63=12,I63,0)</f>
        <v>0</v>
      </c>
      <c r="AL63" s="243">
        <f t="shared" ref="AL63:AL84" si="51">IF(AN63=21,I63,0)</f>
        <v>0</v>
      </c>
      <c r="AN63" s="243">
        <v>21</v>
      </c>
      <c r="AO63" s="243">
        <f>H63*0.835964240102171</f>
        <v>0</v>
      </c>
      <c r="AP63" s="243">
        <f>H63*(1-0.835964240102171)</f>
        <v>0</v>
      </c>
      <c r="AQ63" s="245" t="s">
        <v>567</v>
      </c>
      <c r="AV63" s="243">
        <f t="shared" ref="AV63:AV84" si="52">AW63+AX63</f>
        <v>0</v>
      </c>
      <c r="AW63" s="243">
        <f t="shared" ref="AW63:AW84" si="53">G63*AO63</f>
        <v>0</v>
      </c>
      <c r="AX63" s="243">
        <f t="shared" ref="AX63:AX84" si="54">G63*AP63</f>
        <v>0</v>
      </c>
      <c r="AY63" s="245" t="s">
        <v>610</v>
      </c>
      <c r="AZ63" s="245" t="s">
        <v>611</v>
      </c>
      <c r="BA63" s="232" t="s">
        <v>601</v>
      </c>
      <c r="BC63" s="243">
        <f t="shared" ref="BC63:BC84" si="55">AW63+AX63</f>
        <v>0</v>
      </c>
      <c r="BD63" s="243">
        <f t="shared" ref="BD63:BD84" si="56">H63/(100-BE63)*100</f>
        <v>0</v>
      </c>
      <c r="BE63" s="243">
        <v>0</v>
      </c>
      <c r="BF63" s="243">
        <f>63</f>
        <v>63</v>
      </c>
      <c r="BH63" s="243">
        <f t="shared" ref="BH63:BH84" si="57">G63*AO63</f>
        <v>0</v>
      </c>
      <c r="BI63" s="243">
        <f t="shared" ref="BI63:BI84" si="58">G63*AP63</f>
        <v>0</v>
      </c>
      <c r="BJ63" s="243">
        <f t="shared" ref="BJ63:BJ84" si="59">G63*H63</f>
        <v>0</v>
      </c>
      <c r="BK63" s="243"/>
      <c r="BL63" s="243">
        <v>722</v>
      </c>
      <c r="BW63" s="243">
        <v>21</v>
      </c>
    </row>
    <row r="64" spans="1:75" ht="13.5" customHeight="1">
      <c r="A64" s="207" t="s">
        <v>612</v>
      </c>
      <c r="B64" s="208" t="s">
        <v>598</v>
      </c>
      <c r="C64" s="208" t="s">
        <v>130</v>
      </c>
      <c r="D64" s="268" t="s">
        <v>131</v>
      </c>
      <c r="E64" s="260"/>
      <c r="F64" s="208" t="s">
        <v>68</v>
      </c>
      <c r="G64" s="243">
        <v>2</v>
      </c>
      <c r="H64" s="244">
        <v>0</v>
      </c>
      <c r="I64" s="244">
        <f t="shared" si="40"/>
        <v>0</v>
      </c>
      <c r="K64" s="231"/>
      <c r="Z64" s="243">
        <f t="shared" si="41"/>
        <v>0</v>
      </c>
      <c r="AB64" s="243">
        <f t="shared" si="42"/>
        <v>0</v>
      </c>
      <c r="AC64" s="243">
        <f t="shared" si="43"/>
        <v>0</v>
      </c>
      <c r="AD64" s="243">
        <f t="shared" si="44"/>
        <v>0</v>
      </c>
      <c r="AE64" s="243">
        <f t="shared" si="45"/>
        <v>0</v>
      </c>
      <c r="AF64" s="243">
        <f t="shared" si="46"/>
        <v>0</v>
      </c>
      <c r="AG64" s="243">
        <f t="shared" si="47"/>
        <v>0</v>
      </c>
      <c r="AH64" s="243">
        <f t="shared" si="48"/>
        <v>0</v>
      </c>
      <c r="AI64" s="232" t="s">
        <v>598</v>
      </c>
      <c r="AJ64" s="243">
        <f t="shared" si="49"/>
        <v>0</v>
      </c>
      <c r="AK64" s="243">
        <f t="shared" si="50"/>
        <v>0</v>
      </c>
      <c r="AL64" s="243">
        <f t="shared" si="51"/>
        <v>0</v>
      </c>
      <c r="AN64" s="243">
        <v>21</v>
      </c>
      <c r="AO64" s="243">
        <f>H64*0</f>
        <v>0</v>
      </c>
      <c r="AP64" s="243">
        <f>H64*(1-0)</f>
        <v>0</v>
      </c>
      <c r="AQ64" s="245" t="s">
        <v>567</v>
      </c>
      <c r="AV64" s="243">
        <f t="shared" si="52"/>
        <v>0</v>
      </c>
      <c r="AW64" s="243">
        <f t="shared" si="53"/>
        <v>0</v>
      </c>
      <c r="AX64" s="243">
        <f t="shared" si="54"/>
        <v>0</v>
      </c>
      <c r="AY64" s="245" t="s">
        <v>610</v>
      </c>
      <c r="AZ64" s="245" t="s">
        <v>611</v>
      </c>
      <c r="BA64" s="232" t="s">
        <v>601</v>
      </c>
      <c r="BC64" s="243">
        <f t="shared" si="55"/>
        <v>0</v>
      </c>
      <c r="BD64" s="243">
        <f t="shared" si="56"/>
        <v>0</v>
      </c>
      <c r="BE64" s="243">
        <v>0</v>
      </c>
      <c r="BF64" s="243">
        <f>64</f>
        <v>64</v>
      </c>
      <c r="BH64" s="243">
        <f t="shared" si="57"/>
        <v>0</v>
      </c>
      <c r="BI64" s="243">
        <f t="shared" si="58"/>
        <v>0</v>
      </c>
      <c r="BJ64" s="243">
        <f t="shared" si="59"/>
        <v>0</v>
      </c>
      <c r="BK64" s="243"/>
      <c r="BL64" s="243">
        <v>722</v>
      </c>
      <c r="BW64" s="243">
        <v>21</v>
      </c>
    </row>
    <row r="65" spans="1:75" ht="13.5" customHeight="1">
      <c r="A65" s="207" t="s">
        <v>613</v>
      </c>
      <c r="B65" s="208" t="s">
        <v>598</v>
      </c>
      <c r="C65" s="208" t="s">
        <v>132</v>
      </c>
      <c r="D65" s="268" t="s">
        <v>133</v>
      </c>
      <c r="E65" s="260"/>
      <c r="F65" s="208" t="s">
        <v>68</v>
      </c>
      <c r="G65" s="243">
        <v>1</v>
      </c>
      <c r="H65" s="244">
        <v>0</v>
      </c>
      <c r="I65" s="244">
        <f t="shared" si="40"/>
        <v>0</v>
      </c>
      <c r="K65" s="231"/>
      <c r="Z65" s="243">
        <f t="shared" si="41"/>
        <v>0</v>
      </c>
      <c r="AB65" s="243">
        <f t="shared" si="42"/>
        <v>0</v>
      </c>
      <c r="AC65" s="243">
        <f t="shared" si="43"/>
        <v>0</v>
      </c>
      <c r="AD65" s="243">
        <f t="shared" si="44"/>
        <v>0</v>
      </c>
      <c r="AE65" s="243">
        <f t="shared" si="45"/>
        <v>0</v>
      </c>
      <c r="AF65" s="243">
        <f t="shared" si="46"/>
        <v>0</v>
      </c>
      <c r="AG65" s="243">
        <f t="shared" si="47"/>
        <v>0</v>
      </c>
      <c r="AH65" s="243">
        <f t="shared" si="48"/>
        <v>0</v>
      </c>
      <c r="AI65" s="232" t="s">
        <v>598</v>
      </c>
      <c r="AJ65" s="243">
        <f t="shared" si="49"/>
        <v>0</v>
      </c>
      <c r="AK65" s="243">
        <f t="shared" si="50"/>
        <v>0</v>
      </c>
      <c r="AL65" s="243">
        <f t="shared" si="51"/>
        <v>0</v>
      </c>
      <c r="AN65" s="243">
        <v>21</v>
      </c>
      <c r="AO65" s="243">
        <f>H65*0.832205323193916</f>
        <v>0</v>
      </c>
      <c r="AP65" s="243">
        <f>H65*(1-0.832205323193916)</f>
        <v>0</v>
      </c>
      <c r="AQ65" s="245" t="s">
        <v>567</v>
      </c>
      <c r="AV65" s="243">
        <f t="shared" si="52"/>
        <v>0</v>
      </c>
      <c r="AW65" s="243">
        <f t="shared" si="53"/>
        <v>0</v>
      </c>
      <c r="AX65" s="243">
        <f t="shared" si="54"/>
        <v>0</v>
      </c>
      <c r="AY65" s="245" t="s">
        <v>610</v>
      </c>
      <c r="AZ65" s="245" t="s">
        <v>611</v>
      </c>
      <c r="BA65" s="232" t="s">
        <v>601</v>
      </c>
      <c r="BC65" s="243">
        <f t="shared" si="55"/>
        <v>0</v>
      </c>
      <c r="BD65" s="243">
        <f t="shared" si="56"/>
        <v>0</v>
      </c>
      <c r="BE65" s="243">
        <v>0</v>
      </c>
      <c r="BF65" s="243">
        <f>65</f>
        <v>65</v>
      </c>
      <c r="BH65" s="243">
        <f t="shared" si="57"/>
        <v>0</v>
      </c>
      <c r="BI65" s="243">
        <f t="shared" si="58"/>
        <v>0</v>
      </c>
      <c r="BJ65" s="243">
        <f t="shared" si="59"/>
        <v>0</v>
      </c>
      <c r="BK65" s="243"/>
      <c r="BL65" s="243">
        <v>722</v>
      </c>
      <c r="BW65" s="243">
        <v>21</v>
      </c>
    </row>
    <row r="66" spans="1:75" ht="13.5" customHeight="1">
      <c r="A66" s="207" t="s">
        <v>278</v>
      </c>
      <c r="B66" s="208" t="s">
        <v>598</v>
      </c>
      <c r="C66" s="208" t="s">
        <v>134</v>
      </c>
      <c r="D66" s="268" t="s">
        <v>1313</v>
      </c>
      <c r="E66" s="260"/>
      <c r="F66" s="208" t="s">
        <v>63</v>
      </c>
      <c r="G66" s="243">
        <v>0.5</v>
      </c>
      <c r="H66" s="244">
        <v>0</v>
      </c>
      <c r="I66" s="244">
        <f t="shared" si="40"/>
        <v>0</v>
      </c>
      <c r="K66" s="231"/>
      <c r="Z66" s="243">
        <f t="shared" si="41"/>
        <v>0</v>
      </c>
      <c r="AB66" s="243">
        <f t="shared" si="42"/>
        <v>0</v>
      </c>
      <c r="AC66" s="243">
        <f t="shared" si="43"/>
        <v>0</v>
      </c>
      <c r="AD66" s="243">
        <f t="shared" si="44"/>
        <v>0</v>
      </c>
      <c r="AE66" s="243">
        <f t="shared" si="45"/>
        <v>0</v>
      </c>
      <c r="AF66" s="243">
        <f t="shared" si="46"/>
        <v>0</v>
      </c>
      <c r="AG66" s="243">
        <f t="shared" si="47"/>
        <v>0</v>
      </c>
      <c r="AH66" s="243">
        <f t="shared" si="48"/>
        <v>0</v>
      </c>
      <c r="AI66" s="232" t="s">
        <v>598</v>
      </c>
      <c r="AJ66" s="243">
        <f t="shared" si="49"/>
        <v>0</v>
      </c>
      <c r="AK66" s="243">
        <f t="shared" si="50"/>
        <v>0</v>
      </c>
      <c r="AL66" s="243">
        <f t="shared" si="51"/>
        <v>0</v>
      </c>
      <c r="AN66" s="243">
        <v>21</v>
      </c>
      <c r="AO66" s="243">
        <f>H66*0.58087253414264</f>
        <v>0</v>
      </c>
      <c r="AP66" s="243">
        <f>H66*(1-0.58087253414264)</f>
        <v>0</v>
      </c>
      <c r="AQ66" s="245" t="s">
        <v>567</v>
      </c>
      <c r="AV66" s="243">
        <f t="shared" si="52"/>
        <v>0</v>
      </c>
      <c r="AW66" s="243">
        <f t="shared" si="53"/>
        <v>0</v>
      </c>
      <c r="AX66" s="243">
        <f t="shared" si="54"/>
        <v>0</v>
      </c>
      <c r="AY66" s="245" t="s">
        <v>610</v>
      </c>
      <c r="AZ66" s="245" t="s">
        <v>611</v>
      </c>
      <c r="BA66" s="232" t="s">
        <v>601</v>
      </c>
      <c r="BC66" s="243">
        <f t="shared" si="55"/>
        <v>0</v>
      </c>
      <c r="BD66" s="243">
        <f t="shared" si="56"/>
        <v>0</v>
      </c>
      <c r="BE66" s="243">
        <v>0</v>
      </c>
      <c r="BF66" s="243">
        <f>66</f>
        <v>66</v>
      </c>
      <c r="BH66" s="243">
        <f t="shared" si="57"/>
        <v>0</v>
      </c>
      <c r="BI66" s="243">
        <f t="shared" si="58"/>
        <v>0</v>
      </c>
      <c r="BJ66" s="243">
        <f t="shared" si="59"/>
        <v>0</v>
      </c>
      <c r="BK66" s="243"/>
      <c r="BL66" s="243">
        <v>722</v>
      </c>
      <c r="BW66" s="243">
        <v>21</v>
      </c>
    </row>
    <row r="67" spans="1:75" ht="13.5" customHeight="1">
      <c r="A67" s="207" t="s">
        <v>614</v>
      </c>
      <c r="B67" s="208" t="s">
        <v>598</v>
      </c>
      <c r="C67" s="208" t="s">
        <v>136</v>
      </c>
      <c r="D67" s="268" t="s">
        <v>1314</v>
      </c>
      <c r="E67" s="260"/>
      <c r="F67" s="208" t="s">
        <v>63</v>
      </c>
      <c r="G67" s="243">
        <v>10</v>
      </c>
      <c r="H67" s="244">
        <v>0</v>
      </c>
      <c r="I67" s="244">
        <f t="shared" si="40"/>
        <v>0</v>
      </c>
      <c r="K67" s="231"/>
      <c r="Z67" s="243">
        <f t="shared" si="41"/>
        <v>0</v>
      </c>
      <c r="AB67" s="243">
        <f t="shared" si="42"/>
        <v>0</v>
      </c>
      <c r="AC67" s="243">
        <f t="shared" si="43"/>
        <v>0</v>
      </c>
      <c r="AD67" s="243">
        <f t="shared" si="44"/>
        <v>0</v>
      </c>
      <c r="AE67" s="243">
        <f t="shared" si="45"/>
        <v>0</v>
      </c>
      <c r="AF67" s="243">
        <f t="shared" si="46"/>
        <v>0</v>
      </c>
      <c r="AG67" s="243">
        <f t="shared" si="47"/>
        <v>0</v>
      </c>
      <c r="AH67" s="243">
        <f t="shared" si="48"/>
        <v>0</v>
      </c>
      <c r="AI67" s="232" t="s">
        <v>598</v>
      </c>
      <c r="AJ67" s="243">
        <f t="shared" si="49"/>
        <v>0</v>
      </c>
      <c r="AK67" s="243">
        <f t="shared" si="50"/>
        <v>0</v>
      </c>
      <c r="AL67" s="243">
        <f t="shared" si="51"/>
        <v>0</v>
      </c>
      <c r="AN67" s="243">
        <v>21</v>
      </c>
      <c r="AO67" s="243">
        <f>H67*0.388270254929131</f>
        <v>0</v>
      </c>
      <c r="AP67" s="243">
        <f>H67*(1-0.388270254929131)</f>
        <v>0</v>
      </c>
      <c r="AQ67" s="245" t="s">
        <v>567</v>
      </c>
      <c r="AV67" s="243">
        <f t="shared" si="52"/>
        <v>0</v>
      </c>
      <c r="AW67" s="243">
        <f t="shared" si="53"/>
        <v>0</v>
      </c>
      <c r="AX67" s="243">
        <f t="shared" si="54"/>
        <v>0</v>
      </c>
      <c r="AY67" s="245" t="s">
        <v>610</v>
      </c>
      <c r="AZ67" s="245" t="s">
        <v>611</v>
      </c>
      <c r="BA67" s="232" t="s">
        <v>601</v>
      </c>
      <c r="BC67" s="243">
        <f t="shared" si="55"/>
        <v>0</v>
      </c>
      <c r="BD67" s="243">
        <f t="shared" si="56"/>
        <v>0</v>
      </c>
      <c r="BE67" s="243">
        <v>0</v>
      </c>
      <c r="BF67" s="243">
        <f>67</f>
        <v>67</v>
      </c>
      <c r="BH67" s="243">
        <f t="shared" si="57"/>
        <v>0</v>
      </c>
      <c r="BI67" s="243">
        <f t="shared" si="58"/>
        <v>0</v>
      </c>
      <c r="BJ67" s="243">
        <f t="shared" si="59"/>
        <v>0</v>
      </c>
      <c r="BK67" s="243"/>
      <c r="BL67" s="243">
        <v>722</v>
      </c>
      <c r="BW67" s="243">
        <v>21</v>
      </c>
    </row>
    <row r="68" spans="1:75" ht="13.5" customHeight="1">
      <c r="A68" s="207" t="s">
        <v>615</v>
      </c>
      <c r="B68" s="208" t="s">
        <v>598</v>
      </c>
      <c r="C68" s="208" t="s">
        <v>138</v>
      </c>
      <c r="D68" s="268" t="s">
        <v>1315</v>
      </c>
      <c r="E68" s="260"/>
      <c r="F68" s="208" t="s">
        <v>63</v>
      </c>
      <c r="G68" s="243">
        <v>6</v>
      </c>
      <c r="H68" s="244">
        <v>0</v>
      </c>
      <c r="I68" s="244">
        <f t="shared" si="40"/>
        <v>0</v>
      </c>
      <c r="K68" s="231"/>
      <c r="Z68" s="243">
        <f t="shared" si="41"/>
        <v>0</v>
      </c>
      <c r="AB68" s="243">
        <f t="shared" si="42"/>
        <v>0</v>
      </c>
      <c r="AC68" s="243">
        <f t="shared" si="43"/>
        <v>0</v>
      </c>
      <c r="AD68" s="243">
        <f t="shared" si="44"/>
        <v>0</v>
      </c>
      <c r="AE68" s="243">
        <f t="shared" si="45"/>
        <v>0</v>
      </c>
      <c r="AF68" s="243">
        <f t="shared" si="46"/>
        <v>0</v>
      </c>
      <c r="AG68" s="243">
        <f t="shared" si="47"/>
        <v>0</v>
      </c>
      <c r="AH68" s="243">
        <f t="shared" si="48"/>
        <v>0</v>
      </c>
      <c r="AI68" s="232" t="s">
        <v>598</v>
      </c>
      <c r="AJ68" s="243">
        <f t="shared" si="49"/>
        <v>0</v>
      </c>
      <c r="AK68" s="243">
        <f t="shared" si="50"/>
        <v>0</v>
      </c>
      <c r="AL68" s="243">
        <f t="shared" si="51"/>
        <v>0</v>
      </c>
      <c r="AN68" s="243">
        <v>21</v>
      </c>
      <c r="AO68" s="243">
        <f>H68*0.298134715025907</f>
        <v>0</v>
      </c>
      <c r="AP68" s="243">
        <f>H68*(1-0.298134715025907)</f>
        <v>0</v>
      </c>
      <c r="AQ68" s="245" t="s">
        <v>567</v>
      </c>
      <c r="AV68" s="243">
        <f t="shared" si="52"/>
        <v>0</v>
      </c>
      <c r="AW68" s="243">
        <f t="shared" si="53"/>
        <v>0</v>
      </c>
      <c r="AX68" s="243">
        <f t="shared" si="54"/>
        <v>0</v>
      </c>
      <c r="AY68" s="245" t="s">
        <v>610</v>
      </c>
      <c r="AZ68" s="245" t="s">
        <v>611</v>
      </c>
      <c r="BA68" s="232" t="s">
        <v>601</v>
      </c>
      <c r="BC68" s="243">
        <f t="shared" si="55"/>
        <v>0</v>
      </c>
      <c r="BD68" s="243">
        <f t="shared" si="56"/>
        <v>0</v>
      </c>
      <c r="BE68" s="243">
        <v>0</v>
      </c>
      <c r="BF68" s="243">
        <f>68</f>
        <v>68</v>
      </c>
      <c r="BH68" s="243">
        <f t="shared" si="57"/>
        <v>0</v>
      </c>
      <c r="BI68" s="243">
        <f t="shared" si="58"/>
        <v>0</v>
      </c>
      <c r="BJ68" s="243">
        <f t="shared" si="59"/>
        <v>0</v>
      </c>
      <c r="BK68" s="243"/>
      <c r="BL68" s="243">
        <v>722</v>
      </c>
      <c r="BW68" s="243">
        <v>21</v>
      </c>
    </row>
    <row r="69" spans="1:75" ht="13.5" customHeight="1">
      <c r="A69" s="207" t="s">
        <v>616</v>
      </c>
      <c r="B69" s="208" t="s">
        <v>598</v>
      </c>
      <c r="C69" s="208" t="s">
        <v>140</v>
      </c>
      <c r="D69" s="268" t="s">
        <v>1316</v>
      </c>
      <c r="E69" s="260"/>
      <c r="F69" s="208" t="s">
        <v>63</v>
      </c>
      <c r="G69" s="243">
        <v>0.5</v>
      </c>
      <c r="H69" s="244">
        <v>0</v>
      </c>
      <c r="I69" s="244">
        <f t="shared" si="40"/>
        <v>0</v>
      </c>
      <c r="K69" s="231"/>
      <c r="Z69" s="243">
        <f t="shared" si="41"/>
        <v>0</v>
      </c>
      <c r="AB69" s="243">
        <f t="shared" si="42"/>
        <v>0</v>
      </c>
      <c r="AC69" s="243">
        <f t="shared" si="43"/>
        <v>0</v>
      </c>
      <c r="AD69" s="243">
        <f t="shared" si="44"/>
        <v>0</v>
      </c>
      <c r="AE69" s="243">
        <f t="shared" si="45"/>
        <v>0</v>
      </c>
      <c r="AF69" s="243">
        <f t="shared" si="46"/>
        <v>0</v>
      </c>
      <c r="AG69" s="243">
        <f t="shared" si="47"/>
        <v>0</v>
      </c>
      <c r="AH69" s="243">
        <f t="shared" si="48"/>
        <v>0</v>
      </c>
      <c r="AI69" s="232" t="s">
        <v>598</v>
      </c>
      <c r="AJ69" s="243">
        <f t="shared" si="49"/>
        <v>0</v>
      </c>
      <c r="AK69" s="243">
        <f t="shared" si="50"/>
        <v>0</v>
      </c>
      <c r="AL69" s="243">
        <f t="shared" si="51"/>
        <v>0</v>
      </c>
      <c r="AN69" s="243">
        <v>21</v>
      </c>
      <c r="AO69" s="243">
        <f>H69*0.411054131054131</f>
        <v>0</v>
      </c>
      <c r="AP69" s="243">
        <f>H69*(1-0.411054131054131)</f>
        <v>0</v>
      </c>
      <c r="AQ69" s="245" t="s">
        <v>567</v>
      </c>
      <c r="AV69" s="243">
        <f t="shared" si="52"/>
        <v>0</v>
      </c>
      <c r="AW69" s="243">
        <f t="shared" si="53"/>
        <v>0</v>
      </c>
      <c r="AX69" s="243">
        <f t="shared" si="54"/>
        <v>0</v>
      </c>
      <c r="AY69" s="245" t="s">
        <v>610</v>
      </c>
      <c r="AZ69" s="245" t="s">
        <v>611</v>
      </c>
      <c r="BA69" s="232" t="s">
        <v>601</v>
      </c>
      <c r="BC69" s="243">
        <f t="shared" si="55"/>
        <v>0</v>
      </c>
      <c r="BD69" s="243">
        <f t="shared" si="56"/>
        <v>0</v>
      </c>
      <c r="BE69" s="243">
        <v>0</v>
      </c>
      <c r="BF69" s="243">
        <f>69</f>
        <v>69</v>
      </c>
      <c r="BH69" s="243">
        <f t="shared" si="57"/>
        <v>0</v>
      </c>
      <c r="BI69" s="243">
        <f t="shared" si="58"/>
        <v>0</v>
      </c>
      <c r="BJ69" s="243">
        <f t="shared" si="59"/>
        <v>0</v>
      </c>
      <c r="BK69" s="243"/>
      <c r="BL69" s="243">
        <v>722</v>
      </c>
      <c r="BW69" s="243">
        <v>21</v>
      </c>
    </row>
    <row r="70" spans="1:75" ht="13.5" customHeight="1">
      <c r="A70" s="207" t="s">
        <v>617</v>
      </c>
      <c r="B70" s="208" t="s">
        <v>598</v>
      </c>
      <c r="C70" s="208" t="s">
        <v>143</v>
      </c>
      <c r="D70" s="268" t="s">
        <v>1317</v>
      </c>
      <c r="E70" s="260"/>
      <c r="F70" s="208" t="s">
        <v>63</v>
      </c>
      <c r="G70" s="243">
        <v>3</v>
      </c>
      <c r="H70" s="244">
        <v>0</v>
      </c>
      <c r="I70" s="244">
        <f t="shared" si="40"/>
        <v>0</v>
      </c>
      <c r="K70" s="231"/>
      <c r="Z70" s="243">
        <f t="shared" si="41"/>
        <v>0</v>
      </c>
      <c r="AB70" s="243">
        <f t="shared" si="42"/>
        <v>0</v>
      </c>
      <c r="AC70" s="243">
        <f t="shared" si="43"/>
        <v>0</v>
      </c>
      <c r="AD70" s="243">
        <f t="shared" si="44"/>
        <v>0</v>
      </c>
      <c r="AE70" s="243">
        <f t="shared" si="45"/>
        <v>0</v>
      </c>
      <c r="AF70" s="243">
        <f t="shared" si="46"/>
        <v>0</v>
      </c>
      <c r="AG70" s="243">
        <f t="shared" si="47"/>
        <v>0</v>
      </c>
      <c r="AH70" s="243">
        <f t="shared" si="48"/>
        <v>0</v>
      </c>
      <c r="AI70" s="232" t="s">
        <v>598</v>
      </c>
      <c r="AJ70" s="243">
        <f t="shared" si="49"/>
        <v>0</v>
      </c>
      <c r="AK70" s="243">
        <f t="shared" si="50"/>
        <v>0</v>
      </c>
      <c r="AL70" s="243">
        <f t="shared" si="51"/>
        <v>0</v>
      </c>
      <c r="AN70" s="243">
        <v>21</v>
      </c>
      <c r="AO70" s="243">
        <f>H70*0.628405063291139</f>
        <v>0</v>
      </c>
      <c r="AP70" s="243">
        <f>H70*(1-0.628405063291139)</f>
        <v>0</v>
      </c>
      <c r="AQ70" s="245" t="s">
        <v>567</v>
      </c>
      <c r="AV70" s="243">
        <f t="shared" si="52"/>
        <v>0</v>
      </c>
      <c r="AW70" s="243">
        <f t="shared" si="53"/>
        <v>0</v>
      </c>
      <c r="AX70" s="243">
        <f t="shared" si="54"/>
        <v>0</v>
      </c>
      <c r="AY70" s="245" t="s">
        <v>610</v>
      </c>
      <c r="AZ70" s="245" t="s">
        <v>611</v>
      </c>
      <c r="BA70" s="232" t="s">
        <v>601</v>
      </c>
      <c r="BC70" s="243">
        <f t="shared" si="55"/>
        <v>0</v>
      </c>
      <c r="BD70" s="243">
        <f t="shared" si="56"/>
        <v>0</v>
      </c>
      <c r="BE70" s="243">
        <v>0</v>
      </c>
      <c r="BF70" s="243">
        <f>70</f>
        <v>70</v>
      </c>
      <c r="BH70" s="243">
        <f t="shared" si="57"/>
        <v>0</v>
      </c>
      <c r="BI70" s="243">
        <f t="shared" si="58"/>
        <v>0</v>
      </c>
      <c r="BJ70" s="243">
        <f t="shared" si="59"/>
        <v>0</v>
      </c>
      <c r="BK70" s="243"/>
      <c r="BL70" s="243">
        <v>722</v>
      </c>
      <c r="BW70" s="243">
        <v>21</v>
      </c>
    </row>
    <row r="71" spans="1:75" ht="13.5" customHeight="1">
      <c r="A71" s="207" t="s">
        <v>618</v>
      </c>
      <c r="B71" s="208" t="s">
        <v>598</v>
      </c>
      <c r="C71" s="208" t="s">
        <v>145</v>
      </c>
      <c r="D71" s="268" t="s">
        <v>1318</v>
      </c>
      <c r="E71" s="260"/>
      <c r="F71" s="208" t="s">
        <v>63</v>
      </c>
      <c r="G71" s="243">
        <v>6</v>
      </c>
      <c r="H71" s="244">
        <v>0</v>
      </c>
      <c r="I71" s="244">
        <f t="shared" si="40"/>
        <v>0</v>
      </c>
      <c r="K71" s="231"/>
      <c r="Z71" s="243">
        <f t="shared" si="41"/>
        <v>0</v>
      </c>
      <c r="AB71" s="243">
        <f t="shared" si="42"/>
        <v>0</v>
      </c>
      <c r="AC71" s="243">
        <f t="shared" si="43"/>
        <v>0</v>
      </c>
      <c r="AD71" s="243">
        <f t="shared" si="44"/>
        <v>0</v>
      </c>
      <c r="AE71" s="243">
        <f t="shared" si="45"/>
        <v>0</v>
      </c>
      <c r="AF71" s="243">
        <f t="shared" si="46"/>
        <v>0</v>
      </c>
      <c r="AG71" s="243">
        <f t="shared" si="47"/>
        <v>0</v>
      </c>
      <c r="AH71" s="243">
        <f t="shared" si="48"/>
        <v>0</v>
      </c>
      <c r="AI71" s="232" t="s">
        <v>598</v>
      </c>
      <c r="AJ71" s="243">
        <f t="shared" si="49"/>
        <v>0</v>
      </c>
      <c r="AK71" s="243">
        <f t="shared" si="50"/>
        <v>0</v>
      </c>
      <c r="AL71" s="243">
        <f t="shared" si="51"/>
        <v>0</v>
      </c>
      <c r="AN71" s="243">
        <v>21</v>
      </c>
      <c r="AO71" s="243">
        <f>H71*0.38327731092437</f>
        <v>0</v>
      </c>
      <c r="AP71" s="243">
        <f>H71*(1-0.38327731092437)</f>
        <v>0</v>
      </c>
      <c r="AQ71" s="245" t="s">
        <v>567</v>
      </c>
      <c r="AV71" s="243">
        <f t="shared" si="52"/>
        <v>0</v>
      </c>
      <c r="AW71" s="243">
        <f t="shared" si="53"/>
        <v>0</v>
      </c>
      <c r="AX71" s="243">
        <f t="shared" si="54"/>
        <v>0</v>
      </c>
      <c r="AY71" s="245" t="s">
        <v>610</v>
      </c>
      <c r="AZ71" s="245" t="s">
        <v>611</v>
      </c>
      <c r="BA71" s="232" t="s">
        <v>601</v>
      </c>
      <c r="BC71" s="243">
        <f t="shared" si="55"/>
        <v>0</v>
      </c>
      <c r="BD71" s="243">
        <f t="shared" si="56"/>
        <v>0</v>
      </c>
      <c r="BE71" s="243">
        <v>0</v>
      </c>
      <c r="BF71" s="243">
        <f>71</f>
        <v>71</v>
      </c>
      <c r="BH71" s="243">
        <f t="shared" si="57"/>
        <v>0</v>
      </c>
      <c r="BI71" s="243">
        <f t="shared" si="58"/>
        <v>0</v>
      </c>
      <c r="BJ71" s="243">
        <f t="shared" si="59"/>
        <v>0</v>
      </c>
      <c r="BK71" s="243"/>
      <c r="BL71" s="243">
        <v>722</v>
      </c>
      <c r="BW71" s="243">
        <v>21</v>
      </c>
    </row>
    <row r="72" spans="1:75" ht="13.5" customHeight="1">
      <c r="A72" s="207" t="s">
        <v>619</v>
      </c>
      <c r="B72" s="208" t="s">
        <v>598</v>
      </c>
      <c r="C72" s="208" t="s">
        <v>147</v>
      </c>
      <c r="D72" s="268" t="s">
        <v>1319</v>
      </c>
      <c r="E72" s="260"/>
      <c r="F72" s="208" t="s">
        <v>63</v>
      </c>
      <c r="G72" s="243">
        <v>6</v>
      </c>
      <c r="H72" s="244">
        <v>0</v>
      </c>
      <c r="I72" s="244">
        <f t="shared" si="40"/>
        <v>0</v>
      </c>
      <c r="K72" s="231"/>
      <c r="Z72" s="243">
        <f t="shared" si="41"/>
        <v>0</v>
      </c>
      <c r="AB72" s="243">
        <f t="shared" si="42"/>
        <v>0</v>
      </c>
      <c r="AC72" s="243">
        <f t="shared" si="43"/>
        <v>0</v>
      </c>
      <c r="AD72" s="243">
        <f t="shared" si="44"/>
        <v>0</v>
      </c>
      <c r="AE72" s="243">
        <f t="shared" si="45"/>
        <v>0</v>
      </c>
      <c r="AF72" s="243">
        <f t="shared" si="46"/>
        <v>0</v>
      </c>
      <c r="AG72" s="243">
        <f t="shared" si="47"/>
        <v>0</v>
      </c>
      <c r="AH72" s="243">
        <f t="shared" si="48"/>
        <v>0</v>
      </c>
      <c r="AI72" s="232" t="s">
        <v>598</v>
      </c>
      <c r="AJ72" s="243">
        <f t="shared" si="49"/>
        <v>0</v>
      </c>
      <c r="AK72" s="243">
        <f t="shared" si="50"/>
        <v>0</v>
      </c>
      <c r="AL72" s="243">
        <f t="shared" si="51"/>
        <v>0</v>
      </c>
      <c r="AN72" s="243">
        <v>21</v>
      </c>
      <c r="AO72" s="243">
        <f>H72*0.612361183789755</f>
        <v>0</v>
      </c>
      <c r="AP72" s="243">
        <f>H72*(1-0.612361183789755)</f>
        <v>0</v>
      </c>
      <c r="AQ72" s="245" t="s">
        <v>567</v>
      </c>
      <c r="AV72" s="243">
        <f t="shared" si="52"/>
        <v>0</v>
      </c>
      <c r="AW72" s="243">
        <f t="shared" si="53"/>
        <v>0</v>
      </c>
      <c r="AX72" s="243">
        <f t="shared" si="54"/>
        <v>0</v>
      </c>
      <c r="AY72" s="245" t="s">
        <v>610</v>
      </c>
      <c r="AZ72" s="245" t="s">
        <v>611</v>
      </c>
      <c r="BA72" s="232" t="s">
        <v>601</v>
      </c>
      <c r="BC72" s="243">
        <f t="shared" si="55"/>
        <v>0</v>
      </c>
      <c r="BD72" s="243">
        <f t="shared" si="56"/>
        <v>0</v>
      </c>
      <c r="BE72" s="243">
        <v>0</v>
      </c>
      <c r="BF72" s="243">
        <f>72</f>
        <v>72</v>
      </c>
      <c r="BH72" s="243">
        <f t="shared" si="57"/>
        <v>0</v>
      </c>
      <c r="BI72" s="243">
        <f t="shared" si="58"/>
        <v>0</v>
      </c>
      <c r="BJ72" s="243">
        <f t="shared" si="59"/>
        <v>0</v>
      </c>
      <c r="BK72" s="243"/>
      <c r="BL72" s="243">
        <v>722</v>
      </c>
      <c r="BW72" s="243">
        <v>21</v>
      </c>
    </row>
    <row r="73" spans="1:75" ht="13.5" customHeight="1">
      <c r="A73" s="207" t="s">
        <v>620</v>
      </c>
      <c r="B73" s="208" t="s">
        <v>598</v>
      </c>
      <c r="C73" s="208" t="s">
        <v>149</v>
      </c>
      <c r="D73" s="268" t="s">
        <v>1320</v>
      </c>
      <c r="E73" s="260"/>
      <c r="F73" s="208" t="s">
        <v>68</v>
      </c>
      <c r="G73" s="243">
        <v>4</v>
      </c>
      <c r="H73" s="244">
        <v>0</v>
      </c>
      <c r="I73" s="244">
        <f t="shared" si="40"/>
        <v>0</v>
      </c>
      <c r="K73" s="231"/>
      <c r="Z73" s="243">
        <f t="shared" si="41"/>
        <v>0</v>
      </c>
      <c r="AB73" s="243">
        <f t="shared" si="42"/>
        <v>0</v>
      </c>
      <c r="AC73" s="243">
        <f t="shared" si="43"/>
        <v>0</v>
      </c>
      <c r="AD73" s="243">
        <f t="shared" si="44"/>
        <v>0</v>
      </c>
      <c r="AE73" s="243">
        <f t="shared" si="45"/>
        <v>0</v>
      </c>
      <c r="AF73" s="243">
        <f t="shared" si="46"/>
        <v>0</v>
      </c>
      <c r="AG73" s="243">
        <f t="shared" si="47"/>
        <v>0</v>
      </c>
      <c r="AH73" s="243">
        <f t="shared" si="48"/>
        <v>0</v>
      </c>
      <c r="AI73" s="232" t="s">
        <v>598</v>
      </c>
      <c r="AJ73" s="243">
        <f t="shared" si="49"/>
        <v>0</v>
      </c>
      <c r="AK73" s="243">
        <f t="shared" si="50"/>
        <v>0</v>
      </c>
      <c r="AL73" s="243">
        <f t="shared" si="51"/>
        <v>0</v>
      </c>
      <c r="AN73" s="243">
        <v>21</v>
      </c>
      <c r="AO73" s="243">
        <f>H73*0.767472727272727</f>
        <v>0</v>
      </c>
      <c r="AP73" s="243">
        <f>H73*(1-0.767472727272727)</f>
        <v>0</v>
      </c>
      <c r="AQ73" s="245" t="s">
        <v>567</v>
      </c>
      <c r="AV73" s="243">
        <f t="shared" si="52"/>
        <v>0</v>
      </c>
      <c r="AW73" s="243">
        <f t="shared" si="53"/>
        <v>0</v>
      </c>
      <c r="AX73" s="243">
        <f t="shared" si="54"/>
        <v>0</v>
      </c>
      <c r="AY73" s="245" t="s">
        <v>610</v>
      </c>
      <c r="AZ73" s="245" t="s">
        <v>611</v>
      </c>
      <c r="BA73" s="232" t="s">
        <v>601</v>
      </c>
      <c r="BC73" s="243">
        <f t="shared" si="55"/>
        <v>0</v>
      </c>
      <c r="BD73" s="243">
        <f t="shared" si="56"/>
        <v>0</v>
      </c>
      <c r="BE73" s="243">
        <v>0</v>
      </c>
      <c r="BF73" s="243">
        <f>73</f>
        <v>73</v>
      </c>
      <c r="BH73" s="243">
        <f t="shared" si="57"/>
        <v>0</v>
      </c>
      <c r="BI73" s="243">
        <f t="shared" si="58"/>
        <v>0</v>
      </c>
      <c r="BJ73" s="243">
        <f t="shared" si="59"/>
        <v>0</v>
      </c>
      <c r="BK73" s="243"/>
      <c r="BL73" s="243">
        <v>722</v>
      </c>
      <c r="BW73" s="243">
        <v>21</v>
      </c>
    </row>
    <row r="74" spans="1:75" ht="13.5" customHeight="1">
      <c r="A74" s="207" t="s">
        <v>621</v>
      </c>
      <c r="B74" s="208" t="s">
        <v>598</v>
      </c>
      <c r="C74" s="208" t="s">
        <v>151</v>
      </c>
      <c r="D74" s="268" t="s">
        <v>1321</v>
      </c>
      <c r="E74" s="260"/>
      <c r="F74" s="208" t="s">
        <v>68</v>
      </c>
      <c r="G74" s="243">
        <v>2</v>
      </c>
      <c r="H74" s="244">
        <v>0</v>
      </c>
      <c r="I74" s="244">
        <f t="shared" si="40"/>
        <v>0</v>
      </c>
      <c r="K74" s="231"/>
      <c r="Z74" s="243">
        <f t="shared" si="41"/>
        <v>0</v>
      </c>
      <c r="AB74" s="243">
        <f t="shared" si="42"/>
        <v>0</v>
      </c>
      <c r="AC74" s="243">
        <f t="shared" si="43"/>
        <v>0</v>
      </c>
      <c r="AD74" s="243">
        <f t="shared" si="44"/>
        <v>0</v>
      </c>
      <c r="AE74" s="243">
        <f t="shared" si="45"/>
        <v>0</v>
      </c>
      <c r="AF74" s="243">
        <f t="shared" si="46"/>
        <v>0</v>
      </c>
      <c r="AG74" s="243">
        <f t="shared" si="47"/>
        <v>0</v>
      </c>
      <c r="AH74" s="243">
        <f t="shared" si="48"/>
        <v>0</v>
      </c>
      <c r="AI74" s="232" t="s">
        <v>598</v>
      </c>
      <c r="AJ74" s="243">
        <f t="shared" si="49"/>
        <v>0</v>
      </c>
      <c r="AK74" s="243">
        <f t="shared" si="50"/>
        <v>0</v>
      </c>
      <c r="AL74" s="243">
        <f t="shared" si="51"/>
        <v>0</v>
      </c>
      <c r="AN74" s="243">
        <v>21</v>
      </c>
      <c r="AO74" s="243">
        <f>H74*0.676952908587258</f>
        <v>0</v>
      </c>
      <c r="AP74" s="243">
        <f>H74*(1-0.676952908587258)</f>
        <v>0</v>
      </c>
      <c r="AQ74" s="245" t="s">
        <v>567</v>
      </c>
      <c r="AV74" s="243">
        <f t="shared" si="52"/>
        <v>0</v>
      </c>
      <c r="AW74" s="243">
        <f t="shared" si="53"/>
        <v>0</v>
      </c>
      <c r="AX74" s="243">
        <f t="shared" si="54"/>
        <v>0</v>
      </c>
      <c r="AY74" s="245" t="s">
        <v>610</v>
      </c>
      <c r="AZ74" s="245" t="s">
        <v>611</v>
      </c>
      <c r="BA74" s="232" t="s">
        <v>601</v>
      </c>
      <c r="BC74" s="243">
        <f t="shared" si="55"/>
        <v>0</v>
      </c>
      <c r="BD74" s="243">
        <f t="shared" si="56"/>
        <v>0</v>
      </c>
      <c r="BE74" s="243">
        <v>0</v>
      </c>
      <c r="BF74" s="243">
        <f>74</f>
        <v>74</v>
      </c>
      <c r="BH74" s="243">
        <f t="shared" si="57"/>
        <v>0</v>
      </c>
      <c r="BI74" s="243">
        <f t="shared" si="58"/>
        <v>0</v>
      </c>
      <c r="BJ74" s="243">
        <f t="shared" si="59"/>
        <v>0</v>
      </c>
      <c r="BK74" s="243"/>
      <c r="BL74" s="243">
        <v>722</v>
      </c>
      <c r="BW74" s="243">
        <v>21</v>
      </c>
    </row>
    <row r="75" spans="1:75" ht="13.5" customHeight="1">
      <c r="A75" s="207" t="s">
        <v>622</v>
      </c>
      <c r="B75" s="208" t="s">
        <v>598</v>
      </c>
      <c r="C75" s="208" t="s">
        <v>153</v>
      </c>
      <c r="D75" s="268" t="s">
        <v>1322</v>
      </c>
      <c r="E75" s="260"/>
      <c r="F75" s="208" t="s">
        <v>68</v>
      </c>
      <c r="G75" s="243">
        <v>1</v>
      </c>
      <c r="H75" s="244">
        <v>0</v>
      </c>
      <c r="I75" s="244">
        <f t="shared" si="40"/>
        <v>0</v>
      </c>
      <c r="K75" s="231"/>
      <c r="Z75" s="243">
        <f t="shared" si="41"/>
        <v>0</v>
      </c>
      <c r="AB75" s="243">
        <f t="shared" si="42"/>
        <v>0</v>
      </c>
      <c r="AC75" s="243">
        <f t="shared" si="43"/>
        <v>0</v>
      </c>
      <c r="AD75" s="243">
        <f t="shared" si="44"/>
        <v>0</v>
      </c>
      <c r="AE75" s="243">
        <f t="shared" si="45"/>
        <v>0</v>
      </c>
      <c r="AF75" s="243">
        <f t="shared" si="46"/>
        <v>0</v>
      </c>
      <c r="AG75" s="243">
        <f t="shared" si="47"/>
        <v>0</v>
      </c>
      <c r="AH75" s="243">
        <f t="shared" si="48"/>
        <v>0</v>
      </c>
      <c r="AI75" s="232" t="s">
        <v>598</v>
      </c>
      <c r="AJ75" s="243">
        <f t="shared" si="49"/>
        <v>0</v>
      </c>
      <c r="AK75" s="243">
        <f t="shared" si="50"/>
        <v>0</v>
      </c>
      <c r="AL75" s="243">
        <f t="shared" si="51"/>
        <v>0</v>
      </c>
      <c r="AN75" s="243">
        <v>21</v>
      </c>
      <c r="AO75" s="243">
        <f>H75*0.815175292153589</f>
        <v>0</v>
      </c>
      <c r="AP75" s="243">
        <f>H75*(1-0.815175292153589)</f>
        <v>0</v>
      </c>
      <c r="AQ75" s="245" t="s">
        <v>567</v>
      </c>
      <c r="AV75" s="243">
        <f t="shared" si="52"/>
        <v>0</v>
      </c>
      <c r="AW75" s="243">
        <f t="shared" si="53"/>
        <v>0</v>
      </c>
      <c r="AX75" s="243">
        <f t="shared" si="54"/>
        <v>0</v>
      </c>
      <c r="AY75" s="245" t="s">
        <v>610</v>
      </c>
      <c r="AZ75" s="245" t="s">
        <v>611</v>
      </c>
      <c r="BA75" s="232" t="s">
        <v>601</v>
      </c>
      <c r="BC75" s="243">
        <f t="shared" si="55"/>
        <v>0</v>
      </c>
      <c r="BD75" s="243">
        <f t="shared" si="56"/>
        <v>0</v>
      </c>
      <c r="BE75" s="243">
        <v>0</v>
      </c>
      <c r="BF75" s="243">
        <f>75</f>
        <v>75</v>
      </c>
      <c r="BH75" s="243">
        <f t="shared" si="57"/>
        <v>0</v>
      </c>
      <c r="BI75" s="243">
        <f t="shared" si="58"/>
        <v>0</v>
      </c>
      <c r="BJ75" s="243">
        <f t="shared" si="59"/>
        <v>0</v>
      </c>
      <c r="BK75" s="243"/>
      <c r="BL75" s="243">
        <v>722</v>
      </c>
      <c r="BW75" s="243">
        <v>21</v>
      </c>
    </row>
    <row r="76" spans="1:75" ht="13.5" customHeight="1">
      <c r="A76" s="207" t="s">
        <v>623</v>
      </c>
      <c r="B76" s="208" t="s">
        <v>598</v>
      </c>
      <c r="C76" s="208" t="s">
        <v>156</v>
      </c>
      <c r="D76" s="268" t="s">
        <v>1323</v>
      </c>
      <c r="E76" s="260"/>
      <c r="F76" s="208" t="s">
        <v>68</v>
      </c>
      <c r="G76" s="243">
        <v>1</v>
      </c>
      <c r="H76" s="244">
        <v>0</v>
      </c>
      <c r="I76" s="244">
        <f t="shared" si="40"/>
        <v>0</v>
      </c>
      <c r="K76" s="231"/>
      <c r="Z76" s="243">
        <f t="shared" si="41"/>
        <v>0</v>
      </c>
      <c r="AB76" s="243">
        <f t="shared" si="42"/>
        <v>0</v>
      </c>
      <c r="AC76" s="243">
        <f t="shared" si="43"/>
        <v>0</v>
      </c>
      <c r="AD76" s="243">
        <f t="shared" si="44"/>
        <v>0</v>
      </c>
      <c r="AE76" s="243">
        <f t="shared" si="45"/>
        <v>0</v>
      </c>
      <c r="AF76" s="243">
        <f t="shared" si="46"/>
        <v>0</v>
      </c>
      <c r="AG76" s="243">
        <f t="shared" si="47"/>
        <v>0</v>
      </c>
      <c r="AH76" s="243">
        <f t="shared" si="48"/>
        <v>0</v>
      </c>
      <c r="AI76" s="232" t="s">
        <v>598</v>
      </c>
      <c r="AJ76" s="243">
        <f t="shared" si="49"/>
        <v>0</v>
      </c>
      <c r="AK76" s="243">
        <f t="shared" si="50"/>
        <v>0</v>
      </c>
      <c r="AL76" s="243">
        <f t="shared" si="51"/>
        <v>0</v>
      </c>
      <c r="AN76" s="243">
        <v>21</v>
      </c>
      <c r="AO76" s="243">
        <f>H76*0.901698693312836</f>
        <v>0</v>
      </c>
      <c r="AP76" s="243">
        <f>H76*(1-0.901698693312836)</f>
        <v>0</v>
      </c>
      <c r="AQ76" s="245" t="s">
        <v>567</v>
      </c>
      <c r="AV76" s="243">
        <f t="shared" si="52"/>
        <v>0</v>
      </c>
      <c r="AW76" s="243">
        <f t="shared" si="53"/>
        <v>0</v>
      </c>
      <c r="AX76" s="243">
        <f t="shared" si="54"/>
        <v>0</v>
      </c>
      <c r="AY76" s="245" t="s">
        <v>610</v>
      </c>
      <c r="AZ76" s="245" t="s">
        <v>611</v>
      </c>
      <c r="BA76" s="232" t="s">
        <v>601</v>
      </c>
      <c r="BC76" s="243">
        <f t="shared" si="55"/>
        <v>0</v>
      </c>
      <c r="BD76" s="243">
        <f t="shared" si="56"/>
        <v>0</v>
      </c>
      <c r="BE76" s="243">
        <v>0</v>
      </c>
      <c r="BF76" s="243">
        <f>76</f>
        <v>76</v>
      </c>
      <c r="BH76" s="243">
        <f t="shared" si="57"/>
        <v>0</v>
      </c>
      <c r="BI76" s="243">
        <f t="shared" si="58"/>
        <v>0</v>
      </c>
      <c r="BJ76" s="243">
        <f t="shared" si="59"/>
        <v>0</v>
      </c>
      <c r="BK76" s="243"/>
      <c r="BL76" s="243">
        <v>722</v>
      </c>
      <c r="BW76" s="243">
        <v>21</v>
      </c>
    </row>
    <row r="77" spans="1:75" ht="13.5" customHeight="1">
      <c r="A77" s="207" t="s">
        <v>624</v>
      </c>
      <c r="B77" s="208" t="s">
        <v>598</v>
      </c>
      <c r="C77" s="208" t="s">
        <v>158</v>
      </c>
      <c r="D77" s="268" t="s">
        <v>1324</v>
      </c>
      <c r="E77" s="260"/>
      <c r="F77" s="208" t="s">
        <v>68</v>
      </c>
      <c r="G77" s="243">
        <v>1</v>
      </c>
      <c r="H77" s="244">
        <v>0</v>
      </c>
      <c r="I77" s="244">
        <f t="shared" si="40"/>
        <v>0</v>
      </c>
      <c r="K77" s="231"/>
      <c r="Z77" s="243">
        <f t="shared" si="41"/>
        <v>0</v>
      </c>
      <c r="AB77" s="243">
        <f t="shared" si="42"/>
        <v>0</v>
      </c>
      <c r="AC77" s="243">
        <f t="shared" si="43"/>
        <v>0</v>
      </c>
      <c r="AD77" s="243">
        <f t="shared" si="44"/>
        <v>0</v>
      </c>
      <c r="AE77" s="243">
        <f t="shared" si="45"/>
        <v>0</v>
      </c>
      <c r="AF77" s="243">
        <f t="shared" si="46"/>
        <v>0</v>
      </c>
      <c r="AG77" s="243">
        <f t="shared" si="47"/>
        <v>0</v>
      </c>
      <c r="AH77" s="243">
        <f t="shared" si="48"/>
        <v>0</v>
      </c>
      <c r="AI77" s="232" t="s">
        <v>598</v>
      </c>
      <c r="AJ77" s="243">
        <f t="shared" si="49"/>
        <v>0</v>
      </c>
      <c r="AK77" s="243">
        <f t="shared" si="50"/>
        <v>0</v>
      </c>
      <c r="AL77" s="243">
        <f t="shared" si="51"/>
        <v>0</v>
      </c>
      <c r="AN77" s="243">
        <v>21</v>
      </c>
      <c r="AO77" s="243">
        <f>H77*0.874331896551724</f>
        <v>0</v>
      </c>
      <c r="AP77" s="243">
        <f>H77*(1-0.874331896551724)</f>
        <v>0</v>
      </c>
      <c r="AQ77" s="245" t="s">
        <v>567</v>
      </c>
      <c r="AV77" s="243">
        <f t="shared" si="52"/>
        <v>0</v>
      </c>
      <c r="AW77" s="243">
        <f t="shared" si="53"/>
        <v>0</v>
      </c>
      <c r="AX77" s="243">
        <f t="shared" si="54"/>
        <v>0</v>
      </c>
      <c r="AY77" s="245" t="s">
        <v>610</v>
      </c>
      <c r="AZ77" s="245" t="s">
        <v>611</v>
      </c>
      <c r="BA77" s="232" t="s">
        <v>601</v>
      </c>
      <c r="BC77" s="243">
        <f t="shared" si="55"/>
        <v>0</v>
      </c>
      <c r="BD77" s="243">
        <f t="shared" si="56"/>
        <v>0</v>
      </c>
      <c r="BE77" s="243">
        <v>0</v>
      </c>
      <c r="BF77" s="243">
        <f>77</f>
        <v>77</v>
      </c>
      <c r="BH77" s="243">
        <f t="shared" si="57"/>
        <v>0</v>
      </c>
      <c r="BI77" s="243">
        <f t="shared" si="58"/>
        <v>0</v>
      </c>
      <c r="BJ77" s="243">
        <f t="shared" si="59"/>
        <v>0</v>
      </c>
      <c r="BK77" s="243"/>
      <c r="BL77" s="243">
        <v>722</v>
      </c>
      <c r="BW77" s="243">
        <v>21</v>
      </c>
    </row>
    <row r="78" spans="1:75" ht="13.5" customHeight="1">
      <c r="A78" s="207" t="s">
        <v>625</v>
      </c>
      <c r="B78" s="208" t="s">
        <v>598</v>
      </c>
      <c r="C78" s="208" t="s">
        <v>160</v>
      </c>
      <c r="D78" s="268" t="s">
        <v>1325</v>
      </c>
      <c r="E78" s="260"/>
      <c r="F78" s="208" t="s">
        <v>68</v>
      </c>
      <c r="G78" s="243">
        <v>1</v>
      </c>
      <c r="H78" s="244">
        <v>0</v>
      </c>
      <c r="I78" s="244">
        <f t="shared" si="40"/>
        <v>0</v>
      </c>
      <c r="K78" s="231"/>
      <c r="Z78" s="243">
        <f t="shared" si="41"/>
        <v>0</v>
      </c>
      <c r="AB78" s="243">
        <f t="shared" si="42"/>
        <v>0</v>
      </c>
      <c r="AC78" s="243">
        <f t="shared" si="43"/>
        <v>0</v>
      </c>
      <c r="AD78" s="243">
        <f t="shared" si="44"/>
        <v>0</v>
      </c>
      <c r="AE78" s="243">
        <f t="shared" si="45"/>
        <v>0</v>
      </c>
      <c r="AF78" s="243">
        <f t="shared" si="46"/>
        <v>0</v>
      </c>
      <c r="AG78" s="243">
        <f t="shared" si="47"/>
        <v>0</v>
      </c>
      <c r="AH78" s="243">
        <f t="shared" si="48"/>
        <v>0</v>
      </c>
      <c r="AI78" s="232" t="s">
        <v>598</v>
      </c>
      <c r="AJ78" s="243">
        <f t="shared" si="49"/>
        <v>0</v>
      </c>
      <c r="AK78" s="243">
        <f t="shared" si="50"/>
        <v>0</v>
      </c>
      <c r="AL78" s="243">
        <f t="shared" si="51"/>
        <v>0</v>
      </c>
      <c r="AN78" s="243">
        <v>21</v>
      </c>
      <c r="AO78" s="243">
        <f>H78*0.737637795275591</f>
        <v>0</v>
      </c>
      <c r="AP78" s="243">
        <f>H78*(1-0.737637795275591)</f>
        <v>0</v>
      </c>
      <c r="AQ78" s="245" t="s">
        <v>567</v>
      </c>
      <c r="AV78" s="243">
        <f t="shared" si="52"/>
        <v>0</v>
      </c>
      <c r="AW78" s="243">
        <f t="shared" si="53"/>
        <v>0</v>
      </c>
      <c r="AX78" s="243">
        <f t="shared" si="54"/>
        <v>0</v>
      </c>
      <c r="AY78" s="245" t="s">
        <v>610</v>
      </c>
      <c r="AZ78" s="245" t="s">
        <v>611</v>
      </c>
      <c r="BA78" s="232" t="s">
        <v>601</v>
      </c>
      <c r="BC78" s="243">
        <f t="shared" si="55"/>
        <v>0</v>
      </c>
      <c r="BD78" s="243">
        <f t="shared" si="56"/>
        <v>0</v>
      </c>
      <c r="BE78" s="243">
        <v>0</v>
      </c>
      <c r="BF78" s="243">
        <f>78</f>
        <v>78</v>
      </c>
      <c r="BH78" s="243">
        <f t="shared" si="57"/>
        <v>0</v>
      </c>
      <c r="BI78" s="243">
        <f t="shared" si="58"/>
        <v>0</v>
      </c>
      <c r="BJ78" s="243">
        <f t="shared" si="59"/>
        <v>0</v>
      </c>
      <c r="BK78" s="243"/>
      <c r="BL78" s="243">
        <v>722</v>
      </c>
      <c r="BW78" s="243">
        <v>21</v>
      </c>
    </row>
    <row r="79" spans="1:75" ht="13.5" customHeight="1">
      <c r="A79" s="207" t="s">
        <v>626</v>
      </c>
      <c r="B79" s="208" t="s">
        <v>598</v>
      </c>
      <c r="C79" s="208" t="s">
        <v>162</v>
      </c>
      <c r="D79" s="268" t="s">
        <v>1326</v>
      </c>
      <c r="E79" s="260"/>
      <c r="F79" s="208" t="s">
        <v>68</v>
      </c>
      <c r="G79" s="243">
        <v>1</v>
      </c>
      <c r="H79" s="244">
        <v>0</v>
      </c>
      <c r="I79" s="244">
        <f t="shared" si="40"/>
        <v>0</v>
      </c>
      <c r="K79" s="231"/>
      <c r="Z79" s="243">
        <f t="shared" si="41"/>
        <v>0</v>
      </c>
      <c r="AB79" s="243">
        <f t="shared" si="42"/>
        <v>0</v>
      </c>
      <c r="AC79" s="243">
        <f t="shared" si="43"/>
        <v>0</v>
      </c>
      <c r="AD79" s="243">
        <f t="shared" si="44"/>
        <v>0</v>
      </c>
      <c r="AE79" s="243">
        <f t="shared" si="45"/>
        <v>0</v>
      </c>
      <c r="AF79" s="243">
        <f t="shared" si="46"/>
        <v>0</v>
      </c>
      <c r="AG79" s="243">
        <f t="shared" si="47"/>
        <v>0</v>
      </c>
      <c r="AH79" s="243">
        <f t="shared" si="48"/>
        <v>0</v>
      </c>
      <c r="AI79" s="232" t="s">
        <v>598</v>
      </c>
      <c r="AJ79" s="243">
        <f t="shared" si="49"/>
        <v>0</v>
      </c>
      <c r="AK79" s="243">
        <f t="shared" si="50"/>
        <v>0</v>
      </c>
      <c r="AL79" s="243">
        <f t="shared" si="51"/>
        <v>0</v>
      </c>
      <c r="AN79" s="243">
        <v>21</v>
      </c>
      <c r="AO79" s="243">
        <f>H79*0.893113342898135</f>
        <v>0</v>
      </c>
      <c r="AP79" s="243">
        <f>H79*(1-0.893113342898135)</f>
        <v>0</v>
      </c>
      <c r="AQ79" s="245" t="s">
        <v>567</v>
      </c>
      <c r="AV79" s="243">
        <f t="shared" si="52"/>
        <v>0</v>
      </c>
      <c r="AW79" s="243">
        <f t="shared" si="53"/>
        <v>0</v>
      </c>
      <c r="AX79" s="243">
        <f t="shared" si="54"/>
        <v>0</v>
      </c>
      <c r="AY79" s="245" t="s">
        <v>610</v>
      </c>
      <c r="AZ79" s="245" t="s">
        <v>611</v>
      </c>
      <c r="BA79" s="232" t="s">
        <v>601</v>
      </c>
      <c r="BC79" s="243">
        <f t="shared" si="55"/>
        <v>0</v>
      </c>
      <c r="BD79" s="243">
        <f t="shared" si="56"/>
        <v>0</v>
      </c>
      <c r="BE79" s="243">
        <v>0</v>
      </c>
      <c r="BF79" s="243">
        <f>79</f>
        <v>79</v>
      </c>
      <c r="BH79" s="243">
        <f t="shared" si="57"/>
        <v>0</v>
      </c>
      <c r="BI79" s="243">
        <f t="shared" si="58"/>
        <v>0</v>
      </c>
      <c r="BJ79" s="243">
        <f t="shared" si="59"/>
        <v>0</v>
      </c>
      <c r="BK79" s="243"/>
      <c r="BL79" s="243">
        <v>722</v>
      </c>
      <c r="BW79" s="243">
        <v>21</v>
      </c>
    </row>
    <row r="80" spans="1:75" ht="13.5" customHeight="1">
      <c r="A80" s="207" t="s">
        <v>627</v>
      </c>
      <c r="B80" s="208" t="s">
        <v>598</v>
      </c>
      <c r="C80" s="208" t="s">
        <v>164</v>
      </c>
      <c r="D80" s="268" t="s">
        <v>1327</v>
      </c>
      <c r="E80" s="260"/>
      <c r="F80" s="208" t="s">
        <v>68</v>
      </c>
      <c r="G80" s="243">
        <v>2</v>
      </c>
      <c r="H80" s="244">
        <v>0</v>
      </c>
      <c r="I80" s="244">
        <f t="shared" si="40"/>
        <v>0</v>
      </c>
      <c r="K80" s="231"/>
      <c r="Z80" s="243">
        <f t="shared" si="41"/>
        <v>0</v>
      </c>
      <c r="AB80" s="243">
        <f t="shared" si="42"/>
        <v>0</v>
      </c>
      <c r="AC80" s="243">
        <f t="shared" si="43"/>
        <v>0</v>
      </c>
      <c r="AD80" s="243">
        <f t="shared" si="44"/>
        <v>0</v>
      </c>
      <c r="AE80" s="243">
        <f t="shared" si="45"/>
        <v>0</v>
      </c>
      <c r="AF80" s="243">
        <f t="shared" si="46"/>
        <v>0</v>
      </c>
      <c r="AG80" s="243">
        <f t="shared" si="47"/>
        <v>0</v>
      </c>
      <c r="AH80" s="243">
        <f t="shared" si="48"/>
        <v>0</v>
      </c>
      <c r="AI80" s="232" t="s">
        <v>598</v>
      </c>
      <c r="AJ80" s="243">
        <f t="shared" si="49"/>
        <v>0</v>
      </c>
      <c r="AK80" s="243">
        <f t="shared" si="50"/>
        <v>0</v>
      </c>
      <c r="AL80" s="243">
        <f t="shared" si="51"/>
        <v>0</v>
      </c>
      <c r="AN80" s="243">
        <v>21</v>
      </c>
      <c r="AO80" s="243">
        <f>H80*0.679597014925373</f>
        <v>0</v>
      </c>
      <c r="AP80" s="243">
        <f>H80*(1-0.679597014925373)</f>
        <v>0</v>
      </c>
      <c r="AQ80" s="245" t="s">
        <v>567</v>
      </c>
      <c r="AV80" s="243">
        <f t="shared" si="52"/>
        <v>0</v>
      </c>
      <c r="AW80" s="243">
        <f t="shared" si="53"/>
        <v>0</v>
      </c>
      <c r="AX80" s="243">
        <f t="shared" si="54"/>
        <v>0</v>
      </c>
      <c r="AY80" s="245" t="s">
        <v>610</v>
      </c>
      <c r="AZ80" s="245" t="s">
        <v>611</v>
      </c>
      <c r="BA80" s="232" t="s">
        <v>601</v>
      </c>
      <c r="BC80" s="243">
        <f t="shared" si="55"/>
        <v>0</v>
      </c>
      <c r="BD80" s="243">
        <f t="shared" si="56"/>
        <v>0</v>
      </c>
      <c r="BE80" s="243">
        <v>0</v>
      </c>
      <c r="BF80" s="243">
        <f>80</f>
        <v>80</v>
      </c>
      <c r="BH80" s="243">
        <f t="shared" si="57"/>
        <v>0</v>
      </c>
      <c r="BI80" s="243">
        <f t="shared" si="58"/>
        <v>0</v>
      </c>
      <c r="BJ80" s="243">
        <f t="shared" si="59"/>
        <v>0</v>
      </c>
      <c r="BK80" s="243"/>
      <c r="BL80" s="243">
        <v>722</v>
      </c>
      <c r="BW80" s="243">
        <v>21</v>
      </c>
    </row>
    <row r="81" spans="1:75" ht="13.5" customHeight="1">
      <c r="A81" s="207" t="s">
        <v>628</v>
      </c>
      <c r="B81" s="208" t="s">
        <v>598</v>
      </c>
      <c r="C81" s="208" t="s">
        <v>166</v>
      </c>
      <c r="D81" s="268" t="s">
        <v>167</v>
      </c>
      <c r="E81" s="260"/>
      <c r="F81" s="208" t="s">
        <v>68</v>
      </c>
      <c r="G81" s="243">
        <v>1</v>
      </c>
      <c r="H81" s="244">
        <v>0</v>
      </c>
      <c r="I81" s="244">
        <f t="shared" si="40"/>
        <v>0</v>
      </c>
      <c r="K81" s="231"/>
      <c r="Z81" s="243">
        <f t="shared" si="41"/>
        <v>0</v>
      </c>
      <c r="AB81" s="243">
        <f t="shared" si="42"/>
        <v>0</v>
      </c>
      <c r="AC81" s="243">
        <f t="shared" si="43"/>
        <v>0</v>
      </c>
      <c r="AD81" s="243">
        <f t="shared" si="44"/>
        <v>0</v>
      </c>
      <c r="AE81" s="243">
        <f t="shared" si="45"/>
        <v>0</v>
      </c>
      <c r="AF81" s="243">
        <f t="shared" si="46"/>
        <v>0</v>
      </c>
      <c r="AG81" s="243">
        <f t="shared" si="47"/>
        <v>0</v>
      </c>
      <c r="AH81" s="243">
        <f t="shared" si="48"/>
        <v>0</v>
      </c>
      <c r="AI81" s="232" t="s">
        <v>598</v>
      </c>
      <c r="AJ81" s="243">
        <f t="shared" si="49"/>
        <v>0</v>
      </c>
      <c r="AK81" s="243">
        <f t="shared" si="50"/>
        <v>0</v>
      </c>
      <c r="AL81" s="243">
        <f t="shared" si="51"/>
        <v>0</v>
      </c>
      <c r="AN81" s="243">
        <v>21</v>
      </c>
      <c r="AO81" s="243">
        <f>H81*0.959786206896552</f>
        <v>0</v>
      </c>
      <c r="AP81" s="243">
        <f>H81*(1-0.959786206896552)</f>
        <v>0</v>
      </c>
      <c r="AQ81" s="245" t="s">
        <v>567</v>
      </c>
      <c r="AV81" s="243">
        <f t="shared" si="52"/>
        <v>0</v>
      </c>
      <c r="AW81" s="243">
        <f t="shared" si="53"/>
        <v>0</v>
      </c>
      <c r="AX81" s="243">
        <f t="shared" si="54"/>
        <v>0</v>
      </c>
      <c r="AY81" s="245" t="s">
        <v>610</v>
      </c>
      <c r="AZ81" s="245" t="s">
        <v>611</v>
      </c>
      <c r="BA81" s="232" t="s">
        <v>601</v>
      </c>
      <c r="BC81" s="243">
        <f t="shared" si="55"/>
        <v>0</v>
      </c>
      <c r="BD81" s="243">
        <f t="shared" si="56"/>
        <v>0</v>
      </c>
      <c r="BE81" s="243">
        <v>0</v>
      </c>
      <c r="BF81" s="243">
        <f>81</f>
        <v>81</v>
      </c>
      <c r="BH81" s="243">
        <f t="shared" si="57"/>
        <v>0</v>
      </c>
      <c r="BI81" s="243">
        <f t="shared" si="58"/>
        <v>0</v>
      </c>
      <c r="BJ81" s="243">
        <f t="shared" si="59"/>
        <v>0</v>
      </c>
      <c r="BK81" s="243"/>
      <c r="BL81" s="243">
        <v>722</v>
      </c>
      <c r="BW81" s="243">
        <v>21</v>
      </c>
    </row>
    <row r="82" spans="1:75" ht="13.5" customHeight="1">
      <c r="A82" s="207" t="s">
        <v>629</v>
      </c>
      <c r="B82" s="208" t="s">
        <v>598</v>
      </c>
      <c r="C82" s="208" t="s">
        <v>168</v>
      </c>
      <c r="D82" s="268" t="s">
        <v>169</v>
      </c>
      <c r="E82" s="260"/>
      <c r="F82" s="208" t="s">
        <v>68</v>
      </c>
      <c r="G82" s="243">
        <v>1</v>
      </c>
      <c r="H82" s="244">
        <v>0</v>
      </c>
      <c r="I82" s="244">
        <f t="shared" si="40"/>
        <v>0</v>
      </c>
      <c r="K82" s="231"/>
      <c r="Z82" s="243">
        <f t="shared" si="41"/>
        <v>0</v>
      </c>
      <c r="AB82" s="243">
        <f t="shared" si="42"/>
        <v>0</v>
      </c>
      <c r="AC82" s="243">
        <f t="shared" si="43"/>
        <v>0</v>
      </c>
      <c r="AD82" s="243">
        <f t="shared" si="44"/>
        <v>0</v>
      </c>
      <c r="AE82" s="243">
        <f t="shared" si="45"/>
        <v>0</v>
      </c>
      <c r="AF82" s="243">
        <f t="shared" si="46"/>
        <v>0</v>
      </c>
      <c r="AG82" s="243">
        <f t="shared" si="47"/>
        <v>0</v>
      </c>
      <c r="AH82" s="243">
        <f t="shared" si="48"/>
        <v>0</v>
      </c>
      <c r="AI82" s="232" t="s">
        <v>598</v>
      </c>
      <c r="AJ82" s="243">
        <f t="shared" si="49"/>
        <v>0</v>
      </c>
      <c r="AK82" s="243">
        <f t="shared" si="50"/>
        <v>0</v>
      </c>
      <c r="AL82" s="243">
        <f t="shared" si="51"/>
        <v>0</v>
      </c>
      <c r="AN82" s="243">
        <v>21</v>
      </c>
      <c r="AO82" s="243">
        <f>H82*0.867256637168142</f>
        <v>0</v>
      </c>
      <c r="AP82" s="243">
        <f>H82*(1-0.867256637168142)</f>
        <v>0</v>
      </c>
      <c r="AQ82" s="245" t="s">
        <v>567</v>
      </c>
      <c r="AV82" s="243">
        <f t="shared" si="52"/>
        <v>0</v>
      </c>
      <c r="AW82" s="243">
        <f t="shared" si="53"/>
        <v>0</v>
      </c>
      <c r="AX82" s="243">
        <f t="shared" si="54"/>
        <v>0</v>
      </c>
      <c r="AY82" s="245" t="s">
        <v>610</v>
      </c>
      <c r="AZ82" s="245" t="s">
        <v>611</v>
      </c>
      <c r="BA82" s="232" t="s">
        <v>601</v>
      </c>
      <c r="BC82" s="243">
        <f t="shared" si="55"/>
        <v>0</v>
      </c>
      <c r="BD82" s="243">
        <f t="shared" si="56"/>
        <v>0</v>
      </c>
      <c r="BE82" s="243">
        <v>0</v>
      </c>
      <c r="BF82" s="243">
        <f>82</f>
        <v>82</v>
      </c>
      <c r="BH82" s="243">
        <f t="shared" si="57"/>
        <v>0</v>
      </c>
      <c r="BI82" s="243">
        <f t="shared" si="58"/>
        <v>0</v>
      </c>
      <c r="BJ82" s="243">
        <f t="shared" si="59"/>
        <v>0</v>
      </c>
      <c r="BK82" s="243"/>
      <c r="BL82" s="243">
        <v>722</v>
      </c>
      <c r="BW82" s="243">
        <v>21</v>
      </c>
    </row>
    <row r="83" spans="1:75" ht="13.5" customHeight="1">
      <c r="A83" s="207" t="s">
        <v>630</v>
      </c>
      <c r="B83" s="208" t="s">
        <v>598</v>
      </c>
      <c r="C83" s="208" t="s">
        <v>170</v>
      </c>
      <c r="D83" s="268" t="s">
        <v>171</v>
      </c>
      <c r="E83" s="260"/>
      <c r="F83" s="208" t="s">
        <v>58</v>
      </c>
      <c r="G83" s="243">
        <v>1</v>
      </c>
      <c r="H83" s="244">
        <v>0</v>
      </c>
      <c r="I83" s="244">
        <f t="shared" si="40"/>
        <v>0</v>
      </c>
      <c r="K83" s="231"/>
      <c r="Z83" s="243">
        <f t="shared" si="41"/>
        <v>0</v>
      </c>
      <c r="AB83" s="243">
        <f t="shared" si="42"/>
        <v>0</v>
      </c>
      <c r="AC83" s="243">
        <f t="shared" si="43"/>
        <v>0</v>
      </c>
      <c r="AD83" s="243">
        <f t="shared" si="44"/>
        <v>0</v>
      </c>
      <c r="AE83" s="243">
        <f t="shared" si="45"/>
        <v>0</v>
      </c>
      <c r="AF83" s="243">
        <f t="shared" si="46"/>
        <v>0</v>
      </c>
      <c r="AG83" s="243">
        <f t="shared" si="47"/>
        <v>0</v>
      </c>
      <c r="AH83" s="243">
        <f t="shared" si="48"/>
        <v>0</v>
      </c>
      <c r="AI83" s="232" t="s">
        <v>598</v>
      </c>
      <c r="AJ83" s="243">
        <f t="shared" si="49"/>
        <v>0</v>
      </c>
      <c r="AK83" s="243">
        <f t="shared" si="50"/>
        <v>0</v>
      </c>
      <c r="AL83" s="243">
        <f t="shared" si="51"/>
        <v>0</v>
      </c>
      <c r="AN83" s="243">
        <v>21</v>
      </c>
      <c r="AO83" s="243">
        <f>H83*0.536677631578947</f>
        <v>0</v>
      </c>
      <c r="AP83" s="243">
        <f>H83*(1-0.536677631578947)</f>
        <v>0</v>
      </c>
      <c r="AQ83" s="245" t="s">
        <v>567</v>
      </c>
      <c r="AV83" s="243">
        <f t="shared" si="52"/>
        <v>0</v>
      </c>
      <c r="AW83" s="243">
        <f t="shared" si="53"/>
        <v>0</v>
      </c>
      <c r="AX83" s="243">
        <f t="shared" si="54"/>
        <v>0</v>
      </c>
      <c r="AY83" s="245" t="s">
        <v>610</v>
      </c>
      <c r="AZ83" s="245" t="s">
        <v>611</v>
      </c>
      <c r="BA83" s="232" t="s">
        <v>601</v>
      </c>
      <c r="BC83" s="243">
        <f t="shared" si="55"/>
        <v>0</v>
      </c>
      <c r="BD83" s="243">
        <f t="shared" si="56"/>
        <v>0</v>
      </c>
      <c r="BE83" s="243">
        <v>0</v>
      </c>
      <c r="BF83" s="243">
        <f>83</f>
        <v>83</v>
      </c>
      <c r="BH83" s="243">
        <f t="shared" si="57"/>
        <v>0</v>
      </c>
      <c r="BI83" s="243">
        <f t="shared" si="58"/>
        <v>0</v>
      </c>
      <c r="BJ83" s="243">
        <f t="shared" si="59"/>
        <v>0</v>
      </c>
      <c r="BK83" s="243"/>
      <c r="BL83" s="243">
        <v>722</v>
      </c>
      <c r="BW83" s="243">
        <v>21</v>
      </c>
    </row>
    <row r="84" spans="1:75" ht="13.5" customHeight="1">
      <c r="A84" s="207" t="s">
        <v>631</v>
      </c>
      <c r="B84" s="208" t="s">
        <v>598</v>
      </c>
      <c r="C84" s="208" t="s">
        <v>172</v>
      </c>
      <c r="D84" s="268" t="s">
        <v>1328</v>
      </c>
      <c r="E84" s="260"/>
      <c r="F84" s="208" t="s">
        <v>68</v>
      </c>
      <c r="G84" s="243">
        <v>1</v>
      </c>
      <c r="H84" s="244">
        <v>0</v>
      </c>
      <c r="I84" s="244">
        <f t="shared" si="40"/>
        <v>0</v>
      </c>
      <c r="K84" s="231"/>
      <c r="Z84" s="243">
        <f t="shared" si="41"/>
        <v>0</v>
      </c>
      <c r="AB84" s="243">
        <f t="shared" si="42"/>
        <v>0</v>
      </c>
      <c r="AC84" s="243">
        <f t="shared" si="43"/>
        <v>0</v>
      </c>
      <c r="AD84" s="243">
        <f t="shared" si="44"/>
        <v>0</v>
      </c>
      <c r="AE84" s="243">
        <f t="shared" si="45"/>
        <v>0</v>
      </c>
      <c r="AF84" s="243">
        <f t="shared" si="46"/>
        <v>0</v>
      </c>
      <c r="AG84" s="243">
        <f t="shared" si="47"/>
        <v>0</v>
      </c>
      <c r="AH84" s="243">
        <f t="shared" si="48"/>
        <v>0</v>
      </c>
      <c r="AI84" s="232" t="s">
        <v>598</v>
      </c>
      <c r="AJ84" s="243">
        <f t="shared" si="49"/>
        <v>0</v>
      </c>
      <c r="AK84" s="243">
        <f t="shared" si="50"/>
        <v>0</v>
      </c>
      <c r="AL84" s="243">
        <f t="shared" si="51"/>
        <v>0</v>
      </c>
      <c r="AN84" s="243">
        <v>21</v>
      </c>
      <c r="AO84" s="243">
        <f>H84*1</f>
        <v>0</v>
      </c>
      <c r="AP84" s="243">
        <f>H84*(1-1)</f>
        <v>0</v>
      </c>
      <c r="AQ84" s="245" t="s">
        <v>567</v>
      </c>
      <c r="AV84" s="243">
        <f t="shared" si="52"/>
        <v>0</v>
      </c>
      <c r="AW84" s="243">
        <f t="shared" si="53"/>
        <v>0</v>
      </c>
      <c r="AX84" s="243">
        <f t="shared" si="54"/>
        <v>0</v>
      </c>
      <c r="AY84" s="245" t="s">
        <v>610</v>
      </c>
      <c r="AZ84" s="245" t="s">
        <v>611</v>
      </c>
      <c r="BA84" s="232" t="s">
        <v>601</v>
      </c>
      <c r="BC84" s="243">
        <f t="shared" si="55"/>
        <v>0</v>
      </c>
      <c r="BD84" s="243">
        <f t="shared" si="56"/>
        <v>0</v>
      </c>
      <c r="BE84" s="243">
        <v>0</v>
      </c>
      <c r="BF84" s="243">
        <f>84</f>
        <v>84</v>
      </c>
      <c r="BH84" s="243">
        <f t="shared" si="57"/>
        <v>0</v>
      </c>
      <c r="BI84" s="243">
        <f t="shared" si="58"/>
        <v>0</v>
      </c>
      <c r="BJ84" s="243">
        <f t="shared" si="59"/>
        <v>0</v>
      </c>
      <c r="BK84" s="243"/>
      <c r="BL84" s="243">
        <v>722</v>
      </c>
      <c r="BW84" s="243">
        <v>21</v>
      </c>
    </row>
    <row r="85" spans="1:75" ht="15" customHeight="1">
      <c r="A85" s="238" t="s">
        <v>21</v>
      </c>
      <c r="B85" s="239" t="s">
        <v>598</v>
      </c>
      <c r="C85" s="239" t="s">
        <v>175</v>
      </c>
      <c r="D85" s="309" t="s">
        <v>176</v>
      </c>
      <c r="E85" s="310"/>
      <c r="F85" s="240" t="s">
        <v>20</v>
      </c>
      <c r="G85" s="240" t="s">
        <v>20</v>
      </c>
      <c r="H85" s="241" t="s">
        <v>20</v>
      </c>
      <c r="I85" s="242">
        <f>SUM(I86:I86)</f>
        <v>0</v>
      </c>
      <c r="K85" s="231"/>
      <c r="AI85" s="232" t="s">
        <v>598</v>
      </c>
      <c r="AS85" s="225">
        <f>SUM(AJ86:AJ86)</f>
        <v>0</v>
      </c>
      <c r="AT85" s="225">
        <f>SUM(AK86:AK86)</f>
        <v>0</v>
      </c>
      <c r="AU85" s="225">
        <f>SUM(AL86:AL86)</f>
        <v>0</v>
      </c>
    </row>
    <row r="86" spans="1:75" ht="13.5" customHeight="1">
      <c r="A86" s="207" t="s">
        <v>632</v>
      </c>
      <c r="B86" s="208" t="s">
        <v>598</v>
      </c>
      <c r="C86" s="208" t="s">
        <v>177</v>
      </c>
      <c r="D86" s="268" t="s">
        <v>1329</v>
      </c>
      <c r="E86" s="260"/>
      <c r="F86" s="208" t="s">
        <v>58</v>
      </c>
      <c r="G86" s="243">
        <v>1</v>
      </c>
      <c r="H86" s="244">
        <v>0</v>
      </c>
      <c r="I86" s="244">
        <f>G86*H86</f>
        <v>0</v>
      </c>
      <c r="K86" s="231"/>
      <c r="Z86" s="243">
        <f>IF(AQ86="5",BJ86,0)</f>
        <v>0</v>
      </c>
      <c r="AB86" s="243">
        <f>IF(AQ86="1",BH86,0)</f>
        <v>0</v>
      </c>
      <c r="AC86" s="243">
        <f>IF(AQ86="1",BI86,0)</f>
        <v>0</v>
      </c>
      <c r="AD86" s="243">
        <f>IF(AQ86="7",BH86,0)</f>
        <v>0</v>
      </c>
      <c r="AE86" s="243">
        <f>IF(AQ86="7",BI86,0)</f>
        <v>0</v>
      </c>
      <c r="AF86" s="243">
        <f>IF(AQ86="2",BH86,0)</f>
        <v>0</v>
      </c>
      <c r="AG86" s="243">
        <f>IF(AQ86="2",BI86,0)</f>
        <v>0</v>
      </c>
      <c r="AH86" s="243">
        <f>IF(AQ86="0",BJ86,0)</f>
        <v>0</v>
      </c>
      <c r="AI86" s="232" t="s">
        <v>598</v>
      </c>
      <c r="AJ86" s="243">
        <f>IF(AN86=0,I86,0)</f>
        <v>0</v>
      </c>
      <c r="AK86" s="243">
        <f>IF(AN86=12,I86,0)</f>
        <v>0</v>
      </c>
      <c r="AL86" s="243">
        <f>IF(AN86=21,I86,0)</f>
        <v>0</v>
      </c>
      <c r="AN86" s="243">
        <v>21</v>
      </c>
      <c r="AO86" s="243">
        <f>H86*0.903662177840775</f>
        <v>0</v>
      </c>
      <c r="AP86" s="243">
        <f>H86*(1-0.903662177840775)</f>
        <v>0</v>
      </c>
      <c r="AQ86" s="245" t="s">
        <v>567</v>
      </c>
      <c r="AV86" s="243">
        <f>AW86+AX86</f>
        <v>0</v>
      </c>
      <c r="AW86" s="243">
        <f>G86*AO86</f>
        <v>0</v>
      </c>
      <c r="AX86" s="243">
        <f>G86*AP86</f>
        <v>0</v>
      </c>
      <c r="AY86" s="245" t="s">
        <v>633</v>
      </c>
      <c r="AZ86" s="245" t="s">
        <v>611</v>
      </c>
      <c r="BA86" s="232" t="s">
        <v>601</v>
      </c>
      <c r="BC86" s="243">
        <f>AW86+AX86</f>
        <v>0</v>
      </c>
      <c r="BD86" s="243">
        <f>H86/(100-BE86)*100</f>
        <v>0</v>
      </c>
      <c r="BE86" s="243">
        <v>0</v>
      </c>
      <c r="BF86" s="243">
        <f>86</f>
        <v>86</v>
      </c>
      <c r="BH86" s="243">
        <f>G86*AO86</f>
        <v>0</v>
      </c>
      <c r="BI86" s="243">
        <f>G86*AP86</f>
        <v>0</v>
      </c>
      <c r="BJ86" s="243">
        <f>G86*H86</f>
        <v>0</v>
      </c>
      <c r="BK86" s="243"/>
      <c r="BL86" s="243">
        <v>725</v>
      </c>
      <c r="BW86" s="243">
        <v>21</v>
      </c>
    </row>
    <row r="87" spans="1:75" ht="15" customHeight="1">
      <c r="A87" s="238" t="s">
        <v>21</v>
      </c>
      <c r="B87" s="239" t="s">
        <v>598</v>
      </c>
      <c r="C87" s="239" t="s">
        <v>64</v>
      </c>
      <c r="D87" s="309" t="s">
        <v>65</v>
      </c>
      <c r="E87" s="310"/>
      <c r="F87" s="240" t="s">
        <v>20</v>
      </c>
      <c r="G87" s="240" t="s">
        <v>20</v>
      </c>
      <c r="H87" s="241" t="s">
        <v>20</v>
      </c>
      <c r="I87" s="242">
        <f>SUM(I88:I89)</f>
        <v>0</v>
      </c>
      <c r="K87" s="231"/>
      <c r="AI87" s="232" t="s">
        <v>598</v>
      </c>
      <c r="AS87" s="225">
        <f>SUM(AJ88:AJ89)</f>
        <v>0</v>
      </c>
      <c r="AT87" s="225">
        <f>SUM(AK88:AK89)</f>
        <v>0</v>
      </c>
      <c r="AU87" s="225">
        <f>SUM(AL88:AL89)</f>
        <v>0</v>
      </c>
    </row>
    <row r="88" spans="1:75" ht="13.5" customHeight="1">
      <c r="A88" s="207" t="s">
        <v>634</v>
      </c>
      <c r="B88" s="208" t="s">
        <v>598</v>
      </c>
      <c r="C88" s="208" t="s">
        <v>179</v>
      </c>
      <c r="D88" s="268" t="s">
        <v>1330</v>
      </c>
      <c r="E88" s="260"/>
      <c r="F88" s="208" t="s">
        <v>21</v>
      </c>
      <c r="G88" s="243">
        <v>1</v>
      </c>
      <c r="H88" s="244">
        <v>0</v>
      </c>
      <c r="I88" s="244">
        <f>G88*H88</f>
        <v>0</v>
      </c>
      <c r="K88" s="231"/>
      <c r="Z88" s="243">
        <f>IF(AQ88="5",BJ88,0)</f>
        <v>0</v>
      </c>
      <c r="AB88" s="243">
        <f>IF(AQ88="1",BH88,0)</f>
        <v>0</v>
      </c>
      <c r="AC88" s="243">
        <f>IF(AQ88="1",BI88,0)</f>
        <v>0</v>
      </c>
      <c r="AD88" s="243">
        <f>IF(AQ88="7",BH88,0)</f>
        <v>0</v>
      </c>
      <c r="AE88" s="243">
        <f>IF(AQ88="7",BI88,0)</f>
        <v>0</v>
      </c>
      <c r="AF88" s="243">
        <f>IF(AQ88="2",BH88,0)</f>
        <v>0</v>
      </c>
      <c r="AG88" s="243">
        <f>IF(AQ88="2",BI88,0)</f>
        <v>0</v>
      </c>
      <c r="AH88" s="243">
        <f>IF(AQ88="0",BJ88,0)</f>
        <v>0</v>
      </c>
      <c r="AI88" s="232" t="s">
        <v>598</v>
      </c>
      <c r="AJ88" s="243">
        <f>IF(AN88=0,I88,0)</f>
        <v>0</v>
      </c>
      <c r="AK88" s="243">
        <f>IF(AN88=12,I88,0)</f>
        <v>0</v>
      </c>
      <c r="AL88" s="243">
        <f>IF(AN88=21,I88,0)</f>
        <v>0</v>
      </c>
      <c r="AN88" s="243">
        <v>21</v>
      </c>
      <c r="AO88" s="243">
        <f>H88*0.979850316637881</f>
        <v>0</v>
      </c>
      <c r="AP88" s="243">
        <f>H88*(1-0.979850316637881)</f>
        <v>0</v>
      </c>
      <c r="AQ88" s="245" t="s">
        <v>567</v>
      </c>
      <c r="AV88" s="243">
        <f>AW88+AX88</f>
        <v>0</v>
      </c>
      <c r="AW88" s="243">
        <f>G88*AO88</f>
        <v>0</v>
      </c>
      <c r="AX88" s="243">
        <f>G88*AP88</f>
        <v>0</v>
      </c>
      <c r="AY88" s="245" t="s">
        <v>580</v>
      </c>
      <c r="AZ88" s="245" t="s">
        <v>635</v>
      </c>
      <c r="BA88" s="232" t="s">
        <v>601</v>
      </c>
      <c r="BC88" s="243">
        <f>AW88+AX88</f>
        <v>0</v>
      </c>
      <c r="BD88" s="243">
        <f>H88/(100-BE88)*100</f>
        <v>0</v>
      </c>
      <c r="BE88" s="243">
        <v>0</v>
      </c>
      <c r="BF88" s="243">
        <f>88</f>
        <v>88</v>
      </c>
      <c r="BH88" s="243">
        <f>G88*AO88</f>
        <v>0</v>
      </c>
      <c r="BI88" s="243">
        <f>G88*AP88</f>
        <v>0</v>
      </c>
      <c r="BJ88" s="243">
        <f>G88*H88</f>
        <v>0</v>
      </c>
      <c r="BK88" s="243"/>
      <c r="BL88" s="243">
        <v>732</v>
      </c>
      <c r="BW88" s="243">
        <v>21</v>
      </c>
    </row>
    <row r="89" spans="1:75" ht="13.5" customHeight="1">
      <c r="A89" s="207" t="s">
        <v>282</v>
      </c>
      <c r="B89" s="208" t="s">
        <v>598</v>
      </c>
      <c r="C89" s="208" t="s">
        <v>181</v>
      </c>
      <c r="D89" s="268" t="s">
        <v>1331</v>
      </c>
      <c r="E89" s="260"/>
      <c r="F89" s="208" t="s">
        <v>58</v>
      </c>
      <c r="G89" s="243">
        <v>1</v>
      </c>
      <c r="H89" s="244">
        <v>0</v>
      </c>
      <c r="I89" s="244">
        <f>G89*H89</f>
        <v>0</v>
      </c>
      <c r="K89" s="231"/>
      <c r="Z89" s="243">
        <f>IF(AQ89="5",BJ89,0)</f>
        <v>0</v>
      </c>
      <c r="AB89" s="243">
        <f>IF(AQ89="1",BH89,0)</f>
        <v>0</v>
      </c>
      <c r="AC89" s="243">
        <f>IF(AQ89="1",BI89,0)</f>
        <v>0</v>
      </c>
      <c r="AD89" s="243">
        <f>IF(AQ89="7",BH89,0)</f>
        <v>0</v>
      </c>
      <c r="AE89" s="243">
        <f>IF(AQ89="7",BI89,0)</f>
        <v>0</v>
      </c>
      <c r="AF89" s="243">
        <f>IF(AQ89="2",BH89,0)</f>
        <v>0</v>
      </c>
      <c r="AG89" s="243">
        <f>IF(AQ89="2",BI89,0)</f>
        <v>0</v>
      </c>
      <c r="AH89" s="243">
        <f>IF(AQ89="0",BJ89,0)</f>
        <v>0</v>
      </c>
      <c r="AI89" s="232" t="s">
        <v>598</v>
      </c>
      <c r="AJ89" s="243">
        <f>IF(AN89=0,I89,0)</f>
        <v>0</v>
      </c>
      <c r="AK89" s="243">
        <f>IF(AN89=12,I89,0)</f>
        <v>0</v>
      </c>
      <c r="AL89" s="243">
        <f>IF(AN89=21,I89,0)</f>
        <v>0</v>
      </c>
      <c r="AN89" s="243">
        <v>21</v>
      </c>
      <c r="AO89" s="243">
        <f>H89*0.967563106796116</f>
        <v>0</v>
      </c>
      <c r="AP89" s="243">
        <f>H89*(1-0.967563106796116)</f>
        <v>0</v>
      </c>
      <c r="AQ89" s="245" t="s">
        <v>567</v>
      </c>
      <c r="AV89" s="243">
        <f>AW89+AX89</f>
        <v>0</v>
      </c>
      <c r="AW89" s="243">
        <f>G89*AO89</f>
        <v>0</v>
      </c>
      <c r="AX89" s="243">
        <f>G89*AP89</f>
        <v>0</v>
      </c>
      <c r="AY89" s="245" t="s">
        <v>580</v>
      </c>
      <c r="AZ89" s="245" t="s">
        <v>635</v>
      </c>
      <c r="BA89" s="232" t="s">
        <v>601</v>
      </c>
      <c r="BC89" s="243">
        <f>AW89+AX89</f>
        <v>0</v>
      </c>
      <c r="BD89" s="243">
        <f>H89/(100-BE89)*100</f>
        <v>0</v>
      </c>
      <c r="BE89" s="243">
        <v>0</v>
      </c>
      <c r="BF89" s="243">
        <f>89</f>
        <v>89</v>
      </c>
      <c r="BH89" s="243">
        <f>G89*AO89</f>
        <v>0</v>
      </c>
      <c r="BI89" s="243">
        <f>G89*AP89</f>
        <v>0</v>
      </c>
      <c r="BJ89" s="243">
        <f>G89*H89</f>
        <v>0</v>
      </c>
      <c r="BK89" s="243"/>
      <c r="BL89" s="243">
        <v>732</v>
      </c>
      <c r="BW89" s="243">
        <v>21</v>
      </c>
    </row>
    <row r="90" spans="1:75" ht="15" customHeight="1">
      <c r="A90" s="238" t="s">
        <v>21</v>
      </c>
      <c r="B90" s="239" t="s">
        <v>598</v>
      </c>
      <c r="C90" s="239" t="s">
        <v>85</v>
      </c>
      <c r="D90" s="309" t="s">
        <v>86</v>
      </c>
      <c r="E90" s="310"/>
      <c r="F90" s="240" t="s">
        <v>20</v>
      </c>
      <c r="G90" s="240" t="s">
        <v>20</v>
      </c>
      <c r="H90" s="241" t="s">
        <v>20</v>
      </c>
      <c r="I90" s="242">
        <f>SUM(I91:I96)</f>
        <v>0</v>
      </c>
      <c r="K90" s="231"/>
      <c r="AI90" s="232" t="s">
        <v>598</v>
      </c>
      <c r="AS90" s="225">
        <f>SUM(AJ91:AJ96)</f>
        <v>0</v>
      </c>
      <c r="AT90" s="225">
        <f>SUM(AK91:AK96)</f>
        <v>0</v>
      </c>
      <c r="AU90" s="225">
        <f>SUM(AL91:AL96)</f>
        <v>0</v>
      </c>
    </row>
    <row r="91" spans="1:75" ht="13.5" customHeight="1">
      <c r="A91" s="207" t="s">
        <v>636</v>
      </c>
      <c r="B91" s="208" t="s">
        <v>598</v>
      </c>
      <c r="C91" s="208" t="s">
        <v>87</v>
      </c>
      <c r="D91" s="268" t="s">
        <v>88</v>
      </c>
      <c r="E91" s="260"/>
      <c r="F91" s="208" t="s">
        <v>68</v>
      </c>
      <c r="G91" s="243">
        <v>2</v>
      </c>
      <c r="H91" s="244">
        <v>0</v>
      </c>
      <c r="I91" s="244">
        <f t="shared" ref="I91:I96" si="60">G91*H91</f>
        <v>0</v>
      </c>
      <c r="K91" s="231"/>
      <c r="Z91" s="243">
        <f t="shared" ref="Z91:Z96" si="61">IF(AQ91="5",BJ91,0)</f>
        <v>0</v>
      </c>
      <c r="AB91" s="243">
        <f t="shared" ref="AB91:AB96" si="62">IF(AQ91="1",BH91,0)</f>
        <v>0</v>
      </c>
      <c r="AC91" s="243">
        <f t="shared" ref="AC91:AC96" si="63">IF(AQ91="1",BI91,0)</f>
        <v>0</v>
      </c>
      <c r="AD91" s="243">
        <f t="shared" ref="AD91:AD96" si="64">IF(AQ91="7",BH91,0)</f>
        <v>0</v>
      </c>
      <c r="AE91" s="243">
        <f t="shared" ref="AE91:AE96" si="65">IF(AQ91="7",BI91,0)</f>
        <v>0</v>
      </c>
      <c r="AF91" s="243">
        <f t="shared" ref="AF91:AF96" si="66">IF(AQ91="2",BH91,0)</f>
        <v>0</v>
      </c>
      <c r="AG91" s="243">
        <f t="shared" ref="AG91:AG96" si="67">IF(AQ91="2",BI91,0)</f>
        <v>0</v>
      </c>
      <c r="AH91" s="243">
        <f t="shared" ref="AH91:AH96" si="68">IF(AQ91="0",BJ91,0)</f>
        <v>0</v>
      </c>
      <c r="AI91" s="232" t="s">
        <v>598</v>
      </c>
      <c r="AJ91" s="243">
        <f t="shared" ref="AJ91:AJ96" si="69">IF(AN91=0,I91,0)</f>
        <v>0</v>
      </c>
      <c r="AK91" s="243">
        <f t="shared" ref="AK91:AK96" si="70">IF(AN91=12,I91,0)</f>
        <v>0</v>
      </c>
      <c r="AL91" s="243">
        <f t="shared" ref="AL91:AL96" si="71">IF(AN91=21,I91,0)</f>
        <v>0</v>
      </c>
      <c r="AN91" s="243">
        <v>21</v>
      </c>
      <c r="AO91" s="243">
        <f>H91*0.277834101382488</f>
        <v>0</v>
      </c>
      <c r="AP91" s="243">
        <f>H91*(1-0.277834101382488)</f>
        <v>0</v>
      </c>
      <c r="AQ91" s="245" t="s">
        <v>567</v>
      </c>
      <c r="AV91" s="243">
        <f t="shared" ref="AV91:AV96" si="72">AW91+AX91</f>
        <v>0</v>
      </c>
      <c r="AW91" s="243">
        <f t="shared" ref="AW91:AW96" si="73">G91*AO91</f>
        <v>0</v>
      </c>
      <c r="AX91" s="243">
        <f t="shared" ref="AX91:AX96" si="74">G91*AP91</f>
        <v>0</v>
      </c>
      <c r="AY91" s="245" t="s">
        <v>588</v>
      </c>
      <c r="AZ91" s="245" t="s">
        <v>635</v>
      </c>
      <c r="BA91" s="232" t="s">
        <v>601</v>
      </c>
      <c r="BC91" s="243">
        <f t="shared" ref="BC91:BC96" si="75">AW91+AX91</f>
        <v>0</v>
      </c>
      <c r="BD91" s="243">
        <f t="shared" ref="BD91:BD96" si="76">H91/(100-BE91)*100</f>
        <v>0</v>
      </c>
      <c r="BE91" s="243">
        <v>0</v>
      </c>
      <c r="BF91" s="243">
        <f>91</f>
        <v>91</v>
      </c>
      <c r="BH91" s="243">
        <f t="shared" ref="BH91:BH96" si="77">G91*AO91</f>
        <v>0</v>
      </c>
      <c r="BI91" s="243">
        <f t="shared" ref="BI91:BI96" si="78">G91*AP91</f>
        <v>0</v>
      </c>
      <c r="BJ91" s="243">
        <f t="shared" ref="BJ91:BJ96" si="79">G91*H91</f>
        <v>0</v>
      </c>
      <c r="BK91" s="243"/>
      <c r="BL91" s="243">
        <v>733</v>
      </c>
      <c r="BW91" s="243">
        <v>21</v>
      </c>
    </row>
    <row r="92" spans="1:75" ht="13.5" customHeight="1">
      <c r="A92" s="207" t="s">
        <v>637</v>
      </c>
      <c r="B92" s="208" t="s">
        <v>598</v>
      </c>
      <c r="C92" s="208" t="s">
        <v>183</v>
      </c>
      <c r="D92" s="268" t="s">
        <v>184</v>
      </c>
      <c r="E92" s="260"/>
      <c r="F92" s="208" t="s">
        <v>68</v>
      </c>
      <c r="G92" s="243">
        <v>6</v>
      </c>
      <c r="H92" s="244">
        <v>0</v>
      </c>
      <c r="I92" s="244">
        <f t="shared" si="60"/>
        <v>0</v>
      </c>
      <c r="K92" s="231"/>
      <c r="Z92" s="243">
        <f t="shared" si="61"/>
        <v>0</v>
      </c>
      <c r="AB92" s="243">
        <f t="shared" si="62"/>
        <v>0</v>
      </c>
      <c r="AC92" s="243">
        <f t="shared" si="63"/>
        <v>0</v>
      </c>
      <c r="AD92" s="243">
        <f t="shared" si="64"/>
        <v>0</v>
      </c>
      <c r="AE92" s="243">
        <f t="shared" si="65"/>
        <v>0</v>
      </c>
      <c r="AF92" s="243">
        <f t="shared" si="66"/>
        <v>0</v>
      </c>
      <c r="AG92" s="243">
        <f t="shared" si="67"/>
        <v>0</v>
      </c>
      <c r="AH92" s="243">
        <f t="shared" si="68"/>
        <v>0</v>
      </c>
      <c r="AI92" s="232" t="s">
        <v>598</v>
      </c>
      <c r="AJ92" s="243">
        <f t="shared" si="69"/>
        <v>0</v>
      </c>
      <c r="AK92" s="243">
        <f t="shared" si="70"/>
        <v>0</v>
      </c>
      <c r="AL92" s="243">
        <f t="shared" si="71"/>
        <v>0</v>
      </c>
      <c r="AN92" s="243">
        <v>21</v>
      </c>
      <c r="AO92" s="243">
        <f>H92*0.541785026397107</f>
        <v>0</v>
      </c>
      <c r="AP92" s="243">
        <f>H92*(1-0.541785026397107)</f>
        <v>0</v>
      </c>
      <c r="AQ92" s="245" t="s">
        <v>567</v>
      </c>
      <c r="AV92" s="243">
        <f t="shared" si="72"/>
        <v>0</v>
      </c>
      <c r="AW92" s="243">
        <f t="shared" si="73"/>
        <v>0</v>
      </c>
      <c r="AX92" s="243">
        <f t="shared" si="74"/>
        <v>0</v>
      </c>
      <c r="AY92" s="245" t="s">
        <v>588</v>
      </c>
      <c r="AZ92" s="245" t="s">
        <v>635</v>
      </c>
      <c r="BA92" s="232" t="s">
        <v>601</v>
      </c>
      <c r="BC92" s="243">
        <f t="shared" si="75"/>
        <v>0</v>
      </c>
      <c r="BD92" s="243">
        <f t="shared" si="76"/>
        <v>0</v>
      </c>
      <c r="BE92" s="243">
        <v>0</v>
      </c>
      <c r="BF92" s="243">
        <f>92</f>
        <v>92</v>
      </c>
      <c r="BH92" s="243">
        <f t="shared" si="77"/>
        <v>0</v>
      </c>
      <c r="BI92" s="243">
        <f t="shared" si="78"/>
        <v>0</v>
      </c>
      <c r="BJ92" s="243">
        <f t="shared" si="79"/>
        <v>0</v>
      </c>
      <c r="BK92" s="243"/>
      <c r="BL92" s="243">
        <v>733</v>
      </c>
      <c r="BW92" s="243">
        <v>21</v>
      </c>
    </row>
    <row r="93" spans="1:75" ht="13.5" customHeight="1">
      <c r="A93" s="207" t="s">
        <v>638</v>
      </c>
      <c r="B93" s="208" t="s">
        <v>598</v>
      </c>
      <c r="C93" s="208" t="s">
        <v>185</v>
      </c>
      <c r="D93" s="268" t="s">
        <v>186</v>
      </c>
      <c r="E93" s="260"/>
      <c r="F93" s="208" t="s">
        <v>63</v>
      </c>
      <c r="G93" s="243">
        <v>16</v>
      </c>
      <c r="H93" s="244">
        <v>0</v>
      </c>
      <c r="I93" s="244">
        <f t="shared" si="60"/>
        <v>0</v>
      </c>
      <c r="K93" s="231"/>
      <c r="Z93" s="243">
        <f t="shared" si="61"/>
        <v>0</v>
      </c>
      <c r="AB93" s="243">
        <f t="shared" si="62"/>
        <v>0</v>
      </c>
      <c r="AC93" s="243">
        <f t="shared" si="63"/>
        <v>0</v>
      </c>
      <c r="AD93" s="243">
        <f t="shared" si="64"/>
        <v>0</v>
      </c>
      <c r="AE93" s="243">
        <f t="shared" si="65"/>
        <v>0</v>
      </c>
      <c r="AF93" s="243">
        <f t="shared" si="66"/>
        <v>0</v>
      </c>
      <c r="AG93" s="243">
        <f t="shared" si="67"/>
        <v>0</v>
      </c>
      <c r="AH93" s="243">
        <f t="shared" si="68"/>
        <v>0</v>
      </c>
      <c r="AI93" s="232" t="s">
        <v>598</v>
      </c>
      <c r="AJ93" s="243">
        <f t="shared" si="69"/>
        <v>0</v>
      </c>
      <c r="AK93" s="243">
        <f t="shared" si="70"/>
        <v>0</v>
      </c>
      <c r="AL93" s="243">
        <f t="shared" si="71"/>
        <v>0</v>
      </c>
      <c r="AN93" s="243">
        <v>21</v>
      </c>
      <c r="AO93" s="243">
        <f>H93*0.583793884484711</f>
        <v>0</v>
      </c>
      <c r="AP93" s="243">
        <f>H93*(1-0.583793884484711)</f>
        <v>0</v>
      </c>
      <c r="AQ93" s="245" t="s">
        <v>567</v>
      </c>
      <c r="AV93" s="243">
        <f t="shared" si="72"/>
        <v>0</v>
      </c>
      <c r="AW93" s="243">
        <f t="shared" si="73"/>
        <v>0</v>
      </c>
      <c r="AX93" s="243">
        <f t="shared" si="74"/>
        <v>0</v>
      </c>
      <c r="AY93" s="245" t="s">
        <v>588</v>
      </c>
      <c r="AZ93" s="245" t="s">
        <v>635</v>
      </c>
      <c r="BA93" s="232" t="s">
        <v>601</v>
      </c>
      <c r="BC93" s="243">
        <f t="shared" si="75"/>
        <v>0</v>
      </c>
      <c r="BD93" s="243">
        <f t="shared" si="76"/>
        <v>0</v>
      </c>
      <c r="BE93" s="243">
        <v>0</v>
      </c>
      <c r="BF93" s="243">
        <f>93</f>
        <v>93</v>
      </c>
      <c r="BH93" s="243">
        <f t="shared" si="77"/>
        <v>0</v>
      </c>
      <c r="BI93" s="243">
        <f t="shared" si="78"/>
        <v>0</v>
      </c>
      <c r="BJ93" s="243">
        <f t="shared" si="79"/>
        <v>0</v>
      </c>
      <c r="BK93" s="243"/>
      <c r="BL93" s="243">
        <v>733</v>
      </c>
      <c r="BW93" s="243">
        <v>21</v>
      </c>
    </row>
    <row r="94" spans="1:75" ht="13.5" customHeight="1">
      <c r="A94" s="207" t="s">
        <v>639</v>
      </c>
      <c r="B94" s="208" t="s">
        <v>598</v>
      </c>
      <c r="C94" s="208" t="s">
        <v>187</v>
      </c>
      <c r="D94" s="268" t="s">
        <v>188</v>
      </c>
      <c r="E94" s="260"/>
      <c r="F94" s="208" t="s">
        <v>63</v>
      </c>
      <c r="G94" s="243">
        <v>12</v>
      </c>
      <c r="H94" s="244">
        <v>0</v>
      </c>
      <c r="I94" s="244">
        <f t="shared" si="60"/>
        <v>0</v>
      </c>
      <c r="K94" s="231"/>
      <c r="Z94" s="243">
        <f t="shared" si="61"/>
        <v>0</v>
      </c>
      <c r="AB94" s="243">
        <f t="shared" si="62"/>
        <v>0</v>
      </c>
      <c r="AC94" s="243">
        <f t="shared" si="63"/>
        <v>0</v>
      </c>
      <c r="AD94" s="243">
        <f t="shared" si="64"/>
        <v>0</v>
      </c>
      <c r="AE94" s="243">
        <f t="shared" si="65"/>
        <v>0</v>
      </c>
      <c r="AF94" s="243">
        <f t="shared" si="66"/>
        <v>0</v>
      </c>
      <c r="AG94" s="243">
        <f t="shared" si="67"/>
        <v>0</v>
      </c>
      <c r="AH94" s="243">
        <f t="shared" si="68"/>
        <v>0</v>
      </c>
      <c r="AI94" s="232" t="s">
        <v>598</v>
      </c>
      <c r="AJ94" s="243">
        <f t="shared" si="69"/>
        <v>0</v>
      </c>
      <c r="AK94" s="243">
        <f t="shared" si="70"/>
        <v>0</v>
      </c>
      <c r="AL94" s="243">
        <f t="shared" si="71"/>
        <v>0</v>
      </c>
      <c r="AN94" s="243">
        <v>21</v>
      </c>
      <c r="AO94" s="243">
        <f>H94*0.588</f>
        <v>0</v>
      </c>
      <c r="AP94" s="243">
        <f>H94*(1-0.588)</f>
        <v>0</v>
      </c>
      <c r="AQ94" s="245" t="s">
        <v>567</v>
      </c>
      <c r="AV94" s="243">
        <f t="shared" si="72"/>
        <v>0</v>
      </c>
      <c r="AW94" s="243">
        <f t="shared" si="73"/>
        <v>0</v>
      </c>
      <c r="AX94" s="243">
        <f t="shared" si="74"/>
        <v>0</v>
      </c>
      <c r="AY94" s="245" t="s">
        <v>588</v>
      </c>
      <c r="AZ94" s="245" t="s">
        <v>635</v>
      </c>
      <c r="BA94" s="232" t="s">
        <v>601</v>
      </c>
      <c r="BC94" s="243">
        <f t="shared" si="75"/>
        <v>0</v>
      </c>
      <c r="BD94" s="243">
        <f t="shared" si="76"/>
        <v>0</v>
      </c>
      <c r="BE94" s="243">
        <v>0</v>
      </c>
      <c r="BF94" s="243">
        <f>94</f>
        <v>94</v>
      </c>
      <c r="BH94" s="243">
        <f t="shared" si="77"/>
        <v>0</v>
      </c>
      <c r="BI94" s="243">
        <f t="shared" si="78"/>
        <v>0</v>
      </c>
      <c r="BJ94" s="243">
        <f t="shared" si="79"/>
        <v>0</v>
      </c>
      <c r="BK94" s="243"/>
      <c r="BL94" s="243">
        <v>733</v>
      </c>
      <c r="BW94" s="243">
        <v>21</v>
      </c>
    </row>
    <row r="95" spans="1:75" ht="13.5" customHeight="1">
      <c r="A95" s="207" t="s">
        <v>640</v>
      </c>
      <c r="B95" s="208" t="s">
        <v>598</v>
      </c>
      <c r="C95" s="208" t="s">
        <v>189</v>
      </c>
      <c r="D95" s="268" t="s">
        <v>190</v>
      </c>
      <c r="E95" s="260"/>
      <c r="F95" s="208" t="s">
        <v>63</v>
      </c>
      <c r="G95" s="243">
        <v>28</v>
      </c>
      <c r="H95" s="244">
        <v>0</v>
      </c>
      <c r="I95" s="244">
        <f t="shared" si="60"/>
        <v>0</v>
      </c>
      <c r="K95" s="231"/>
      <c r="Z95" s="243">
        <f t="shared" si="61"/>
        <v>0</v>
      </c>
      <c r="AB95" s="243">
        <f t="shared" si="62"/>
        <v>0</v>
      </c>
      <c r="AC95" s="243">
        <f t="shared" si="63"/>
        <v>0</v>
      </c>
      <c r="AD95" s="243">
        <f t="shared" si="64"/>
        <v>0</v>
      </c>
      <c r="AE95" s="243">
        <f t="shared" si="65"/>
        <v>0</v>
      </c>
      <c r="AF95" s="243">
        <f t="shared" si="66"/>
        <v>0</v>
      </c>
      <c r="AG95" s="243">
        <f t="shared" si="67"/>
        <v>0</v>
      </c>
      <c r="AH95" s="243">
        <f t="shared" si="68"/>
        <v>0</v>
      </c>
      <c r="AI95" s="232" t="s">
        <v>598</v>
      </c>
      <c r="AJ95" s="243">
        <f t="shared" si="69"/>
        <v>0</v>
      </c>
      <c r="AK95" s="243">
        <f t="shared" si="70"/>
        <v>0</v>
      </c>
      <c r="AL95" s="243">
        <f t="shared" si="71"/>
        <v>0</v>
      </c>
      <c r="AN95" s="243">
        <v>21</v>
      </c>
      <c r="AO95" s="243">
        <f>H95*0</f>
        <v>0</v>
      </c>
      <c r="AP95" s="243">
        <f>H95*(1-0)</f>
        <v>0</v>
      </c>
      <c r="AQ95" s="245" t="s">
        <v>567</v>
      </c>
      <c r="AV95" s="243">
        <f t="shared" si="72"/>
        <v>0</v>
      </c>
      <c r="AW95" s="243">
        <f t="shared" si="73"/>
        <v>0</v>
      </c>
      <c r="AX95" s="243">
        <f t="shared" si="74"/>
        <v>0</v>
      </c>
      <c r="AY95" s="245" t="s">
        <v>588</v>
      </c>
      <c r="AZ95" s="245" t="s">
        <v>635</v>
      </c>
      <c r="BA95" s="232" t="s">
        <v>601</v>
      </c>
      <c r="BC95" s="243">
        <f t="shared" si="75"/>
        <v>0</v>
      </c>
      <c r="BD95" s="243">
        <f t="shared" si="76"/>
        <v>0</v>
      </c>
      <c r="BE95" s="243">
        <v>0</v>
      </c>
      <c r="BF95" s="243">
        <f>95</f>
        <v>95</v>
      </c>
      <c r="BH95" s="243">
        <f t="shared" si="77"/>
        <v>0</v>
      </c>
      <c r="BI95" s="243">
        <f t="shared" si="78"/>
        <v>0</v>
      </c>
      <c r="BJ95" s="243">
        <f t="shared" si="79"/>
        <v>0</v>
      </c>
      <c r="BK95" s="243"/>
      <c r="BL95" s="243">
        <v>733</v>
      </c>
      <c r="BW95" s="243">
        <v>21</v>
      </c>
    </row>
    <row r="96" spans="1:75" ht="13.5" customHeight="1">
      <c r="A96" s="207" t="s">
        <v>641</v>
      </c>
      <c r="B96" s="208" t="s">
        <v>598</v>
      </c>
      <c r="C96" s="208" t="s">
        <v>191</v>
      </c>
      <c r="D96" s="268" t="s">
        <v>1332</v>
      </c>
      <c r="E96" s="260"/>
      <c r="F96" s="208" t="s">
        <v>63</v>
      </c>
      <c r="G96" s="243">
        <v>28</v>
      </c>
      <c r="H96" s="244">
        <v>0</v>
      </c>
      <c r="I96" s="244">
        <f t="shared" si="60"/>
        <v>0</v>
      </c>
      <c r="K96" s="231"/>
      <c r="Z96" s="243">
        <f t="shared" si="61"/>
        <v>0</v>
      </c>
      <c r="AB96" s="243">
        <f t="shared" si="62"/>
        <v>0</v>
      </c>
      <c r="AC96" s="243">
        <f t="shared" si="63"/>
        <v>0</v>
      </c>
      <c r="AD96" s="243">
        <f t="shared" si="64"/>
        <v>0</v>
      </c>
      <c r="AE96" s="243">
        <f t="shared" si="65"/>
        <v>0</v>
      </c>
      <c r="AF96" s="243">
        <f t="shared" si="66"/>
        <v>0</v>
      </c>
      <c r="AG96" s="243">
        <f t="shared" si="67"/>
        <v>0</v>
      </c>
      <c r="AH96" s="243">
        <f t="shared" si="68"/>
        <v>0</v>
      </c>
      <c r="AI96" s="232" t="s">
        <v>598</v>
      </c>
      <c r="AJ96" s="243">
        <f t="shared" si="69"/>
        <v>0</v>
      </c>
      <c r="AK96" s="243">
        <f t="shared" si="70"/>
        <v>0</v>
      </c>
      <c r="AL96" s="243">
        <f t="shared" si="71"/>
        <v>0</v>
      </c>
      <c r="AN96" s="243">
        <v>21</v>
      </c>
      <c r="AO96" s="243">
        <f>H96*1</f>
        <v>0</v>
      </c>
      <c r="AP96" s="243">
        <f>H96*(1-1)</f>
        <v>0</v>
      </c>
      <c r="AQ96" s="245" t="s">
        <v>567</v>
      </c>
      <c r="AV96" s="243">
        <f t="shared" si="72"/>
        <v>0</v>
      </c>
      <c r="AW96" s="243">
        <f t="shared" si="73"/>
        <v>0</v>
      </c>
      <c r="AX96" s="243">
        <f t="shared" si="74"/>
        <v>0</v>
      </c>
      <c r="AY96" s="245" t="s">
        <v>588</v>
      </c>
      <c r="AZ96" s="245" t="s">
        <v>635</v>
      </c>
      <c r="BA96" s="232" t="s">
        <v>601</v>
      </c>
      <c r="BC96" s="243">
        <f t="shared" si="75"/>
        <v>0</v>
      </c>
      <c r="BD96" s="243">
        <f t="shared" si="76"/>
        <v>0</v>
      </c>
      <c r="BE96" s="243">
        <v>0</v>
      </c>
      <c r="BF96" s="243">
        <f>96</f>
        <v>96</v>
      </c>
      <c r="BH96" s="243">
        <f t="shared" si="77"/>
        <v>0</v>
      </c>
      <c r="BI96" s="243">
        <f t="shared" si="78"/>
        <v>0</v>
      </c>
      <c r="BJ96" s="243">
        <f t="shared" si="79"/>
        <v>0</v>
      </c>
      <c r="BK96" s="243"/>
      <c r="BL96" s="243">
        <v>733</v>
      </c>
      <c r="BW96" s="243">
        <v>21</v>
      </c>
    </row>
    <row r="97" spans="1:75" ht="15" customHeight="1">
      <c r="A97" s="238" t="s">
        <v>21</v>
      </c>
      <c r="B97" s="239" t="s">
        <v>598</v>
      </c>
      <c r="C97" s="239" t="s">
        <v>95</v>
      </c>
      <c r="D97" s="309" t="s">
        <v>96</v>
      </c>
      <c r="E97" s="310"/>
      <c r="F97" s="240" t="s">
        <v>20</v>
      </c>
      <c r="G97" s="240" t="s">
        <v>20</v>
      </c>
      <c r="H97" s="241" t="s">
        <v>20</v>
      </c>
      <c r="I97" s="242">
        <f>SUM(I98:I117)</f>
        <v>0</v>
      </c>
      <c r="K97" s="231"/>
      <c r="AI97" s="232" t="s">
        <v>598</v>
      </c>
      <c r="AS97" s="225">
        <f>SUM(AJ98:AJ117)</f>
        <v>0</v>
      </c>
      <c r="AT97" s="225">
        <f>SUM(AK98:AK117)</f>
        <v>0</v>
      </c>
      <c r="AU97" s="225">
        <f>SUM(AL98:AL117)</f>
        <v>0</v>
      </c>
    </row>
    <row r="98" spans="1:75" ht="13.5" customHeight="1">
      <c r="A98" s="207" t="s">
        <v>642</v>
      </c>
      <c r="B98" s="208" t="s">
        <v>598</v>
      </c>
      <c r="C98" s="208" t="s">
        <v>194</v>
      </c>
      <c r="D98" s="268" t="s">
        <v>195</v>
      </c>
      <c r="E98" s="260"/>
      <c r="F98" s="208" t="s">
        <v>58</v>
      </c>
      <c r="G98" s="243">
        <v>3</v>
      </c>
      <c r="H98" s="244">
        <v>0</v>
      </c>
      <c r="I98" s="244">
        <f t="shared" ref="I98:I117" si="80">G98*H98</f>
        <v>0</v>
      </c>
      <c r="K98" s="231"/>
      <c r="Z98" s="243">
        <f t="shared" ref="Z98:Z117" si="81">IF(AQ98="5",BJ98,0)</f>
        <v>0</v>
      </c>
      <c r="AB98" s="243">
        <f t="shared" ref="AB98:AB117" si="82">IF(AQ98="1",BH98,0)</f>
        <v>0</v>
      </c>
      <c r="AC98" s="243">
        <f t="shared" ref="AC98:AC117" si="83">IF(AQ98="1",BI98,0)</f>
        <v>0</v>
      </c>
      <c r="AD98" s="243">
        <f t="shared" ref="AD98:AD117" si="84">IF(AQ98="7",BH98,0)</f>
        <v>0</v>
      </c>
      <c r="AE98" s="243">
        <f t="shared" ref="AE98:AE117" si="85">IF(AQ98="7",BI98,0)</f>
        <v>0</v>
      </c>
      <c r="AF98" s="243">
        <f t="shared" ref="AF98:AF117" si="86">IF(AQ98="2",BH98,0)</f>
        <v>0</v>
      </c>
      <c r="AG98" s="243">
        <f t="shared" ref="AG98:AG117" si="87">IF(AQ98="2",BI98,0)</f>
        <v>0</v>
      </c>
      <c r="AH98" s="243">
        <f t="shared" ref="AH98:AH117" si="88">IF(AQ98="0",BJ98,0)</f>
        <v>0</v>
      </c>
      <c r="AI98" s="232" t="s">
        <v>598</v>
      </c>
      <c r="AJ98" s="243">
        <f t="shared" ref="AJ98:AJ117" si="89">IF(AN98=0,I98,0)</f>
        <v>0</v>
      </c>
      <c r="AK98" s="243">
        <f t="shared" ref="AK98:AK117" si="90">IF(AN98=12,I98,0)</f>
        <v>0</v>
      </c>
      <c r="AL98" s="243">
        <f t="shared" ref="AL98:AL117" si="91">IF(AN98=21,I98,0)</f>
        <v>0</v>
      </c>
      <c r="AN98" s="243">
        <v>21</v>
      </c>
      <c r="AO98" s="243">
        <f>H98*0.486221089768718</f>
        <v>0</v>
      </c>
      <c r="AP98" s="243">
        <f>H98*(1-0.486221089768718)</f>
        <v>0</v>
      </c>
      <c r="AQ98" s="245" t="s">
        <v>567</v>
      </c>
      <c r="AV98" s="243">
        <f t="shared" ref="AV98:AV117" si="92">AW98+AX98</f>
        <v>0</v>
      </c>
      <c r="AW98" s="243">
        <f t="shared" ref="AW98:AW117" si="93">G98*AO98</f>
        <v>0</v>
      </c>
      <c r="AX98" s="243">
        <f t="shared" ref="AX98:AX117" si="94">G98*AP98</f>
        <v>0</v>
      </c>
      <c r="AY98" s="245" t="s">
        <v>593</v>
      </c>
      <c r="AZ98" s="245" t="s">
        <v>635</v>
      </c>
      <c r="BA98" s="232" t="s">
        <v>601</v>
      </c>
      <c r="BC98" s="243">
        <f t="shared" ref="BC98:BC117" si="95">AW98+AX98</f>
        <v>0</v>
      </c>
      <c r="BD98" s="243">
        <f t="shared" ref="BD98:BD117" si="96">H98/(100-BE98)*100</f>
        <v>0</v>
      </c>
      <c r="BE98" s="243">
        <v>0</v>
      </c>
      <c r="BF98" s="243">
        <f>98</f>
        <v>98</v>
      </c>
      <c r="BH98" s="243">
        <f t="shared" ref="BH98:BH117" si="97">G98*AO98</f>
        <v>0</v>
      </c>
      <c r="BI98" s="243">
        <f t="shared" ref="BI98:BI117" si="98">G98*AP98</f>
        <v>0</v>
      </c>
      <c r="BJ98" s="243">
        <f t="shared" ref="BJ98:BJ117" si="99">G98*H98</f>
        <v>0</v>
      </c>
      <c r="BK98" s="243"/>
      <c r="BL98" s="243">
        <v>734</v>
      </c>
      <c r="BW98" s="243">
        <v>21</v>
      </c>
    </row>
    <row r="99" spans="1:75" ht="13.5" customHeight="1">
      <c r="A99" s="207" t="s">
        <v>643</v>
      </c>
      <c r="B99" s="208" t="s">
        <v>598</v>
      </c>
      <c r="C99" s="208" t="s">
        <v>196</v>
      </c>
      <c r="D99" s="268" t="s">
        <v>197</v>
      </c>
      <c r="E99" s="260"/>
      <c r="F99" s="208" t="s">
        <v>68</v>
      </c>
      <c r="G99" s="243">
        <v>1</v>
      </c>
      <c r="H99" s="244">
        <v>0</v>
      </c>
      <c r="I99" s="244">
        <f t="shared" si="80"/>
        <v>0</v>
      </c>
      <c r="K99" s="231"/>
      <c r="Z99" s="243">
        <f t="shared" si="81"/>
        <v>0</v>
      </c>
      <c r="AB99" s="243">
        <f t="shared" si="82"/>
        <v>0</v>
      </c>
      <c r="AC99" s="243">
        <f t="shared" si="83"/>
        <v>0</v>
      </c>
      <c r="AD99" s="243">
        <f t="shared" si="84"/>
        <v>0</v>
      </c>
      <c r="AE99" s="243">
        <f t="shared" si="85"/>
        <v>0</v>
      </c>
      <c r="AF99" s="243">
        <f t="shared" si="86"/>
        <v>0</v>
      </c>
      <c r="AG99" s="243">
        <f t="shared" si="87"/>
        <v>0</v>
      </c>
      <c r="AH99" s="243">
        <f t="shared" si="88"/>
        <v>0</v>
      </c>
      <c r="AI99" s="232" t="s">
        <v>598</v>
      </c>
      <c r="AJ99" s="243">
        <f t="shared" si="89"/>
        <v>0</v>
      </c>
      <c r="AK99" s="243">
        <f t="shared" si="90"/>
        <v>0</v>
      </c>
      <c r="AL99" s="243">
        <f t="shared" si="91"/>
        <v>0</v>
      </c>
      <c r="AN99" s="243">
        <v>21</v>
      </c>
      <c r="AO99" s="243">
        <f>H99*1</f>
        <v>0</v>
      </c>
      <c r="AP99" s="243">
        <f>H99*(1-1)</f>
        <v>0</v>
      </c>
      <c r="AQ99" s="245" t="s">
        <v>567</v>
      </c>
      <c r="AV99" s="243">
        <f t="shared" si="92"/>
        <v>0</v>
      </c>
      <c r="AW99" s="243">
        <f t="shared" si="93"/>
        <v>0</v>
      </c>
      <c r="AX99" s="243">
        <f t="shared" si="94"/>
        <v>0</v>
      </c>
      <c r="AY99" s="245" t="s">
        <v>593</v>
      </c>
      <c r="AZ99" s="245" t="s">
        <v>635</v>
      </c>
      <c r="BA99" s="232" t="s">
        <v>601</v>
      </c>
      <c r="BC99" s="243">
        <f t="shared" si="95"/>
        <v>0</v>
      </c>
      <c r="BD99" s="243">
        <f t="shared" si="96"/>
        <v>0</v>
      </c>
      <c r="BE99" s="243">
        <v>0</v>
      </c>
      <c r="BF99" s="243">
        <f>99</f>
        <v>99</v>
      </c>
      <c r="BH99" s="243">
        <f t="shared" si="97"/>
        <v>0</v>
      </c>
      <c r="BI99" s="243">
        <f t="shared" si="98"/>
        <v>0</v>
      </c>
      <c r="BJ99" s="243">
        <f t="shared" si="99"/>
        <v>0</v>
      </c>
      <c r="BK99" s="243"/>
      <c r="BL99" s="243">
        <v>734</v>
      </c>
      <c r="BW99" s="243">
        <v>21</v>
      </c>
    </row>
    <row r="100" spans="1:75" ht="13.5" customHeight="1">
      <c r="A100" s="207" t="s">
        <v>644</v>
      </c>
      <c r="B100" s="208" t="s">
        <v>598</v>
      </c>
      <c r="C100" s="208" t="s">
        <v>199</v>
      </c>
      <c r="D100" s="268" t="s">
        <v>200</v>
      </c>
      <c r="E100" s="260"/>
      <c r="F100" s="208" t="s">
        <v>68</v>
      </c>
      <c r="G100" s="243">
        <v>2</v>
      </c>
      <c r="H100" s="244">
        <v>0</v>
      </c>
      <c r="I100" s="244">
        <f t="shared" si="80"/>
        <v>0</v>
      </c>
      <c r="K100" s="231"/>
      <c r="Z100" s="243">
        <f t="shared" si="81"/>
        <v>0</v>
      </c>
      <c r="AB100" s="243">
        <f t="shared" si="82"/>
        <v>0</v>
      </c>
      <c r="AC100" s="243">
        <f t="shared" si="83"/>
        <v>0</v>
      </c>
      <c r="AD100" s="243">
        <f t="shared" si="84"/>
        <v>0</v>
      </c>
      <c r="AE100" s="243">
        <f t="shared" si="85"/>
        <v>0</v>
      </c>
      <c r="AF100" s="243">
        <f t="shared" si="86"/>
        <v>0</v>
      </c>
      <c r="AG100" s="243">
        <f t="shared" si="87"/>
        <v>0</v>
      </c>
      <c r="AH100" s="243">
        <f t="shared" si="88"/>
        <v>0</v>
      </c>
      <c r="AI100" s="232" t="s">
        <v>598</v>
      </c>
      <c r="AJ100" s="243">
        <f t="shared" si="89"/>
        <v>0</v>
      </c>
      <c r="AK100" s="243">
        <f t="shared" si="90"/>
        <v>0</v>
      </c>
      <c r="AL100" s="243">
        <f t="shared" si="91"/>
        <v>0</v>
      </c>
      <c r="AN100" s="243">
        <v>21</v>
      </c>
      <c r="AO100" s="243">
        <f>H100*1</f>
        <v>0</v>
      </c>
      <c r="AP100" s="243">
        <f>H100*(1-1)</f>
        <v>0</v>
      </c>
      <c r="AQ100" s="245" t="s">
        <v>567</v>
      </c>
      <c r="AV100" s="243">
        <f t="shared" si="92"/>
        <v>0</v>
      </c>
      <c r="AW100" s="243">
        <f t="shared" si="93"/>
        <v>0</v>
      </c>
      <c r="AX100" s="243">
        <f t="shared" si="94"/>
        <v>0</v>
      </c>
      <c r="AY100" s="245" t="s">
        <v>593</v>
      </c>
      <c r="AZ100" s="245" t="s">
        <v>635</v>
      </c>
      <c r="BA100" s="232" t="s">
        <v>601</v>
      </c>
      <c r="BC100" s="243">
        <f t="shared" si="95"/>
        <v>0</v>
      </c>
      <c r="BD100" s="243">
        <f t="shared" si="96"/>
        <v>0</v>
      </c>
      <c r="BE100" s="243">
        <v>0</v>
      </c>
      <c r="BF100" s="243">
        <f>100</f>
        <v>100</v>
      </c>
      <c r="BH100" s="243">
        <f t="shared" si="97"/>
        <v>0</v>
      </c>
      <c r="BI100" s="243">
        <f t="shared" si="98"/>
        <v>0</v>
      </c>
      <c r="BJ100" s="243">
        <f t="shared" si="99"/>
        <v>0</v>
      </c>
      <c r="BK100" s="243"/>
      <c r="BL100" s="243">
        <v>734</v>
      </c>
      <c r="BW100" s="243">
        <v>21</v>
      </c>
    </row>
    <row r="101" spans="1:75" ht="13.5" customHeight="1">
      <c r="A101" s="207" t="s">
        <v>645</v>
      </c>
      <c r="B101" s="208" t="s">
        <v>598</v>
      </c>
      <c r="C101" s="208" t="s">
        <v>202</v>
      </c>
      <c r="D101" s="268" t="s">
        <v>1333</v>
      </c>
      <c r="E101" s="260"/>
      <c r="F101" s="208" t="s">
        <v>68</v>
      </c>
      <c r="G101" s="243">
        <v>3</v>
      </c>
      <c r="H101" s="244">
        <v>0</v>
      </c>
      <c r="I101" s="244">
        <f t="shared" si="80"/>
        <v>0</v>
      </c>
      <c r="K101" s="231"/>
      <c r="Z101" s="243">
        <f t="shared" si="81"/>
        <v>0</v>
      </c>
      <c r="AB101" s="243">
        <f t="shared" si="82"/>
        <v>0</v>
      </c>
      <c r="AC101" s="243">
        <f t="shared" si="83"/>
        <v>0</v>
      </c>
      <c r="AD101" s="243">
        <f t="shared" si="84"/>
        <v>0</v>
      </c>
      <c r="AE101" s="243">
        <f t="shared" si="85"/>
        <v>0</v>
      </c>
      <c r="AF101" s="243">
        <f t="shared" si="86"/>
        <v>0</v>
      </c>
      <c r="AG101" s="243">
        <f t="shared" si="87"/>
        <v>0</v>
      </c>
      <c r="AH101" s="243">
        <f t="shared" si="88"/>
        <v>0</v>
      </c>
      <c r="AI101" s="232" t="s">
        <v>598</v>
      </c>
      <c r="AJ101" s="243">
        <f t="shared" si="89"/>
        <v>0</v>
      </c>
      <c r="AK101" s="243">
        <f t="shared" si="90"/>
        <v>0</v>
      </c>
      <c r="AL101" s="243">
        <f t="shared" si="91"/>
        <v>0</v>
      </c>
      <c r="AN101" s="243">
        <v>21</v>
      </c>
      <c r="AO101" s="243">
        <f>H101*0.913976928622927</f>
        <v>0</v>
      </c>
      <c r="AP101" s="243">
        <f>H101*(1-0.913976928622927)</f>
        <v>0</v>
      </c>
      <c r="AQ101" s="245" t="s">
        <v>567</v>
      </c>
      <c r="AV101" s="243">
        <f t="shared" si="92"/>
        <v>0</v>
      </c>
      <c r="AW101" s="243">
        <f t="shared" si="93"/>
        <v>0</v>
      </c>
      <c r="AX101" s="243">
        <f t="shared" si="94"/>
        <v>0</v>
      </c>
      <c r="AY101" s="245" t="s">
        <v>593</v>
      </c>
      <c r="AZ101" s="245" t="s">
        <v>635</v>
      </c>
      <c r="BA101" s="232" t="s">
        <v>601</v>
      </c>
      <c r="BC101" s="243">
        <f t="shared" si="95"/>
        <v>0</v>
      </c>
      <c r="BD101" s="243">
        <f t="shared" si="96"/>
        <v>0</v>
      </c>
      <c r="BE101" s="243">
        <v>0</v>
      </c>
      <c r="BF101" s="243">
        <f>101</f>
        <v>101</v>
      </c>
      <c r="BH101" s="243">
        <f t="shared" si="97"/>
        <v>0</v>
      </c>
      <c r="BI101" s="243">
        <f t="shared" si="98"/>
        <v>0</v>
      </c>
      <c r="BJ101" s="243">
        <f t="shared" si="99"/>
        <v>0</v>
      </c>
      <c r="BK101" s="243"/>
      <c r="BL101" s="243">
        <v>734</v>
      </c>
      <c r="BW101" s="243">
        <v>21</v>
      </c>
    </row>
    <row r="102" spans="1:75" ht="13.5" customHeight="1">
      <c r="A102" s="207" t="s">
        <v>646</v>
      </c>
      <c r="B102" s="208" t="s">
        <v>598</v>
      </c>
      <c r="C102" s="208" t="s">
        <v>205</v>
      </c>
      <c r="D102" s="268" t="s">
        <v>206</v>
      </c>
      <c r="E102" s="260"/>
      <c r="F102" s="208" t="s">
        <v>58</v>
      </c>
      <c r="G102" s="243">
        <v>1</v>
      </c>
      <c r="H102" s="244">
        <v>0</v>
      </c>
      <c r="I102" s="244">
        <f t="shared" si="80"/>
        <v>0</v>
      </c>
      <c r="K102" s="231"/>
      <c r="Z102" s="243">
        <f t="shared" si="81"/>
        <v>0</v>
      </c>
      <c r="AB102" s="243">
        <f t="shared" si="82"/>
        <v>0</v>
      </c>
      <c r="AC102" s="243">
        <f t="shared" si="83"/>
        <v>0</v>
      </c>
      <c r="AD102" s="243">
        <f t="shared" si="84"/>
        <v>0</v>
      </c>
      <c r="AE102" s="243">
        <f t="shared" si="85"/>
        <v>0</v>
      </c>
      <c r="AF102" s="243">
        <f t="shared" si="86"/>
        <v>0</v>
      </c>
      <c r="AG102" s="243">
        <f t="shared" si="87"/>
        <v>0</v>
      </c>
      <c r="AH102" s="243">
        <f t="shared" si="88"/>
        <v>0</v>
      </c>
      <c r="AI102" s="232" t="s">
        <v>598</v>
      </c>
      <c r="AJ102" s="243">
        <f t="shared" si="89"/>
        <v>0</v>
      </c>
      <c r="AK102" s="243">
        <f t="shared" si="90"/>
        <v>0</v>
      </c>
      <c r="AL102" s="243">
        <f t="shared" si="91"/>
        <v>0</v>
      </c>
      <c r="AN102" s="243">
        <v>21</v>
      </c>
      <c r="AO102" s="243">
        <f>H102*0.97878850174216</f>
        <v>0</v>
      </c>
      <c r="AP102" s="243">
        <f>H102*(1-0.97878850174216)</f>
        <v>0</v>
      </c>
      <c r="AQ102" s="245" t="s">
        <v>567</v>
      </c>
      <c r="AV102" s="243">
        <f t="shared" si="92"/>
        <v>0</v>
      </c>
      <c r="AW102" s="243">
        <f t="shared" si="93"/>
        <v>0</v>
      </c>
      <c r="AX102" s="243">
        <f t="shared" si="94"/>
        <v>0</v>
      </c>
      <c r="AY102" s="245" t="s">
        <v>593</v>
      </c>
      <c r="AZ102" s="245" t="s">
        <v>635</v>
      </c>
      <c r="BA102" s="232" t="s">
        <v>601</v>
      </c>
      <c r="BC102" s="243">
        <f t="shared" si="95"/>
        <v>0</v>
      </c>
      <c r="BD102" s="243">
        <f t="shared" si="96"/>
        <v>0</v>
      </c>
      <c r="BE102" s="243">
        <v>0</v>
      </c>
      <c r="BF102" s="243">
        <f>102</f>
        <v>102</v>
      </c>
      <c r="BH102" s="243">
        <f t="shared" si="97"/>
        <v>0</v>
      </c>
      <c r="BI102" s="243">
        <f t="shared" si="98"/>
        <v>0</v>
      </c>
      <c r="BJ102" s="243">
        <f t="shared" si="99"/>
        <v>0</v>
      </c>
      <c r="BK102" s="243"/>
      <c r="BL102" s="243">
        <v>734</v>
      </c>
      <c r="BW102" s="243">
        <v>21</v>
      </c>
    </row>
    <row r="103" spans="1:75" ht="13.5" customHeight="1">
      <c r="A103" s="207" t="s">
        <v>647</v>
      </c>
      <c r="B103" s="208" t="s">
        <v>598</v>
      </c>
      <c r="C103" s="208" t="s">
        <v>207</v>
      </c>
      <c r="D103" s="268" t="s">
        <v>208</v>
      </c>
      <c r="E103" s="260"/>
      <c r="F103" s="208" t="s">
        <v>58</v>
      </c>
      <c r="G103" s="243">
        <v>2</v>
      </c>
      <c r="H103" s="244">
        <v>0</v>
      </c>
      <c r="I103" s="244">
        <f t="shared" si="80"/>
        <v>0</v>
      </c>
      <c r="K103" s="231"/>
      <c r="Z103" s="243">
        <f t="shared" si="81"/>
        <v>0</v>
      </c>
      <c r="AB103" s="243">
        <f t="shared" si="82"/>
        <v>0</v>
      </c>
      <c r="AC103" s="243">
        <f t="shared" si="83"/>
        <v>0</v>
      </c>
      <c r="AD103" s="243">
        <f t="shared" si="84"/>
        <v>0</v>
      </c>
      <c r="AE103" s="243">
        <f t="shared" si="85"/>
        <v>0</v>
      </c>
      <c r="AF103" s="243">
        <f t="shared" si="86"/>
        <v>0</v>
      </c>
      <c r="AG103" s="243">
        <f t="shared" si="87"/>
        <v>0</v>
      </c>
      <c r="AH103" s="243">
        <f t="shared" si="88"/>
        <v>0</v>
      </c>
      <c r="AI103" s="232" t="s">
        <v>598</v>
      </c>
      <c r="AJ103" s="243">
        <f t="shared" si="89"/>
        <v>0</v>
      </c>
      <c r="AK103" s="243">
        <f t="shared" si="90"/>
        <v>0</v>
      </c>
      <c r="AL103" s="243">
        <f t="shared" si="91"/>
        <v>0</v>
      </c>
      <c r="AN103" s="243">
        <v>21</v>
      </c>
      <c r="AO103" s="243">
        <f>H103*0.885501984126984</f>
        <v>0</v>
      </c>
      <c r="AP103" s="243">
        <f>H103*(1-0.885501984126984)</f>
        <v>0</v>
      </c>
      <c r="AQ103" s="245" t="s">
        <v>567</v>
      </c>
      <c r="AV103" s="243">
        <f t="shared" si="92"/>
        <v>0</v>
      </c>
      <c r="AW103" s="243">
        <f t="shared" si="93"/>
        <v>0</v>
      </c>
      <c r="AX103" s="243">
        <f t="shared" si="94"/>
        <v>0</v>
      </c>
      <c r="AY103" s="245" t="s">
        <v>593</v>
      </c>
      <c r="AZ103" s="245" t="s">
        <v>635</v>
      </c>
      <c r="BA103" s="232" t="s">
        <v>601</v>
      </c>
      <c r="BC103" s="243">
        <f t="shared" si="95"/>
        <v>0</v>
      </c>
      <c r="BD103" s="243">
        <f t="shared" si="96"/>
        <v>0</v>
      </c>
      <c r="BE103" s="243">
        <v>0</v>
      </c>
      <c r="BF103" s="243">
        <f>103</f>
        <v>103</v>
      </c>
      <c r="BH103" s="243">
        <f t="shared" si="97"/>
        <v>0</v>
      </c>
      <c r="BI103" s="243">
        <f t="shared" si="98"/>
        <v>0</v>
      </c>
      <c r="BJ103" s="243">
        <f t="shared" si="99"/>
        <v>0</v>
      </c>
      <c r="BK103" s="243"/>
      <c r="BL103" s="243">
        <v>734</v>
      </c>
      <c r="BW103" s="243">
        <v>21</v>
      </c>
    </row>
    <row r="104" spans="1:75" ht="13.5" customHeight="1">
      <c r="A104" s="207" t="s">
        <v>648</v>
      </c>
      <c r="B104" s="208" t="s">
        <v>598</v>
      </c>
      <c r="C104" s="208" t="s">
        <v>209</v>
      </c>
      <c r="D104" s="268" t="s">
        <v>210</v>
      </c>
      <c r="E104" s="260"/>
      <c r="F104" s="208" t="s">
        <v>68</v>
      </c>
      <c r="G104" s="243">
        <v>5</v>
      </c>
      <c r="H104" s="244">
        <v>0</v>
      </c>
      <c r="I104" s="244">
        <f t="shared" si="80"/>
        <v>0</v>
      </c>
      <c r="K104" s="231"/>
      <c r="Z104" s="243">
        <f t="shared" si="81"/>
        <v>0</v>
      </c>
      <c r="AB104" s="243">
        <f t="shared" si="82"/>
        <v>0</v>
      </c>
      <c r="AC104" s="243">
        <f t="shared" si="83"/>
        <v>0</v>
      </c>
      <c r="AD104" s="243">
        <f t="shared" si="84"/>
        <v>0</v>
      </c>
      <c r="AE104" s="243">
        <f t="shared" si="85"/>
        <v>0</v>
      </c>
      <c r="AF104" s="243">
        <f t="shared" si="86"/>
        <v>0</v>
      </c>
      <c r="AG104" s="243">
        <f t="shared" si="87"/>
        <v>0</v>
      </c>
      <c r="AH104" s="243">
        <f t="shared" si="88"/>
        <v>0</v>
      </c>
      <c r="AI104" s="232" t="s">
        <v>598</v>
      </c>
      <c r="AJ104" s="243">
        <f t="shared" si="89"/>
        <v>0</v>
      </c>
      <c r="AK104" s="243">
        <f t="shared" si="90"/>
        <v>0</v>
      </c>
      <c r="AL104" s="243">
        <f t="shared" si="91"/>
        <v>0</v>
      </c>
      <c r="AN104" s="243">
        <v>21</v>
      </c>
      <c r="AO104" s="243">
        <f>H104*0.772354188759279</f>
        <v>0</v>
      </c>
      <c r="AP104" s="243">
        <f>H104*(1-0.772354188759279)</f>
        <v>0</v>
      </c>
      <c r="AQ104" s="245" t="s">
        <v>567</v>
      </c>
      <c r="AV104" s="243">
        <f t="shared" si="92"/>
        <v>0</v>
      </c>
      <c r="AW104" s="243">
        <f t="shared" si="93"/>
        <v>0</v>
      </c>
      <c r="AX104" s="243">
        <f t="shared" si="94"/>
        <v>0</v>
      </c>
      <c r="AY104" s="245" t="s">
        <v>593</v>
      </c>
      <c r="AZ104" s="245" t="s">
        <v>635</v>
      </c>
      <c r="BA104" s="232" t="s">
        <v>601</v>
      </c>
      <c r="BC104" s="243">
        <f t="shared" si="95"/>
        <v>0</v>
      </c>
      <c r="BD104" s="243">
        <f t="shared" si="96"/>
        <v>0</v>
      </c>
      <c r="BE104" s="243">
        <v>0</v>
      </c>
      <c r="BF104" s="243">
        <f>104</f>
        <v>104</v>
      </c>
      <c r="BH104" s="243">
        <f t="shared" si="97"/>
        <v>0</v>
      </c>
      <c r="BI104" s="243">
        <f t="shared" si="98"/>
        <v>0</v>
      </c>
      <c r="BJ104" s="243">
        <f t="shared" si="99"/>
        <v>0</v>
      </c>
      <c r="BK104" s="243"/>
      <c r="BL104" s="243">
        <v>734</v>
      </c>
      <c r="BW104" s="243">
        <v>21</v>
      </c>
    </row>
    <row r="105" spans="1:75" ht="13.5" customHeight="1">
      <c r="A105" s="207" t="s">
        <v>380</v>
      </c>
      <c r="B105" s="208" t="s">
        <v>598</v>
      </c>
      <c r="C105" s="208" t="s">
        <v>211</v>
      </c>
      <c r="D105" s="268" t="s">
        <v>212</v>
      </c>
      <c r="E105" s="260"/>
      <c r="F105" s="208" t="s">
        <v>68</v>
      </c>
      <c r="G105" s="243">
        <v>2</v>
      </c>
      <c r="H105" s="244">
        <v>0</v>
      </c>
      <c r="I105" s="244">
        <f t="shared" si="80"/>
        <v>0</v>
      </c>
      <c r="K105" s="231"/>
      <c r="Z105" s="243">
        <f t="shared" si="81"/>
        <v>0</v>
      </c>
      <c r="AB105" s="243">
        <f t="shared" si="82"/>
        <v>0</v>
      </c>
      <c r="AC105" s="243">
        <f t="shared" si="83"/>
        <v>0</v>
      </c>
      <c r="AD105" s="243">
        <f t="shared" si="84"/>
        <v>0</v>
      </c>
      <c r="AE105" s="243">
        <f t="shared" si="85"/>
        <v>0</v>
      </c>
      <c r="AF105" s="243">
        <f t="shared" si="86"/>
        <v>0</v>
      </c>
      <c r="AG105" s="243">
        <f t="shared" si="87"/>
        <v>0</v>
      </c>
      <c r="AH105" s="243">
        <f t="shared" si="88"/>
        <v>0</v>
      </c>
      <c r="AI105" s="232" t="s">
        <v>598</v>
      </c>
      <c r="AJ105" s="243">
        <f t="shared" si="89"/>
        <v>0</v>
      </c>
      <c r="AK105" s="243">
        <f t="shared" si="90"/>
        <v>0</v>
      </c>
      <c r="AL105" s="243">
        <f t="shared" si="91"/>
        <v>0</v>
      </c>
      <c r="AN105" s="243">
        <v>21</v>
      </c>
      <c r="AO105" s="243">
        <f>H105*0.908970149253731</f>
        <v>0</v>
      </c>
      <c r="AP105" s="243">
        <f>H105*(1-0.908970149253731)</f>
        <v>0</v>
      </c>
      <c r="AQ105" s="245" t="s">
        <v>567</v>
      </c>
      <c r="AV105" s="243">
        <f t="shared" si="92"/>
        <v>0</v>
      </c>
      <c r="AW105" s="243">
        <f t="shared" si="93"/>
        <v>0</v>
      </c>
      <c r="AX105" s="243">
        <f t="shared" si="94"/>
        <v>0</v>
      </c>
      <c r="AY105" s="245" t="s">
        <v>593</v>
      </c>
      <c r="AZ105" s="245" t="s">
        <v>635</v>
      </c>
      <c r="BA105" s="232" t="s">
        <v>601</v>
      </c>
      <c r="BC105" s="243">
        <f t="shared" si="95"/>
        <v>0</v>
      </c>
      <c r="BD105" s="243">
        <f t="shared" si="96"/>
        <v>0</v>
      </c>
      <c r="BE105" s="243">
        <v>0</v>
      </c>
      <c r="BF105" s="243">
        <f>105</f>
        <v>105</v>
      </c>
      <c r="BH105" s="243">
        <f t="shared" si="97"/>
        <v>0</v>
      </c>
      <c r="BI105" s="243">
        <f t="shared" si="98"/>
        <v>0</v>
      </c>
      <c r="BJ105" s="243">
        <f t="shared" si="99"/>
        <v>0</v>
      </c>
      <c r="BK105" s="243"/>
      <c r="BL105" s="243">
        <v>734</v>
      </c>
      <c r="BW105" s="243">
        <v>21</v>
      </c>
    </row>
    <row r="106" spans="1:75" ht="13.5" customHeight="1">
      <c r="A106" s="207" t="s">
        <v>649</v>
      </c>
      <c r="B106" s="208" t="s">
        <v>598</v>
      </c>
      <c r="C106" s="208" t="s">
        <v>213</v>
      </c>
      <c r="D106" s="268" t="s">
        <v>214</v>
      </c>
      <c r="E106" s="260"/>
      <c r="F106" s="208" t="s">
        <v>68</v>
      </c>
      <c r="G106" s="243">
        <v>1</v>
      </c>
      <c r="H106" s="244">
        <v>0</v>
      </c>
      <c r="I106" s="244">
        <f t="shared" si="80"/>
        <v>0</v>
      </c>
      <c r="K106" s="231"/>
      <c r="Z106" s="243">
        <f t="shared" si="81"/>
        <v>0</v>
      </c>
      <c r="AB106" s="243">
        <f t="shared" si="82"/>
        <v>0</v>
      </c>
      <c r="AC106" s="243">
        <f t="shared" si="83"/>
        <v>0</v>
      </c>
      <c r="AD106" s="243">
        <f t="shared" si="84"/>
        <v>0</v>
      </c>
      <c r="AE106" s="243">
        <f t="shared" si="85"/>
        <v>0</v>
      </c>
      <c r="AF106" s="243">
        <f t="shared" si="86"/>
        <v>0</v>
      </c>
      <c r="AG106" s="243">
        <f t="shared" si="87"/>
        <v>0</v>
      </c>
      <c r="AH106" s="243">
        <f t="shared" si="88"/>
        <v>0</v>
      </c>
      <c r="AI106" s="232" t="s">
        <v>598</v>
      </c>
      <c r="AJ106" s="243">
        <f t="shared" si="89"/>
        <v>0</v>
      </c>
      <c r="AK106" s="243">
        <f t="shared" si="90"/>
        <v>0</v>
      </c>
      <c r="AL106" s="243">
        <f t="shared" si="91"/>
        <v>0</v>
      </c>
      <c r="AN106" s="243">
        <v>21</v>
      </c>
      <c r="AO106" s="243">
        <f>H106*0.905755342667649</f>
        <v>0</v>
      </c>
      <c r="AP106" s="243">
        <f>H106*(1-0.905755342667649)</f>
        <v>0</v>
      </c>
      <c r="AQ106" s="245" t="s">
        <v>567</v>
      </c>
      <c r="AV106" s="243">
        <f t="shared" si="92"/>
        <v>0</v>
      </c>
      <c r="AW106" s="243">
        <f t="shared" si="93"/>
        <v>0</v>
      </c>
      <c r="AX106" s="243">
        <f t="shared" si="94"/>
        <v>0</v>
      </c>
      <c r="AY106" s="245" t="s">
        <v>593</v>
      </c>
      <c r="AZ106" s="245" t="s">
        <v>635</v>
      </c>
      <c r="BA106" s="232" t="s">
        <v>601</v>
      </c>
      <c r="BC106" s="243">
        <f t="shared" si="95"/>
        <v>0</v>
      </c>
      <c r="BD106" s="243">
        <f t="shared" si="96"/>
        <v>0</v>
      </c>
      <c r="BE106" s="243">
        <v>0</v>
      </c>
      <c r="BF106" s="243">
        <f>106</f>
        <v>106</v>
      </c>
      <c r="BH106" s="243">
        <f t="shared" si="97"/>
        <v>0</v>
      </c>
      <c r="BI106" s="243">
        <f t="shared" si="98"/>
        <v>0</v>
      </c>
      <c r="BJ106" s="243">
        <f t="shared" si="99"/>
        <v>0</v>
      </c>
      <c r="BK106" s="243"/>
      <c r="BL106" s="243">
        <v>734</v>
      </c>
      <c r="BW106" s="243">
        <v>21</v>
      </c>
    </row>
    <row r="107" spans="1:75" ht="13.5" customHeight="1">
      <c r="A107" s="207" t="s">
        <v>650</v>
      </c>
      <c r="B107" s="208" t="s">
        <v>598</v>
      </c>
      <c r="C107" s="208" t="s">
        <v>215</v>
      </c>
      <c r="D107" s="268" t="s">
        <v>216</v>
      </c>
      <c r="E107" s="260"/>
      <c r="F107" s="208" t="s">
        <v>68</v>
      </c>
      <c r="G107" s="243">
        <v>2</v>
      </c>
      <c r="H107" s="244">
        <v>0</v>
      </c>
      <c r="I107" s="244">
        <f t="shared" si="80"/>
        <v>0</v>
      </c>
      <c r="K107" s="231"/>
      <c r="Z107" s="243">
        <f t="shared" si="81"/>
        <v>0</v>
      </c>
      <c r="AB107" s="243">
        <f t="shared" si="82"/>
        <v>0</v>
      </c>
      <c r="AC107" s="243">
        <f t="shared" si="83"/>
        <v>0</v>
      </c>
      <c r="AD107" s="243">
        <f t="shared" si="84"/>
        <v>0</v>
      </c>
      <c r="AE107" s="243">
        <f t="shared" si="85"/>
        <v>0</v>
      </c>
      <c r="AF107" s="243">
        <f t="shared" si="86"/>
        <v>0</v>
      </c>
      <c r="AG107" s="243">
        <f t="shared" si="87"/>
        <v>0</v>
      </c>
      <c r="AH107" s="243">
        <f t="shared" si="88"/>
        <v>0</v>
      </c>
      <c r="AI107" s="232" t="s">
        <v>598</v>
      </c>
      <c r="AJ107" s="243">
        <f t="shared" si="89"/>
        <v>0</v>
      </c>
      <c r="AK107" s="243">
        <f t="shared" si="90"/>
        <v>0</v>
      </c>
      <c r="AL107" s="243">
        <f t="shared" si="91"/>
        <v>0</v>
      </c>
      <c r="AN107" s="243">
        <v>21</v>
      </c>
      <c r="AO107" s="243">
        <f>H107*0.843035714285714</f>
        <v>0</v>
      </c>
      <c r="AP107" s="243">
        <f>H107*(1-0.843035714285714)</f>
        <v>0</v>
      </c>
      <c r="AQ107" s="245" t="s">
        <v>567</v>
      </c>
      <c r="AV107" s="243">
        <f t="shared" si="92"/>
        <v>0</v>
      </c>
      <c r="AW107" s="243">
        <f t="shared" si="93"/>
        <v>0</v>
      </c>
      <c r="AX107" s="243">
        <f t="shared" si="94"/>
        <v>0</v>
      </c>
      <c r="AY107" s="245" t="s">
        <v>593</v>
      </c>
      <c r="AZ107" s="245" t="s">
        <v>635</v>
      </c>
      <c r="BA107" s="232" t="s">
        <v>601</v>
      </c>
      <c r="BC107" s="243">
        <f t="shared" si="95"/>
        <v>0</v>
      </c>
      <c r="BD107" s="243">
        <f t="shared" si="96"/>
        <v>0</v>
      </c>
      <c r="BE107" s="243">
        <v>0</v>
      </c>
      <c r="BF107" s="243">
        <f>107</f>
        <v>107</v>
      </c>
      <c r="BH107" s="243">
        <f t="shared" si="97"/>
        <v>0</v>
      </c>
      <c r="BI107" s="243">
        <f t="shared" si="98"/>
        <v>0</v>
      </c>
      <c r="BJ107" s="243">
        <f t="shared" si="99"/>
        <v>0</v>
      </c>
      <c r="BK107" s="243"/>
      <c r="BL107" s="243">
        <v>734</v>
      </c>
      <c r="BW107" s="243">
        <v>21</v>
      </c>
    </row>
    <row r="108" spans="1:75" ht="13.5" customHeight="1">
      <c r="A108" s="207" t="s">
        <v>651</v>
      </c>
      <c r="B108" s="208" t="s">
        <v>598</v>
      </c>
      <c r="C108" s="208" t="s">
        <v>217</v>
      </c>
      <c r="D108" s="268" t="s">
        <v>1334</v>
      </c>
      <c r="E108" s="260"/>
      <c r="F108" s="208" t="s">
        <v>68</v>
      </c>
      <c r="G108" s="243">
        <v>2</v>
      </c>
      <c r="H108" s="244">
        <v>0</v>
      </c>
      <c r="I108" s="244">
        <f t="shared" si="80"/>
        <v>0</v>
      </c>
      <c r="K108" s="231"/>
      <c r="Z108" s="243">
        <f t="shared" si="81"/>
        <v>0</v>
      </c>
      <c r="AB108" s="243">
        <f t="shared" si="82"/>
        <v>0</v>
      </c>
      <c r="AC108" s="243">
        <f t="shared" si="83"/>
        <v>0</v>
      </c>
      <c r="AD108" s="243">
        <f t="shared" si="84"/>
        <v>0</v>
      </c>
      <c r="AE108" s="243">
        <f t="shared" si="85"/>
        <v>0</v>
      </c>
      <c r="AF108" s="243">
        <f t="shared" si="86"/>
        <v>0</v>
      </c>
      <c r="AG108" s="243">
        <f t="shared" si="87"/>
        <v>0</v>
      </c>
      <c r="AH108" s="243">
        <f t="shared" si="88"/>
        <v>0</v>
      </c>
      <c r="AI108" s="232" t="s">
        <v>598</v>
      </c>
      <c r="AJ108" s="243">
        <f t="shared" si="89"/>
        <v>0</v>
      </c>
      <c r="AK108" s="243">
        <f t="shared" si="90"/>
        <v>0</v>
      </c>
      <c r="AL108" s="243">
        <f t="shared" si="91"/>
        <v>0</v>
      </c>
      <c r="AN108" s="243">
        <v>21</v>
      </c>
      <c r="AO108" s="243">
        <f>H108*0.814731051344743</f>
        <v>0</v>
      </c>
      <c r="AP108" s="243">
        <f>H108*(1-0.814731051344743)</f>
        <v>0</v>
      </c>
      <c r="AQ108" s="245" t="s">
        <v>567</v>
      </c>
      <c r="AV108" s="243">
        <f t="shared" si="92"/>
        <v>0</v>
      </c>
      <c r="AW108" s="243">
        <f t="shared" si="93"/>
        <v>0</v>
      </c>
      <c r="AX108" s="243">
        <f t="shared" si="94"/>
        <v>0</v>
      </c>
      <c r="AY108" s="245" t="s">
        <v>593</v>
      </c>
      <c r="AZ108" s="245" t="s">
        <v>635</v>
      </c>
      <c r="BA108" s="232" t="s">
        <v>601</v>
      </c>
      <c r="BC108" s="243">
        <f t="shared" si="95"/>
        <v>0</v>
      </c>
      <c r="BD108" s="243">
        <f t="shared" si="96"/>
        <v>0</v>
      </c>
      <c r="BE108" s="243">
        <v>0</v>
      </c>
      <c r="BF108" s="243">
        <f>108</f>
        <v>108</v>
      </c>
      <c r="BH108" s="243">
        <f t="shared" si="97"/>
        <v>0</v>
      </c>
      <c r="BI108" s="243">
        <f t="shared" si="98"/>
        <v>0</v>
      </c>
      <c r="BJ108" s="243">
        <f t="shared" si="99"/>
        <v>0</v>
      </c>
      <c r="BK108" s="243"/>
      <c r="BL108" s="243">
        <v>734</v>
      </c>
      <c r="BW108" s="243">
        <v>21</v>
      </c>
    </row>
    <row r="109" spans="1:75" ht="13.5" customHeight="1">
      <c r="A109" s="207" t="s">
        <v>652</v>
      </c>
      <c r="B109" s="208" t="s">
        <v>598</v>
      </c>
      <c r="C109" s="208" t="s">
        <v>219</v>
      </c>
      <c r="D109" s="268" t="s">
        <v>1335</v>
      </c>
      <c r="E109" s="260"/>
      <c r="F109" s="208" t="s">
        <v>68</v>
      </c>
      <c r="G109" s="243">
        <v>4</v>
      </c>
      <c r="H109" s="244">
        <v>0</v>
      </c>
      <c r="I109" s="244">
        <f t="shared" si="80"/>
        <v>0</v>
      </c>
      <c r="K109" s="231"/>
      <c r="Z109" s="243">
        <f t="shared" si="81"/>
        <v>0</v>
      </c>
      <c r="AB109" s="243">
        <f t="shared" si="82"/>
        <v>0</v>
      </c>
      <c r="AC109" s="243">
        <f t="shared" si="83"/>
        <v>0</v>
      </c>
      <c r="AD109" s="243">
        <f t="shared" si="84"/>
        <v>0</v>
      </c>
      <c r="AE109" s="243">
        <f t="shared" si="85"/>
        <v>0</v>
      </c>
      <c r="AF109" s="243">
        <f t="shared" si="86"/>
        <v>0</v>
      </c>
      <c r="AG109" s="243">
        <f t="shared" si="87"/>
        <v>0</v>
      </c>
      <c r="AH109" s="243">
        <f t="shared" si="88"/>
        <v>0</v>
      </c>
      <c r="AI109" s="232" t="s">
        <v>598</v>
      </c>
      <c r="AJ109" s="243">
        <f t="shared" si="89"/>
        <v>0</v>
      </c>
      <c r="AK109" s="243">
        <f t="shared" si="90"/>
        <v>0</v>
      </c>
      <c r="AL109" s="243">
        <f t="shared" si="91"/>
        <v>0</v>
      </c>
      <c r="AN109" s="243">
        <v>21</v>
      </c>
      <c r="AO109" s="243">
        <f>H109*0.767472727272727</f>
        <v>0</v>
      </c>
      <c r="AP109" s="243">
        <f>H109*(1-0.767472727272727)</f>
        <v>0</v>
      </c>
      <c r="AQ109" s="245" t="s">
        <v>567</v>
      </c>
      <c r="AV109" s="243">
        <f t="shared" si="92"/>
        <v>0</v>
      </c>
      <c r="AW109" s="243">
        <f t="shared" si="93"/>
        <v>0</v>
      </c>
      <c r="AX109" s="243">
        <f t="shared" si="94"/>
        <v>0</v>
      </c>
      <c r="AY109" s="245" t="s">
        <v>593</v>
      </c>
      <c r="AZ109" s="245" t="s">
        <v>635</v>
      </c>
      <c r="BA109" s="232" t="s">
        <v>601</v>
      </c>
      <c r="BC109" s="243">
        <f t="shared" si="95"/>
        <v>0</v>
      </c>
      <c r="BD109" s="243">
        <f t="shared" si="96"/>
        <v>0</v>
      </c>
      <c r="BE109" s="243">
        <v>0</v>
      </c>
      <c r="BF109" s="243">
        <f>109</f>
        <v>109</v>
      </c>
      <c r="BH109" s="243">
        <f t="shared" si="97"/>
        <v>0</v>
      </c>
      <c r="BI109" s="243">
        <f t="shared" si="98"/>
        <v>0</v>
      </c>
      <c r="BJ109" s="243">
        <f t="shared" si="99"/>
        <v>0</v>
      </c>
      <c r="BK109" s="243"/>
      <c r="BL109" s="243">
        <v>734</v>
      </c>
      <c r="BW109" s="243">
        <v>21</v>
      </c>
    </row>
    <row r="110" spans="1:75" ht="13.5" customHeight="1">
      <c r="A110" s="207" t="s">
        <v>653</v>
      </c>
      <c r="B110" s="208" t="s">
        <v>598</v>
      </c>
      <c r="C110" s="208" t="s">
        <v>221</v>
      </c>
      <c r="D110" s="268" t="s">
        <v>1336</v>
      </c>
      <c r="E110" s="260"/>
      <c r="F110" s="208" t="s">
        <v>68</v>
      </c>
      <c r="G110" s="243">
        <v>2</v>
      </c>
      <c r="H110" s="244">
        <v>0</v>
      </c>
      <c r="I110" s="244">
        <f t="shared" si="80"/>
        <v>0</v>
      </c>
      <c r="K110" s="231"/>
      <c r="Z110" s="243">
        <f t="shared" si="81"/>
        <v>0</v>
      </c>
      <c r="AB110" s="243">
        <f t="shared" si="82"/>
        <v>0</v>
      </c>
      <c r="AC110" s="243">
        <f t="shared" si="83"/>
        <v>0</v>
      </c>
      <c r="AD110" s="243">
        <f t="shared" si="84"/>
        <v>0</v>
      </c>
      <c r="AE110" s="243">
        <f t="shared" si="85"/>
        <v>0</v>
      </c>
      <c r="AF110" s="243">
        <f t="shared" si="86"/>
        <v>0</v>
      </c>
      <c r="AG110" s="243">
        <f t="shared" si="87"/>
        <v>0</v>
      </c>
      <c r="AH110" s="243">
        <f t="shared" si="88"/>
        <v>0</v>
      </c>
      <c r="AI110" s="232" t="s">
        <v>598</v>
      </c>
      <c r="AJ110" s="243">
        <f t="shared" si="89"/>
        <v>0</v>
      </c>
      <c r="AK110" s="243">
        <f t="shared" si="90"/>
        <v>0</v>
      </c>
      <c r="AL110" s="243">
        <f t="shared" si="91"/>
        <v>0</v>
      </c>
      <c r="AN110" s="243">
        <v>21</v>
      </c>
      <c r="AO110" s="243">
        <f>H110*0.947349887133183</f>
        <v>0</v>
      </c>
      <c r="AP110" s="243">
        <f>H110*(1-0.947349887133183)</f>
        <v>0</v>
      </c>
      <c r="AQ110" s="245" t="s">
        <v>567</v>
      </c>
      <c r="AV110" s="243">
        <f t="shared" si="92"/>
        <v>0</v>
      </c>
      <c r="AW110" s="243">
        <f t="shared" si="93"/>
        <v>0</v>
      </c>
      <c r="AX110" s="243">
        <f t="shared" si="94"/>
        <v>0</v>
      </c>
      <c r="AY110" s="245" t="s">
        <v>593</v>
      </c>
      <c r="AZ110" s="245" t="s">
        <v>635</v>
      </c>
      <c r="BA110" s="232" t="s">
        <v>601</v>
      </c>
      <c r="BC110" s="243">
        <f t="shared" si="95"/>
        <v>0</v>
      </c>
      <c r="BD110" s="243">
        <f t="shared" si="96"/>
        <v>0</v>
      </c>
      <c r="BE110" s="243">
        <v>0</v>
      </c>
      <c r="BF110" s="243">
        <f>110</f>
        <v>110</v>
      </c>
      <c r="BH110" s="243">
        <f t="shared" si="97"/>
        <v>0</v>
      </c>
      <c r="BI110" s="243">
        <f t="shared" si="98"/>
        <v>0</v>
      </c>
      <c r="BJ110" s="243">
        <f t="shared" si="99"/>
        <v>0</v>
      </c>
      <c r="BK110" s="243"/>
      <c r="BL110" s="243">
        <v>734</v>
      </c>
      <c r="BW110" s="243">
        <v>21</v>
      </c>
    </row>
    <row r="111" spans="1:75" ht="13.5" customHeight="1">
      <c r="A111" s="207" t="s">
        <v>654</v>
      </c>
      <c r="B111" s="208" t="s">
        <v>598</v>
      </c>
      <c r="C111" s="208" t="s">
        <v>223</v>
      </c>
      <c r="D111" s="268" t="s">
        <v>224</v>
      </c>
      <c r="E111" s="260"/>
      <c r="F111" s="208" t="s">
        <v>68</v>
      </c>
      <c r="G111" s="243">
        <v>1</v>
      </c>
      <c r="H111" s="244">
        <v>0</v>
      </c>
      <c r="I111" s="244">
        <f t="shared" si="80"/>
        <v>0</v>
      </c>
      <c r="K111" s="231"/>
      <c r="Z111" s="243">
        <f t="shared" si="81"/>
        <v>0</v>
      </c>
      <c r="AB111" s="243">
        <f t="shared" si="82"/>
        <v>0</v>
      </c>
      <c r="AC111" s="243">
        <f t="shared" si="83"/>
        <v>0</v>
      </c>
      <c r="AD111" s="243">
        <f t="shared" si="84"/>
        <v>0</v>
      </c>
      <c r="AE111" s="243">
        <f t="shared" si="85"/>
        <v>0</v>
      </c>
      <c r="AF111" s="243">
        <f t="shared" si="86"/>
        <v>0</v>
      </c>
      <c r="AG111" s="243">
        <f t="shared" si="87"/>
        <v>0</v>
      </c>
      <c r="AH111" s="243">
        <f t="shared" si="88"/>
        <v>0</v>
      </c>
      <c r="AI111" s="232" t="s">
        <v>598</v>
      </c>
      <c r="AJ111" s="243">
        <f t="shared" si="89"/>
        <v>0</v>
      </c>
      <c r="AK111" s="243">
        <f t="shared" si="90"/>
        <v>0</v>
      </c>
      <c r="AL111" s="243">
        <f t="shared" si="91"/>
        <v>0</v>
      </c>
      <c r="AN111" s="243">
        <v>21</v>
      </c>
      <c r="AO111" s="243">
        <f>H111*0.290718562874251</f>
        <v>0</v>
      </c>
      <c r="AP111" s="243">
        <f>H111*(1-0.290718562874251)</f>
        <v>0</v>
      </c>
      <c r="AQ111" s="245" t="s">
        <v>567</v>
      </c>
      <c r="AV111" s="243">
        <f t="shared" si="92"/>
        <v>0</v>
      </c>
      <c r="AW111" s="243">
        <f t="shared" si="93"/>
        <v>0</v>
      </c>
      <c r="AX111" s="243">
        <f t="shared" si="94"/>
        <v>0</v>
      </c>
      <c r="AY111" s="245" t="s">
        <v>593</v>
      </c>
      <c r="AZ111" s="245" t="s">
        <v>635</v>
      </c>
      <c r="BA111" s="232" t="s">
        <v>601</v>
      </c>
      <c r="BC111" s="243">
        <f t="shared" si="95"/>
        <v>0</v>
      </c>
      <c r="BD111" s="243">
        <f t="shared" si="96"/>
        <v>0</v>
      </c>
      <c r="BE111" s="243">
        <v>0</v>
      </c>
      <c r="BF111" s="243">
        <f>111</f>
        <v>111</v>
      </c>
      <c r="BH111" s="243">
        <f t="shared" si="97"/>
        <v>0</v>
      </c>
      <c r="BI111" s="243">
        <f t="shared" si="98"/>
        <v>0</v>
      </c>
      <c r="BJ111" s="243">
        <f t="shared" si="99"/>
        <v>0</v>
      </c>
      <c r="BK111" s="243"/>
      <c r="BL111" s="243">
        <v>734</v>
      </c>
      <c r="BW111" s="243">
        <v>21</v>
      </c>
    </row>
    <row r="112" spans="1:75" ht="13.5" customHeight="1">
      <c r="A112" s="207" t="s">
        <v>655</v>
      </c>
      <c r="B112" s="208" t="s">
        <v>598</v>
      </c>
      <c r="C112" s="208" t="s">
        <v>225</v>
      </c>
      <c r="D112" s="268" t="s">
        <v>226</v>
      </c>
      <c r="E112" s="260"/>
      <c r="F112" s="208" t="s">
        <v>68</v>
      </c>
      <c r="G112" s="243">
        <v>1</v>
      </c>
      <c r="H112" s="244">
        <v>0</v>
      </c>
      <c r="I112" s="244">
        <f t="shared" si="80"/>
        <v>0</v>
      </c>
      <c r="K112" s="231"/>
      <c r="Z112" s="243">
        <f t="shared" si="81"/>
        <v>0</v>
      </c>
      <c r="AB112" s="243">
        <f t="shared" si="82"/>
        <v>0</v>
      </c>
      <c r="AC112" s="243">
        <f t="shared" si="83"/>
        <v>0</v>
      </c>
      <c r="AD112" s="243">
        <f t="shared" si="84"/>
        <v>0</v>
      </c>
      <c r="AE112" s="243">
        <f t="shared" si="85"/>
        <v>0</v>
      </c>
      <c r="AF112" s="243">
        <f t="shared" si="86"/>
        <v>0</v>
      </c>
      <c r="AG112" s="243">
        <f t="shared" si="87"/>
        <v>0</v>
      </c>
      <c r="AH112" s="243">
        <f t="shared" si="88"/>
        <v>0</v>
      </c>
      <c r="AI112" s="232" t="s">
        <v>598</v>
      </c>
      <c r="AJ112" s="243">
        <f t="shared" si="89"/>
        <v>0</v>
      </c>
      <c r="AK112" s="243">
        <f t="shared" si="90"/>
        <v>0</v>
      </c>
      <c r="AL112" s="243">
        <f t="shared" si="91"/>
        <v>0</v>
      </c>
      <c r="AN112" s="243">
        <v>21</v>
      </c>
      <c r="AO112" s="243">
        <f>H112*1</f>
        <v>0</v>
      </c>
      <c r="AP112" s="243">
        <f>H112*(1-1)</f>
        <v>0</v>
      </c>
      <c r="AQ112" s="245" t="s">
        <v>567</v>
      </c>
      <c r="AV112" s="243">
        <f t="shared" si="92"/>
        <v>0</v>
      </c>
      <c r="AW112" s="243">
        <f t="shared" si="93"/>
        <v>0</v>
      </c>
      <c r="AX112" s="243">
        <f t="shared" si="94"/>
        <v>0</v>
      </c>
      <c r="AY112" s="245" t="s">
        <v>593</v>
      </c>
      <c r="AZ112" s="245" t="s">
        <v>635</v>
      </c>
      <c r="BA112" s="232" t="s">
        <v>601</v>
      </c>
      <c r="BC112" s="243">
        <f t="shared" si="95"/>
        <v>0</v>
      </c>
      <c r="BD112" s="243">
        <f t="shared" si="96"/>
        <v>0</v>
      </c>
      <c r="BE112" s="243">
        <v>0</v>
      </c>
      <c r="BF112" s="243">
        <f>112</f>
        <v>112</v>
      </c>
      <c r="BH112" s="243">
        <f t="shared" si="97"/>
        <v>0</v>
      </c>
      <c r="BI112" s="243">
        <f t="shared" si="98"/>
        <v>0</v>
      </c>
      <c r="BJ112" s="243">
        <f t="shared" si="99"/>
        <v>0</v>
      </c>
      <c r="BK112" s="243"/>
      <c r="BL112" s="243">
        <v>734</v>
      </c>
      <c r="BW112" s="243">
        <v>21</v>
      </c>
    </row>
    <row r="113" spans="1:75" ht="13.5" customHeight="1">
      <c r="A113" s="207" t="s">
        <v>656</v>
      </c>
      <c r="B113" s="208" t="s">
        <v>598</v>
      </c>
      <c r="C113" s="208" t="s">
        <v>228</v>
      </c>
      <c r="D113" s="268" t="s">
        <v>1337</v>
      </c>
      <c r="E113" s="260"/>
      <c r="F113" s="208" t="s">
        <v>68</v>
      </c>
      <c r="G113" s="243">
        <v>1</v>
      </c>
      <c r="H113" s="244">
        <v>0</v>
      </c>
      <c r="I113" s="244">
        <f t="shared" si="80"/>
        <v>0</v>
      </c>
      <c r="K113" s="231"/>
      <c r="Z113" s="243">
        <f t="shared" si="81"/>
        <v>0</v>
      </c>
      <c r="AB113" s="243">
        <f t="shared" si="82"/>
        <v>0</v>
      </c>
      <c r="AC113" s="243">
        <f t="shared" si="83"/>
        <v>0</v>
      </c>
      <c r="AD113" s="243">
        <f t="shared" si="84"/>
        <v>0</v>
      </c>
      <c r="AE113" s="243">
        <f t="shared" si="85"/>
        <v>0</v>
      </c>
      <c r="AF113" s="243">
        <f t="shared" si="86"/>
        <v>0</v>
      </c>
      <c r="AG113" s="243">
        <f t="shared" si="87"/>
        <v>0</v>
      </c>
      <c r="AH113" s="243">
        <f t="shared" si="88"/>
        <v>0</v>
      </c>
      <c r="AI113" s="232" t="s">
        <v>598</v>
      </c>
      <c r="AJ113" s="243">
        <f t="shared" si="89"/>
        <v>0</v>
      </c>
      <c r="AK113" s="243">
        <f t="shared" si="90"/>
        <v>0</v>
      </c>
      <c r="AL113" s="243">
        <f t="shared" si="91"/>
        <v>0</v>
      </c>
      <c r="AN113" s="243">
        <v>21</v>
      </c>
      <c r="AO113" s="243">
        <f>H113*0.767894736842105</f>
        <v>0</v>
      </c>
      <c r="AP113" s="243">
        <f>H113*(1-0.767894736842105)</f>
        <v>0</v>
      </c>
      <c r="AQ113" s="245" t="s">
        <v>567</v>
      </c>
      <c r="AV113" s="243">
        <f t="shared" si="92"/>
        <v>0</v>
      </c>
      <c r="AW113" s="243">
        <f t="shared" si="93"/>
        <v>0</v>
      </c>
      <c r="AX113" s="243">
        <f t="shared" si="94"/>
        <v>0</v>
      </c>
      <c r="AY113" s="245" t="s">
        <v>593</v>
      </c>
      <c r="AZ113" s="245" t="s">
        <v>635</v>
      </c>
      <c r="BA113" s="232" t="s">
        <v>601</v>
      </c>
      <c r="BC113" s="243">
        <f t="shared" si="95"/>
        <v>0</v>
      </c>
      <c r="BD113" s="243">
        <f t="shared" si="96"/>
        <v>0</v>
      </c>
      <c r="BE113" s="243">
        <v>0</v>
      </c>
      <c r="BF113" s="243">
        <f>113</f>
        <v>113</v>
      </c>
      <c r="BH113" s="243">
        <f t="shared" si="97"/>
        <v>0</v>
      </c>
      <c r="BI113" s="243">
        <f t="shared" si="98"/>
        <v>0</v>
      </c>
      <c r="BJ113" s="243">
        <f t="shared" si="99"/>
        <v>0</v>
      </c>
      <c r="BK113" s="243"/>
      <c r="BL113" s="243">
        <v>734</v>
      </c>
      <c r="BW113" s="243">
        <v>21</v>
      </c>
    </row>
    <row r="114" spans="1:75" ht="13.5" customHeight="1">
      <c r="A114" s="207" t="s">
        <v>657</v>
      </c>
      <c r="B114" s="208" t="s">
        <v>598</v>
      </c>
      <c r="C114" s="208" t="s">
        <v>230</v>
      </c>
      <c r="D114" s="268" t="s">
        <v>1338</v>
      </c>
      <c r="E114" s="260"/>
      <c r="F114" s="208" t="s">
        <v>68</v>
      </c>
      <c r="G114" s="243">
        <v>1</v>
      </c>
      <c r="H114" s="244">
        <v>0</v>
      </c>
      <c r="I114" s="244">
        <f t="shared" si="80"/>
        <v>0</v>
      </c>
      <c r="K114" s="231"/>
      <c r="Z114" s="243">
        <f t="shared" si="81"/>
        <v>0</v>
      </c>
      <c r="AB114" s="243">
        <f t="shared" si="82"/>
        <v>0</v>
      </c>
      <c r="AC114" s="243">
        <f t="shared" si="83"/>
        <v>0</v>
      </c>
      <c r="AD114" s="243">
        <f t="shared" si="84"/>
        <v>0</v>
      </c>
      <c r="AE114" s="243">
        <f t="shared" si="85"/>
        <v>0</v>
      </c>
      <c r="AF114" s="243">
        <f t="shared" si="86"/>
        <v>0</v>
      </c>
      <c r="AG114" s="243">
        <f t="shared" si="87"/>
        <v>0</v>
      </c>
      <c r="AH114" s="243">
        <f t="shared" si="88"/>
        <v>0</v>
      </c>
      <c r="AI114" s="232" t="s">
        <v>598</v>
      </c>
      <c r="AJ114" s="243">
        <f t="shared" si="89"/>
        <v>0</v>
      </c>
      <c r="AK114" s="243">
        <f t="shared" si="90"/>
        <v>0</v>
      </c>
      <c r="AL114" s="243">
        <f t="shared" si="91"/>
        <v>0</v>
      </c>
      <c r="AN114" s="243">
        <v>21</v>
      </c>
      <c r="AO114" s="243">
        <f>H114*0.914419677171407</f>
        <v>0</v>
      </c>
      <c r="AP114" s="243">
        <f>H114*(1-0.914419677171407)</f>
        <v>0</v>
      </c>
      <c r="AQ114" s="245" t="s">
        <v>567</v>
      </c>
      <c r="AV114" s="243">
        <f t="shared" si="92"/>
        <v>0</v>
      </c>
      <c r="AW114" s="243">
        <f t="shared" si="93"/>
        <v>0</v>
      </c>
      <c r="AX114" s="243">
        <f t="shared" si="94"/>
        <v>0</v>
      </c>
      <c r="AY114" s="245" t="s">
        <v>593</v>
      </c>
      <c r="AZ114" s="245" t="s">
        <v>635</v>
      </c>
      <c r="BA114" s="232" t="s">
        <v>601</v>
      </c>
      <c r="BC114" s="243">
        <f t="shared" si="95"/>
        <v>0</v>
      </c>
      <c r="BD114" s="243">
        <f t="shared" si="96"/>
        <v>0</v>
      </c>
      <c r="BE114" s="243">
        <v>0</v>
      </c>
      <c r="BF114" s="243">
        <f>114</f>
        <v>114</v>
      </c>
      <c r="BH114" s="243">
        <f t="shared" si="97"/>
        <v>0</v>
      </c>
      <c r="BI114" s="243">
        <f t="shared" si="98"/>
        <v>0</v>
      </c>
      <c r="BJ114" s="243">
        <f t="shared" si="99"/>
        <v>0</v>
      </c>
      <c r="BK114" s="243"/>
      <c r="BL114" s="243">
        <v>734</v>
      </c>
      <c r="BW114" s="243">
        <v>21</v>
      </c>
    </row>
    <row r="115" spans="1:75" ht="13.5" customHeight="1">
      <c r="A115" s="207" t="s">
        <v>658</v>
      </c>
      <c r="B115" s="208" t="s">
        <v>598</v>
      </c>
      <c r="C115" s="208" t="s">
        <v>232</v>
      </c>
      <c r="D115" s="268" t="s">
        <v>1339</v>
      </c>
      <c r="E115" s="260"/>
      <c r="F115" s="208" t="s">
        <v>68</v>
      </c>
      <c r="G115" s="243">
        <v>1</v>
      </c>
      <c r="H115" s="244">
        <v>0</v>
      </c>
      <c r="I115" s="244">
        <f t="shared" si="80"/>
        <v>0</v>
      </c>
      <c r="K115" s="231"/>
      <c r="Z115" s="243">
        <f t="shared" si="81"/>
        <v>0</v>
      </c>
      <c r="AB115" s="243">
        <f t="shared" si="82"/>
        <v>0</v>
      </c>
      <c r="AC115" s="243">
        <f t="shared" si="83"/>
        <v>0</v>
      </c>
      <c r="AD115" s="243">
        <f t="shared" si="84"/>
        <v>0</v>
      </c>
      <c r="AE115" s="243">
        <f t="shared" si="85"/>
        <v>0</v>
      </c>
      <c r="AF115" s="243">
        <f t="shared" si="86"/>
        <v>0</v>
      </c>
      <c r="AG115" s="243">
        <f t="shared" si="87"/>
        <v>0</v>
      </c>
      <c r="AH115" s="243">
        <f t="shared" si="88"/>
        <v>0</v>
      </c>
      <c r="AI115" s="232" t="s">
        <v>598</v>
      </c>
      <c r="AJ115" s="243">
        <f t="shared" si="89"/>
        <v>0</v>
      </c>
      <c r="AK115" s="243">
        <f t="shared" si="90"/>
        <v>0</v>
      </c>
      <c r="AL115" s="243">
        <f t="shared" si="91"/>
        <v>0</v>
      </c>
      <c r="AN115" s="243">
        <v>21</v>
      </c>
      <c r="AO115" s="243">
        <f>H115*0.754529750479846</f>
        <v>0</v>
      </c>
      <c r="AP115" s="243">
        <f>H115*(1-0.754529750479846)</f>
        <v>0</v>
      </c>
      <c r="AQ115" s="245" t="s">
        <v>567</v>
      </c>
      <c r="AV115" s="243">
        <f t="shared" si="92"/>
        <v>0</v>
      </c>
      <c r="AW115" s="243">
        <f t="shared" si="93"/>
        <v>0</v>
      </c>
      <c r="AX115" s="243">
        <f t="shared" si="94"/>
        <v>0</v>
      </c>
      <c r="AY115" s="245" t="s">
        <v>593</v>
      </c>
      <c r="AZ115" s="245" t="s">
        <v>635</v>
      </c>
      <c r="BA115" s="232" t="s">
        <v>601</v>
      </c>
      <c r="BC115" s="243">
        <f t="shared" si="95"/>
        <v>0</v>
      </c>
      <c r="BD115" s="243">
        <f t="shared" si="96"/>
        <v>0</v>
      </c>
      <c r="BE115" s="243">
        <v>0</v>
      </c>
      <c r="BF115" s="243">
        <f>115</f>
        <v>115</v>
      </c>
      <c r="BH115" s="243">
        <f t="shared" si="97"/>
        <v>0</v>
      </c>
      <c r="BI115" s="243">
        <f t="shared" si="98"/>
        <v>0</v>
      </c>
      <c r="BJ115" s="243">
        <f t="shared" si="99"/>
        <v>0</v>
      </c>
      <c r="BK115" s="243"/>
      <c r="BL115" s="243">
        <v>734</v>
      </c>
      <c r="BW115" s="243">
        <v>21</v>
      </c>
    </row>
    <row r="116" spans="1:75" ht="13.5" customHeight="1">
      <c r="A116" s="207" t="s">
        <v>659</v>
      </c>
      <c r="B116" s="208" t="s">
        <v>598</v>
      </c>
      <c r="C116" s="208" t="s">
        <v>234</v>
      </c>
      <c r="D116" s="268" t="s">
        <v>1340</v>
      </c>
      <c r="E116" s="260"/>
      <c r="F116" s="208" t="s">
        <v>68</v>
      </c>
      <c r="G116" s="243">
        <v>2</v>
      </c>
      <c r="H116" s="244">
        <v>0</v>
      </c>
      <c r="I116" s="244">
        <f t="shared" si="80"/>
        <v>0</v>
      </c>
      <c r="K116" s="231"/>
      <c r="Z116" s="243">
        <f t="shared" si="81"/>
        <v>0</v>
      </c>
      <c r="AB116" s="243">
        <f t="shared" si="82"/>
        <v>0</v>
      </c>
      <c r="AC116" s="243">
        <f t="shared" si="83"/>
        <v>0</v>
      </c>
      <c r="AD116" s="243">
        <f t="shared" si="84"/>
        <v>0</v>
      </c>
      <c r="AE116" s="243">
        <f t="shared" si="85"/>
        <v>0</v>
      </c>
      <c r="AF116" s="243">
        <f t="shared" si="86"/>
        <v>0</v>
      </c>
      <c r="AG116" s="243">
        <f t="shared" si="87"/>
        <v>0</v>
      </c>
      <c r="AH116" s="243">
        <f t="shared" si="88"/>
        <v>0</v>
      </c>
      <c r="AI116" s="232" t="s">
        <v>598</v>
      </c>
      <c r="AJ116" s="243">
        <f t="shared" si="89"/>
        <v>0</v>
      </c>
      <c r="AK116" s="243">
        <f t="shared" si="90"/>
        <v>0</v>
      </c>
      <c r="AL116" s="243">
        <f t="shared" si="91"/>
        <v>0</v>
      </c>
      <c r="AN116" s="243">
        <v>21</v>
      </c>
      <c r="AO116" s="243">
        <f>H116*0.881593220338983</f>
        <v>0</v>
      </c>
      <c r="AP116" s="243">
        <f>H116*(1-0.881593220338983)</f>
        <v>0</v>
      </c>
      <c r="AQ116" s="245" t="s">
        <v>567</v>
      </c>
      <c r="AV116" s="243">
        <f t="shared" si="92"/>
        <v>0</v>
      </c>
      <c r="AW116" s="243">
        <f t="shared" si="93"/>
        <v>0</v>
      </c>
      <c r="AX116" s="243">
        <f t="shared" si="94"/>
        <v>0</v>
      </c>
      <c r="AY116" s="245" t="s">
        <v>593</v>
      </c>
      <c r="AZ116" s="245" t="s">
        <v>635</v>
      </c>
      <c r="BA116" s="232" t="s">
        <v>601</v>
      </c>
      <c r="BC116" s="243">
        <f t="shared" si="95"/>
        <v>0</v>
      </c>
      <c r="BD116" s="243">
        <f t="shared" si="96"/>
        <v>0</v>
      </c>
      <c r="BE116" s="243">
        <v>0</v>
      </c>
      <c r="BF116" s="243">
        <f>116</f>
        <v>116</v>
      </c>
      <c r="BH116" s="243">
        <f t="shared" si="97"/>
        <v>0</v>
      </c>
      <c r="BI116" s="243">
        <f t="shared" si="98"/>
        <v>0</v>
      </c>
      <c r="BJ116" s="243">
        <f t="shared" si="99"/>
        <v>0</v>
      </c>
      <c r="BK116" s="243"/>
      <c r="BL116" s="243">
        <v>734</v>
      </c>
      <c r="BW116" s="243">
        <v>21</v>
      </c>
    </row>
    <row r="117" spans="1:75" ht="13.5" customHeight="1">
      <c r="A117" s="207" t="s">
        <v>660</v>
      </c>
      <c r="B117" s="208" t="s">
        <v>598</v>
      </c>
      <c r="C117" s="208" t="s">
        <v>236</v>
      </c>
      <c r="D117" s="268" t="s">
        <v>1341</v>
      </c>
      <c r="E117" s="260"/>
      <c r="F117" s="208" t="s">
        <v>68</v>
      </c>
      <c r="G117" s="243">
        <v>2</v>
      </c>
      <c r="H117" s="244">
        <v>0</v>
      </c>
      <c r="I117" s="244">
        <f t="shared" si="80"/>
        <v>0</v>
      </c>
      <c r="K117" s="231"/>
      <c r="Z117" s="243">
        <f t="shared" si="81"/>
        <v>0</v>
      </c>
      <c r="AB117" s="243">
        <f t="shared" si="82"/>
        <v>0</v>
      </c>
      <c r="AC117" s="243">
        <f t="shared" si="83"/>
        <v>0</v>
      </c>
      <c r="AD117" s="243">
        <f t="shared" si="84"/>
        <v>0</v>
      </c>
      <c r="AE117" s="243">
        <f t="shared" si="85"/>
        <v>0</v>
      </c>
      <c r="AF117" s="243">
        <f t="shared" si="86"/>
        <v>0</v>
      </c>
      <c r="AG117" s="243">
        <f t="shared" si="87"/>
        <v>0</v>
      </c>
      <c r="AH117" s="243">
        <f t="shared" si="88"/>
        <v>0</v>
      </c>
      <c r="AI117" s="232" t="s">
        <v>598</v>
      </c>
      <c r="AJ117" s="243">
        <f t="shared" si="89"/>
        <v>0</v>
      </c>
      <c r="AK117" s="243">
        <f t="shared" si="90"/>
        <v>0</v>
      </c>
      <c r="AL117" s="243">
        <f t="shared" si="91"/>
        <v>0</v>
      </c>
      <c r="AN117" s="243">
        <v>21</v>
      </c>
      <c r="AO117" s="243">
        <f>H117*0.657605893186004</f>
        <v>0</v>
      </c>
      <c r="AP117" s="243">
        <f>H117*(1-0.657605893186004)</f>
        <v>0</v>
      </c>
      <c r="AQ117" s="245" t="s">
        <v>567</v>
      </c>
      <c r="AV117" s="243">
        <f t="shared" si="92"/>
        <v>0</v>
      </c>
      <c r="AW117" s="243">
        <f t="shared" si="93"/>
        <v>0</v>
      </c>
      <c r="AX117" s="243">
        <f t="shared" si="94"/>
        <v>0</v>
      </c>
      <c r="AY117" s="245" t="s">
        <v>593</v>
      </c>
      <c r="AZ117" s="245" t="s">
        <v>635</v>
      </c>
      <c r="BA117" s="232" t="s">
        <v>601</v>
      </c>
      <c r="BC117" s="243">
        <f t="shared" si="95"/>
        <v>0</v>
      </c>
      <c r="BD117" s="243">
        <f t="shared" si="96"/>
        <v>0</v>
      </c>
      <c r="BE117" s="243">
        <v>0</v>
      </c>
      <c r="BF117" s="243">
        <f>117</f>
        <v>117</v>
      </c>
      <c r="BH117" s="243">
        <f t="shared" si="97"/>
        <v>0</v>
      </c>
      <c r="BI117" s="243">
        <f t="shared" si="98"/>
        <v>0</v>
      </c>
      <c r="BJ117" s="243">
        <f t="shared" si="99"/>
        <v>0</v>
      </c>
      <c r="BK117" s="243"/>
      <c r="BL117" s="243">
        <v>734</v>
      </c>
      <c r="BW117" s="243">
        <v>21</v>
      </c>
    </row>
    <row r="118" spans="1:75" ht="15" customHeight="1">
      <c r="A118" s="238" t="s">
        <v>21</v>
      </c>
      <c r="B118" s="239" t="s">
        <v>598</v>
      </c>
      <c r="C118" s="239" t="s">
        <v>101</v>
      </c>
      <c r="D118" s="309" t="s">
        <v>102</v>
      </c>
      <c r="E118" s="310"/>
      <c r="F118" s="240" t="s">
        <v>20</v>
      </c>
      <c r="G118" s="240" t="s">
        <v>20</v>
      </c>
      <c r="H118" s="241" t="s">
        <v>20</v>
      </c>
      <c r="I118" s="242">
        <f>SUM(I119:I119)</f>
        <v>0</v>
      </c>
      <c r="K118" s="231"/>
      <c r="AI118" s="232" t="s">
        <v>598</v>
      </c>
      <c r="AS118" s="225">
        <f>SUM(AJ119:AJ119)</f>
        <v>0</v>
      </c>
      <c r="AT118" s="225">
        <f>SUM(AK119:AK119)</f>
        <v>0</v>
      </c>
      <c r="AU118" s="225">
        <f>SUM(AL119:AL119)</f>
        <v>0</v>
      </c>
    </row>
    <row r="119" spans="1:75" ht="13.5" customHeight="1">
      <c r="A119" s="207" t="s">
        <v>661</v>
      </c>
      <c r="B119" s="208" t="s">
        <v>598</v>
      </c>
      <c r="C119" s="208" t="s">
        <v>238</v>
      </c>
      <c r="D119" s="268" t="s">
        <v>239</v>
      </c>
      <c r="E119" s="260"/>
      <c r="F119" s="208" t="s">
        <v>105</v>
      </c>
      <c r="G119" s="243">
        <v>100</v>
      </c>
      <c r="H119" s="244">
        <v>0</v>
      </c>
      <c r="I119" s="244">
        <f>G119*H119</f>
        <v>0</v>
      </c>
      <c r="K119" s="231"/>
      <c r="Z119" s="243">
        <f>IF(AQ119="5",BJ119,0)</f>
        <v>0</v>
      </c>
      <c r="AB119" s="243">
        <f>IF(AQ119="1",BH119,0)</f>
        <v>0</v>
      </c>
      <c r="AC119" s="243">
        <f>IF(AQ119="1",BI119,0)</f>
        <v>0</v>
      </c>
      <c r="AD119" s="243">
        <f>IF(AQ119="7",BH119,0)</f>
        <v>0</v>
      </c>
      <c r="AE119" s="243">
        <f>IF(AQ119="7",BI119,0)</f>
        <v>0</v>
      </c>
      <c r="AF119" s="243">
        <f>IF(AQ119="2",BH119,0)</f>
        <v>0</v>
      </c>
      <c r="AG119" s="243">
        <f>IF(AQ119="2",BI119,0)</f>
        <v>0</v>
      </c>
      <c r="AH119" s="243">
        <f>IF(AQ119="0",BJ119,0)</f>
        <v>0</v>
      </c>
      <c r="AI119" s="232" t="s">
        <v>598</v>
      </c>
      <c r="AJ119" s="243">
        <f>IF(AN119=0,I119,0)</f>
        <v>0</v>
      </c>
      <c r="AK119" s="243">
        <f>IF(AN119=12,I119,0)</f>
        <v>0</v>
      </c>
      <c r="AL119" s="243">
        <f>IF(AN119=21,I119,0)</f>
        <v>0</v>
      </c>
      <c r="AN119" s="243">
        <v>21</v>
      </c>
      <c r="AO119" s="243">
        <f>H119*0.19094184251158</f>
        <v>0</v>
      </c>
      <c r="AP119" s="243">
        <f>H119*(1-0.19094184251158)</f>
        <v>0</v>
      </c>
      <c r="AQ119" s="245" t="s">
        <v>567</v>
      </c>
      <c r="AV119" s="243">
        <f>AW119+AX119</f>
        <v>0</v>
      </c>
      <c r="AW119" s="243">
        <f>G119*AO119</f>
        <v>0</v>
      </c>
      <c r="AX119" s="243">
        <f>G119*AP119</f>
        <v>0</v>
      </c>
      <c r="AY119" s="245" t="s">
        <v>596</v>
      </c>
      <c r="AZ119" s="245" t="s">
        <v>662</v>
      </c>
      <c r="BA119" s="232" t="s">
        <v>601</v>
      </c>
      <c r="BC119" s="243">
        <f>AW119+AX119</f>
        <v>0</v>
      </c>
      <c r="BD119" s="243">
        <f>H119/(100-BE119)*100</f>
        <v>0</v>
      </c>
      <c r="BE119" s="243">
        <v>0</v>
      </c>
      <c r="BF119" s="243">
        <f>119</f>
        <v>119</v>
      </c>
      <c r="BH119" s="243">
        <f>G119*AO119</f>
        <v>0</v>
      </c>
      <c r="BI119" s="243">
        <f>G119*AP119</f>
        <v>0</v>
      </c>
      <c r="BJ119" s="243">
        <f>G119*H119</f>
        <v>0</v>
      </c>
      <c r="BK119" s="243"/>
      <c r="BL119" s="243">
        <v>767</v>
      </c>
      <c r="BW119" s="243">
        <v>21</v>
      </c>
    </row>
    <row r="120" spans="1:75" ht="15" customHeight="1">
      <c r="A120" s="238" t="s">
        <v>21</v>
      </c>
      <c r="B120" s="239" t="s">
        <v>663</v>
      </c>
      <c r="C120" s="239" t="s">
        <v>21</v>
      </c>
      <c r="D120" s="309" t="s">
        <v>240</v>
      </c>
      <c r="E120" s="310"/>
      <c r="F120" s="240" t="s">
        <v>20</v>
      </c>
      <c r="G120" s="240" t="s">
        <v>20</v>
      </c>
      <c r="H120" s="241" t="s">
        <v>20</v>
      </c>
      <c r="I120" s="242">
        <f>I121+I127+I130+I134+I136+I138+I140+I156+I160+I166</f>
        <v>0</v>
      </c>
      <c r="K120" s="231"/>
    </row>
    <row r="121" spans="1:75" ht="15" customHeight="1">
      <c r="A121" s="238" t="s">
        <v>21</v>
      </c>
      <c r="B121" s="239" t="s">
        <v>663</v>
      </c>
      <c r="C121" s="239" t="s">
        <v>241</v>
      </c>
      <c r="D121" s="309" t="s">
        <v>242</v>
      </c>
      <c r="E121" s="310"/>
      <c r="F121" s="240" t="s">
        <v>20</v>
      </c>
      <c r="G121" s="240" t="s">
        <v>20</v>
      </c>
      <c r="H121" s="241" t="s">
        <v>20</v>
      </c>
      <c r="I121" s="242">
        <f>SUM(I122:I126)</f>
        <v>0</v>
      </c>
      <c r="K121" s="231"/>
      <c r="AI121" s="232" t="s">
        <v>663</v>
      </c>
      <c r="AS121" s="225">
        <f>SUM(AJ122:AJ126)</f>
        <v>0</v>
      </c>
      <c r="AT121" s="225">
        <f>SUM(AK122:AK126)</f>
        <v>0</v>
      </c>
      <c r="AU121" s="225">
        <f>SUM(AL122:AL126)</f>
        <v>0</v>
      </c>
    </row>
    <row r="122" spans="1:75" ht="13.5" customHeight="1">
      <c r="A122" s="207" t="s">
        <v>325</v>
      </c>
      <c r="B122" s="208" t="s">
        <v>663</v>
      </c>
      <c r="C122" s="208" t="s">
        <v>243</v>
      </c>
      <c r="D122" s="268" t="s">
        <v>244</v>
      </c>
      <c r="E122" s="260"/>
      <c r="F122" s="208" t="s">
        <v>245</v>
      </c>
      <c r="G122" s="243">
        <v>480</v>
      </c>
      <c r="H122" s="244">
        <v>0</v>
      </c>
      <c r="I122" s="244">
        <f>G122*H122</f>
        <v>0</v>
      </c>
      <c r="K122" s="231"/>
      <c r="Z122" s="243">
        <f>IF(AQ122="5",BJ122,0)</f>
        <v>0</v>
      </c>
      <c r="AB122" s="243">
        <f>IF(AQ122="1",BH122,0)</f>
        <v>0</v>
      </c>
      <c r="AC122" s="243">
        <f>IF(AQ122="1",BI122,0)</f>
        <v>0</v>
      </c>
      <c r="AD122" s="243">
        <f>IF(AQ122="7",BH122,0)</f>
        <v>0</v>
      </c>
      <c r="AE122" s="243">
        <f>IF(AQ122="7",BI122,0)</f>
        <v>0</v>
      </c>
      <c r="AF122" s="243">
        <f>IF(AQ122="2",BH122,0)</f>
        <v>0</v>
      </c>
      <c r="AG122" s="243">
        <f>IF(AQ122="2",BI122,0)</f>
        <v>0</v>
      </c>
      <c r="AH122" s="243">
        <f>IF(AQ122="0",BJ122,0)</f>
        <v>0</v>
      </c>
      <c r="AI122" s="232" t="s">
        <v>663</v>
      </c>
      <c r="AJ122" s="243">
        <f>IF(AN122=0,I122,0)</f>
        <v>0</v>
      </c>
      <c r="AK122" s="243">
        <f>IF(AN122=12,I122,0)</f>
        <v>0</v>
      </c>
      <c r="AL122" s="243">
        <f>IF(AN122=21,I122,0)</f>
        <v>0</v>
      </c>
      <c r="AN122" s="243">
        <v>21</v>
      </c>
      <c r="AO122" s="243">
        <f>H122*0</f>
        <v>0</v>
      </c>
      <c r="AP122" s="243">
        <f>H122*(1-0)</f>
        <v>0</v>
      </c>
      <c r="AQ122" s="245" t="s">
        <v>553</v>
      </c>
      <c r="AV122" s="243">
        <f>AW122+AX122</f>
        <v>0</v>
      </c>
      <c r="AW122" s="243">
        <f>G122*AO122</f>
        <v>0</v>
      </c>
      <c r="AX122" s="243">
        <f>G122*AP122</f>
        <v>0</v>
      </c>
      <c r="AY122" s="245" t="s">
        <v>664</v>
      </c>
      <c r="AZ122" s="245" t="s">
        <v>665</v>
      </c>
      <c r="BA122" s="232" t="s">
        <v>666</v>
      </c>
      <c r="BC122" s="243">
        <f>AW122+AX122</f>
        <v>0</v>
      </c>
      <c r="BD122" s="243">
        <f>H122/(100-BE122)*100</f>
        <v>0</v>
      </c>
      <c r="BE122" s="243">
        <v>0</v>
      </c>
      <c r="BF122" s="243">
        <f>122</f>
        <v>122</v>
      </c>
      <c r="BH122" s="243">
        <f>G122*AO122</f>
        <v>0</v>
      </c>
      <c r="BI122" s="243">
        <f>G122*AP122</f>
        <v>0</v>
      </c>
      <c r="BJ122" s="243">
        <f>G122*H122</f>
        <v>0</v>
      </c>
      <c r="BK122" s="243"/>
      <c r="BL122" s="243">
        <v>11</v>
      </c>
      <c r="BW122" s="243">
        <v>21</v>
      </c>
    </row>
    <row r="123" spans="1:75" ht="13.5" customHeight="1">
      <c r="A123" s="207" t="s">
        <v>667</v>
      </c>
      <c r="B123" s="208" t="s">
        <v>663</v>
      </c>
      <c r="C123" s="208" t="s">
        <v>247</v>
      </c>
      <c r="D123" s="268" t="s">
        <v>248</v>
      </c>
      <c r="E123" s="260"/>
      <c r="F123" s="208" t="s">
        <v>245</v>
      </c>
      <c r="G123" s="243">
        <v>128</v>
      </c>
      <c r="H123" s="244">
        <v>0</v>
      </c>
      <c r="I123" s="244">
        <f>G123*H123</f>
        <v>0</v>
      </c>
      <c r="K123" s="231"/>
      <c r="Z123" s="243">
        <f>IF(AQ123="5",BJ123,0)</f>
        <v>0</v>
      </c>
      <c r="AB123" s="243">
        <f>IF(AQ123="1",BH123,0)</f>
        <v>0</v>
      </c>
      <c r="AC123" s="243">
        <f>IF(AQ123="1",BI123,0)</f>
        <v>0</v>
      </c>
      <c r="AD123" s="243">
        <f>IF(AQ123="7",BH123,0)</f>
        <v>0</v>
      </c>
      <c r="AE123" s="243">
        <f>IF(AQ123="7",BI123,0)</f>
        <v>0</v>
      </c>
      <c r="AF123" s="243">
        <f>IF(AQ123="2",BH123,0)</f>
        <v>0</v>
      </c>
      <c r="AG123" s="243">
        <f>IF(AQ123="2",BI123,0)</f>
        <v>0</v>
      </c>
      <c r="AH123" s="243">
        <f>IF(AQ123="0",BJ123,0)</f>
        <v>0</v>
      </c>
      <c r="AI123" s="232" t="s">
        <v>663</v>
      </c>
      <c r="AJ123" s="243">
        <f>IF(AN123=0,I123,0)</f>
        <v>0</v>
      </c>
      <c r="AK123" s="243">
        <f>IF(AN123=12,I123,0)</f>
        <v>0</v>
      </c>
      <c r="AL123" s="243">
        <f>IF(AN123=21,I123,0)</f>
        <v>0</v>
      </c>
      <c r="AN123" s="243">
        <v>21</v>
      </c>
      <c r="AO123" s="243">
        <f>H123*0.00713722397476341</f>
        <v>0</v>
      </c>
      <c r="AP123" s="243">
        <f>H123*(1-0.00713722397476341)</f>
        <v>0</v>
      </c>
      <c r="AQ123" s="245" t="s">
        <v>553</v>
      </c>
      <c r="AV123" s="243">
        <f>AW123+AX123</f>
        <v>0</v>
      </c>
      <c r="AW123" s="243">
        <f>G123*AO123</f>
        <v>0</v>
      </c>
      <c r="AX123" s="243">
        <f>G123*AP123</f>
        <v>0</v>
      </c>
      <c r="AY123" s="245" t="s">
        <v>664</v>
      </c>
      <c r="AZ123" s="245" t="s">
        <v>665</v>
      </c>
      <c r="BA123" s="232" t="s">
        <v>666</v>
      </c>
      <c r="BC123" s="243">
        <f>AW123+AX123</f>
        <v>0</v>
      </c>
      <c r="BD123" s="243">
        <f>H123/(100-BE123)*100</f>
        <v>0</v>
      </c>
      <c r="BE123" s="243">
        <v>0</v>
      </c>
      <c r="BF123" s="243">
        <f>123</f>
        <v>123</v>
      </c>
      <c r="BH123" s="243">
        <f>G123*AO123</f>
        <v>0</v>
      </c>
      <c r="BI123" s="243">
        <f>G123*AP123</f>
        <v>0</v>
      </c>
      <c r="BJ123" s="243">
        <f>G123*H123</f>
        <v>0</v>
      </c>
      <c r="BK123" s="243"/>
      <c r="BL123" s="243">
        <v>11</v>
      </c>
      <c r="BW123" s="243">
        <v>21</v>
      </c>
    </row>
    <row r="124" spans="1:75" ht="13.5" customHeight="1">
      <c r="A124" s="207" t="s">
        <v>336</v>
      </c>
      <c r="B124" s="208" t="s">
        <v>663</v>
      </c>
      <c r="C124" s="208" t="s">
        <v>250</v>
      </c>
      <c r="D124" s="268" t="s">
        <v>251</v>
      </c>
      <c r="E124" s="260"/>
      <c r="F124" s="208" t="s">
        <v>63</v>
      </c>
      <c r="G124" s="243">
        <v>320</v>
      </c>
      <c r="H124" s="244">
        <v>0</v>
      </c>
      <c r="I124" s="244">
        <f>G124*H124</f>
        <v>0</v>
      </c>
      <c r="K124" s="231"/>
      <c r="Z124" s="243">
        <f>IF(AQ124="5",BJ124,0)</f>
        <v>0</v>
      </c>
      <c r="AB124" s="243">
        <f>IF(AQ124="1",BH124,0)</f>
        <v>0</v>
      </c>
      <c r="AC124" s="243">
        <f>IF(AQ124="1",BI124,0)</f>
        <v>0</v>
      </c>
      <c r="AD124" s="243">
        <f>IF(AQ124="7",BH124,0)</f>
        <v>0</v>
      </c>
      <c r="AE124" s="243">
        <f>IF(AQ124="7",BI124,0)</f>
        <v>0</v>
      </c>
      <c r="AF124" s="243">
        <f>IF(AQ124="2",BH124,0)</f>
        <v>0</v>
      </c>
      <c r="AG124" s="243">
        <f>IF(AQ124="2",BI124,0)</f>
        <v>0</v>
      </c>
      <c r="AH124" s="243">
        <f>IF(AQ124="0",BJ124,0)</f>
        <v>0</v>
      </c>
      <c r="AI124" s="232" t="s">
        <v>663</v>
      </c>
      <c r="AJ124" s="243">
        <f>IF(AN124=0,I124,0)</f>
        <v>0</v>
      </c>
      <c r="AK124" s="243">
        <f>IF(AN124=12,I124,0)</f>
        <v>0</v>
      </c>
      <c r="AL124" s="243">
        <f>IF(AN124=21,I124,0)</f>
        <v>0</v>
      </c>
      <c r="AN124" s="243">
        <v>21</v>
      </c>
      <c r="AO124" s="243">
        <f>H124*0</f>
        <v>0</v>
      </c>
      <c r="AP124" s="243">
        <f>H124*(1-0)</f>
        <v>0</v>
      </c>
      <c r="AQ124" s="245" t="s">
        <v>553</v>
      </c>
      <c r="AV124" s="243">
        <f>AW124+AX124</f>
        <v>0</v>
      </c>
      <c r="AW124" s="243">
        <f>G124*AO124</f>
        <v>0</v>
      </c>
      <c r="AX124" s="243">
        <f>G124*AP124</f>
        <v>0</v>
      </c>
      <c r="AY124" s="245" t="s">
        <v>664</v>
      </c>
      <c r="AZ124" s="245" t="s">
        <v>665</v>
      </c>
      <c r="BA124" s="232" t="s">
        <v>666</v>
      </c>
      <c r="BC124" s="243">
        <f>AW124+AX124</f>
        <v>0</v>
      </c>
      <c r="BD124" s="243">
        <f>H124/(100-BE124)*100</f>
        <v>0</v>
      </c>
      <c r="BE124" s="243">
        <v>0</v>
      </c>
      <c r="BF124" s="243">
        <f>124</f>
        <v>124</v>
      </c>
      <c r="BH124" s="243">
        <f>G124*AO124</f>
        <v>0</v>
      </c>
      <c r="BI124" s="243">
        <f>G124*AP124</f>
        <v>0</v>
      </c>
      <c r="BJ124" s="243">
        <f>G124*H124</f>
        <v>0</v>
      </c>
      <c r="BK124" s="243"/>
      <c r="BL124" s="243">
        <v>11</v>
      </c>
      <c r="BW124" s="243">
        <v>21</v>
      </c>
    </row>
    <row r="125" spans="1:75" ht="13.5" customHeight="1">
      <c r="A125" s="207" t="s">
        <v>668</v>
      </c>
      <c r="B125" s="208" t="s">
        <v>663</v>
      </c>
      <c r="C125" s="208" t="s">
        <v>253</v>
      </c>
      <c r="D125" s="268" t="s">
        <v>254</v>
      </c>
      <c r="E125" s="260"/>
      <c r="F125" s="208" t="s">
        <v>63</v>
      </c>
      <c r="G125" s="243">
        <v>12</v>
      </c>
      <c r="H125" s="244">
        <v>0</v>
      </c>
      <c r="I125" s="244">
        <f>G125*H125</f>
        <v>0</v>
      </c>
      <c r="K125" s="231"/>
      <c r="Z125" s="243">
        <f>IF(AQ125="5",BJ125,0)</f>
        <v>0</v>
      </c>
      <c r="AB125" s="243">
        <f>IF(AQ125="1",BH125,0)</f>
        <v>0</v>
      </c>
      <c r="AC125" s="243">
        <f>IF(AQ125="1",BI125,0)</f>
        <v>0</v>
      </c>
      <c r="AD125" s="243">
        <f>IF(AQ125="7",BH125,0)</f>
        <v>0</v>
      </c>
      <c r="AE125" s="243">
        <f>IF(AQ125="7",BI125,0)</f>
        <v>0</v>
      </c>
      <c r="AF125" s="243">
        <f>IF(AQ125="2",BH125,0)</f>
        <v>0</v>
      </c>
      <c r="AG125" s="243">
        <f>IF(AQ125="2",BI125,0)</f>
        <v>0</v>
      </c>
      <c r="AH125" s="243">
        <f>IF(AQ125="0",BJ125,0)</f>
        <v>0</v>
      </c>
      <c r="AI125" s="232" t="s">
        <v>663</v>
      </c>
      <c r="AJ125" s="243">
        <f>IF(AN125=0,I125,0)</f>
        <v>0</v>
      </c>
      <c r="AK125" s="243">
        <f>IF(AN125=12,I125,0)</f>
        <v>0</v>
      </c>
      <c r="AL125" s="243">
        <f>IF(AN125=21,I125,0)</f>
        <v>0</v>
      </c>
      <c r="AN125" s="243">
        <v>21</v>
      </c>
      <c r="AO125" s="243">
        <f>H125*0.0714104344161773</f>
        <v>0</v>
      </c>
      <c r="AP125" s="243">
        <f>H125*(1-0.0714104344161773)</f>
        <v>0</v>
      </c>
      <c r="AQ125" s="245" t="s">
        <v>553</v>
      </c>
      <c r="AV125" s="243">
        <f>AW125+AX125</f>
        <v>0</v>
      </c>
      <c r="AW125" s="243">
        <f>G125*AO125</f>
        <v>0</v>
      </c>
      <c r="AX125" s="243">
        <f>G125*AP125</f>
        <v>0</v>
      </c>
      <c r="AY125" s="245" t="s">
        <v>664</v>
      </c>
      <c r="AZ125" s="245" t="s">
        <v>665</v>
      </c>
      <c r="BA125" s="232" t="s">
        <v>666</v>
      </c>
      <c r="BC125" s="243">
        <f>AW125+AX125</f>
        <v>0</v>
      </c>
      <c r="BD125" s="243">
        <f>H125/(100-BE125)*100</f>
        <v>0</v>
      </c>
      <c r="BE125" s="243">
        <v>0</v>
      </c>
      <c r="BF125" s="243">
        <f>125</f>
        <v>125</v>
      </c>
      <c r="BH125" s="243">
        <f>G125*AO125</f>
        <v>0</v>
      </c>
      <c r="BI125" s="243">
        <f>G125*AP125</f>
        <v>0</v>
      </c>
      <c r="BJ125" s="243">
        <f>G125*H125</f>
        <v>0</v>
      </c>
      <c r="BK125" s="243"/>
      <c r="BL125" s="243">
        <v>11</v>
      </c>
      <c r="BW125" s="243">
        <v>21</v>
      </c>
    </row>
    <row r="126" spans="1:75" ht="13.5" customHeight="1">
      <c r="A126" s="207" t="s">
        <v>669</v>
      </c>
      <c r="B126" s="208" t="s">
        <v>663</v>
      </c>
      <c r="C126" s="208" t="s">
        <v>83</v>
      </c>
      <c r="D126" s="268" t="s">
        <v>255</v>
      </c>
      <c r="E126" s="260"/>
      <c r="F126" s="208" t="s">
        <v>58</v>
      </c>
      <c r="G126" s="243">
        <v>8</v>
      </c>
      <c r="H126" s="244">
        <v>0</v>
      </c>
      <c r="I126" s="244">
        <f>G126*H126</f>
        <v>0</v>
      </c>
      <c r="K126" s="231"/>
      <c r="Z126" s="243">
        <f>IF(AQ126="5",BJ126,0)</f>
        <v>0</v>
      </c>
      <c r="AB126" s="243">
        <f>IF(AQ126="1",BH126,0)</f>
        <v>0</v>
      </c>
      <c r="AC126" s="243">
        <f>IF(AQ126="1",BI126,0)</f>
        <v>0</v>
      </c>
      <c r="AD126" s="243">
        <f>IF(AQ126="7",BH126,0)</f>
        <v>0</v>
      </c>
      <c r="AE126" s="243">
        <f>IF(AQ126="7",BI126,0)</f>
        <v>0</v>
      </c>
      <c r="AF126" s="243">
        <f>IF(AQ126="2",BH126,0)</f>
        <v>0</v>
      </c>
      <c r="AG126" s="243">
        <f>IF(AQ126="2",BI126,0)</f>
        <v>0</v>
      </c>
      <c r="AH126" s="243">
        <f>IF(AQ126="0",BJ126,0)</f>
        <v>0</v>
      </c>
      <c r="AI126" s="232" t="s">
        <v>663</v>
      </c>
      <c r="AJ126" s="243">
        <f>IF(AN126=0,I126,0)</f>
        <v>0</v>
      </c>
      <c r="AK126" s="243">
        <f>IF(AN126=12,I126,0)</f>
        <v>0</v>
      </c>
      <c r="AL126" s="243">
        <f>IF(AN126=21,I126,0)</f>
        <v>0</v>
      </c>
      <c r="AN126" s="243">
        <v>21</v>
      </c>
      <c r="AO126" s="243">
        <f>H126*0.346020761245675</f>
        <v>0</v>
      </c>
      <c r="AP126" s="243">
        <f>H126*(1-0.346020761245675)</f>
        <v>0</v>
      </c>
      <c r="AQ126" s="245" t="s">
        <v>553</v>
      </c>
      <c r="AV126" s="243">
        <f>AW126+AX126</f>
        <v>0</v>
      </c>
      <c r="AW126" s="243">
        <f>G126*AO126</f>
        <v>0</v>
      </c>
      <c r="AX126" s="243">
        <f>G126*AP126</f>
        <v>0</v>
      </c>
      <c r="AY126" s="245" t="s">
        <v>664</v>
      </c>
      <c r="AZ126" s="245" t="s">
        <v>665</v>
      </c>
      <c r="BA126" s="232" t="s">
        <v>666</v>
      </c>
      <c r="BC126" s="243">
        <f>AW126+AX126</f>
        <v>0</v>
      </c>
      <c r="BD126" s="243">
        <f>H126/(100-BE126)*100</f>
        <v>0</v>
      </c>
      <c r="BE126" s="243">
        <v>0</v>
      </c>
      <c r="BF126" s="243">
        <f>126</f>
        <v>126</v>
      </c>
      <c r="BH126" s="243">
        <f>G126*AO126</f>
        <v>0</v>
      </c>
      <c r="BI126" s="243">
        <f>G126*AP126</f>
        <v>0</v>
      </c>
      <c r="BJ126" s="243">
        <f>G126*H126</f>
        <v>0</v>
      </c>
      <c r="BK126" s="243"/>
      <c r="BL126" s="243">
        <v>11</v>
      </c>
      <c r="BW126" s="243">
        <v>21</v>
      </c>
    </row>
    <row r="127" spans="1:75" ht="15" customHeight="1">
      <c r="A127" s="238" t="s">
        <v>21</v>
      </c>
      <c r="B127" s="239" t="s">
        <v>663</v>
      </c>
      <c r="C127" s="239" t="s">
        <v>256</v>
      </c>
      <c r="D127" s="309" t="s">
        <v>257</v>
      </c>
      <c r="E127" s="310"/>
      <c r="F127" s="240" t="s">
        <v>20</v>
      </c>
      <c r="G127" s="240" t="s">
        <v>20</v>
      </c>
      <c r="H127" s="241" t="s">
        <v>20</v>
      </c>
      <c r="I127" s="242">
        <f>SUM(I128:I129)</f>
        <v>0</v>
      </c>
      <c r="K127" s="231"/>
      <c r="AI127" s="232" t="s">
        <v>663</v>
      </c>
      <c r="AS127" s="225">
        <f>SUM(AJ128:AJ129)</f>
        <v>0</v>
      </c>
      <c r="AT127" s="225">
        <f>SUM(AK128:AK129)</f>
        <v>0</v>
      </c>
      <c r="AU127" s="225">
        <f>SUM(AL128:AL129)</f>
        <v>0</v>
      </c>
    </row>
    <row r="128" spans="1:75" ht="13.5" customHeight="1">
      <c r="A128" s="207" t="s">
        <v>670</v>
      </c>
      <c r="B128" s="208" t="s">
        <v>663</v>
      </c>
      <c r="C128" s="208" t="s">
        <v>258</v>
      </c>
      <c r="D128" s="268" t="s">
        <v>259</v>
      </c>
      <c r="E128" s="260"/>
      <c r="F128" s="208" t="s">
        <v>260</v>
      </c>
      <c r="G128" s="243">
        <v>255.50399999999999</v>
      </c>
      <c r="H128" s="244">
        <v>0</v>
      </c>
      <c r="I128" s="244">
        <f>G128*H128</f>
        <v>0</v>
      </c>
      <c r="K128" s="231"/>
      <c r="Z128" s="243">
        <f>IF(AQ128="5",BJ128,0)</f>
        <v>0</v>
      </c>
      <c r="AB128" s="243">
        <f>IF(AQ128="1",BH128,0)</f>
        <v>0</v>
      </c>
      <c r="AC128" s="243">
        <f>IF(AQ128="1",BI128,0)</f>
        <v>0</v>
      </c>
      <c r="AD128" s="243">
        <f>IF(AQ128="7",BH128,0)</f>
        <v>0</v>
      </c>
      <c r="AE128" s="243">
        <f>IF(AQ128="7",BI128,0)</f>
        <v>0</v>
      </c>
      <c r="AF128" s="243">
        <f>IF(AQ128="2",BH128,0)</f>
        <v>0</v>
      </c>
      <c r="AG128" s="243">
        <f>IF(AQ128="2",BI128,0)</f>
        <v>0</v>
      </c>
      <c r="AH128" s="243">
        <f>IF(AQ128="0",BJ128,0)</f>
        <v>0</v>
      </c>
      <c r="AI128" s="232" t="s">
        <v>663</v>
      </c>
      <c r="AJ128" s="243">
        <f>IF(AN128=0,I128,0)</f>
        <v>0</v>
      </c>
      <c r="AK128" s="243">
        <f>IF(AN128=12,I128,0)</f>
        <v>0</v>
      </c>
      <c r="AL128" s="243">
        <f>IF(AN128=21,I128,0)</f>
        <v>0</v>
      </c>
      <c r="AN128" s="243">
        <v>21</v>
      </c>
      <c r="AO128" s="243">
        <f>H128*0</f>
        <v>0</v>
      </c>
      <c r="AP128" s="243">
        <f>H128*(1-0)</f>
        <v>0</v>
      </c>
      <c r="AQ128" s="245" t="s">
        <v>553</v>
      </c>
      <c r="AV128" s="243">
        <f>AW128+AX128</f>
        <v>0</v>
      </c>
      <c r="AW128" s="243">
        <f>G128*AO128</f>
        <v>0</v>
      </c>
      <c r="AX128" s="243">
        <f>G128*AP128</f>
        <v>0</v>
      </c>
      <c r="AY128" s="245" t="s">
        <v>671</v>
      </c>
      <c r="AZ128" s="245" t="s">
        <v>665</v>
      </c>
      <c r="BA128" s="232" t="s">
        <v>666</v>
      </c>
      <c r="BC128" s="243">
        <f>AW128+AX128</f>
        <v>0</v>
      </c>
      <c r="BD128" s="243">
        <f>H128/(100-BE128)*100</f>
        <v>0</v>
      </c>
      <c r="BE128" s="243">
        <v>0</v>
      </c>
      <c r="BF128" s="243">
        <f>128</f>
        <v>128</v>
      </c>
      <c r="BH128" s="243">
        <f>G128*AO128</f>
        <v>0</v>
      </c>
      <c r="BI128" s="243">
        <f>G128*AP128</f>
        <v>0</v>
      </c>
      <c r="BJ128" s="243">
        <f>G128*H128</f>
        <v>0</v>
      </c>
      <c r="BK128" s="243"/>
      <c r="BL128" s="243">
        <v>12</v>
      </c>
      <c r="BW128" s="243">
        <v>21</v>
      </c>
    </row>
    <row r="129" spans="1:75" ht="13.5" customHeight="1">
      <c r="A129" s="207" t="s">
        <v>672</v>
      </c>
      <c r="B129" s="208" t="s">
        <v>663</v>
      </c>
      <c r="C129" s="208" t="s">
        <v>262</v>
      </c>
      <c r="D129" s="268" t="s">
        <v>263</v>
      </c>
      <c r="E129" s="260"/>
      <c r="F129" s="208" t="s">
        <v>123</v>
      </c>
      <c r="G129" s="243">
        <v>255.50399999999999</v>
      </c>
      <c r="H129" s="244">
        <v>0</v>
      </c>
      <c r="I129" s="244">
        <f>G129*H129</f>
        <v>0</v>
      </c>
      <c r="K129" s="231"/>
      <c r="Z129" s="243">
        <f>IF(AQ129="5",BJ129,0)</f>
        <v>0</v>
      </c>
      <c r="AB129" s="243">
        <f>IF(AQ129="1",BH129,0)</f>
        <v>0</v>
      </c>
      <c r="AC129" s="243">
        <f>IF(AQ129="1",BI129,0)</f>
        <v>0</v>
      </c>
      <c r="AD129" s="243">
        <f>IF(AQ129="7",BH129,0)</f>
        <v>0</v>
      </c>
      <c r="AE129" s="243">
        <f>IF(AQ129="7",BI129,0)</f>
        <v>0</v>
      </c>
      <c r="AF129" s="243">
        <f>IF(AQ129="2",BH129,0)</f>
        <v>0</v>
      </c>
      <c r="AG129" s="243">
        <f>IF(AQ129="2",BI129,0)</f>
        <v>0</v>
      </c>
      <c r="AH129" s="243">
        <f>IF(AQ129="0",BJ129,0)</f>
        <v>0</v>
      </c>
      <c r="AI129" s="232" t="s">
        <v>663</v>
      </c>
      <c r="AJ129" s="243">
        <f>IF(AN129=0,I129,0)</f>
        <v>0</v>
      </c>
      <c r="AK129" s="243">
        <f>IF(AN129=12,I129,0)</f>
        <v>0</v>
      </c>
      <c r="AL129" s="243">
        <f>IF(AN129=21,I129,0)</f>
        <v>0</v>
      </c>
      <c r="AN129" s="243">
        <v>21</v>
      </c>
      <c r="AO129" s="243">
        <f>H129*0</f>
        <v>0</v>
      </c>
      <c r="AP129" s="243">
        <f>H129*(1-0)</f>
        <v>0</v>
      </c>
      <c r="AQ129" s="245" t="s">
        <v>553</v>
      </c>
      <c r="AV129" s="243">
        <f>AW129+AX129</f>
        <v>0</v>
      </c>
      <c r="AW129" s="243">
        <f>G129*AO129</f>
        <v>0</v>
      </c>
      <c r="AX129" s="243">
        <f>G129*AP129</f>
        <v>0</v>
      </c>
      <c r="AY129" s="245" t="s">
        <v>671</v>
      </c>
      <c r="AZ129" s="245" t="s">
        <v>665</v>
      </c>
      <c r="BA129" s="232" t="s">
        <v>666</v>
      </c>
      <c r="BC129" s="243">
        <f>AW129+AX129</f>
        <v>0</v>
      </c>
      <c r="BD129" s="243">
        <f>H129/(100-BE129)*100</f>
        <v>0</v>
      </c>
      <c r="BE129" s="243">
        <v>0</v>
      </c>
      <c r="BF129" s="243">
        <f>129</f>
        <v>129</v>
      </c>
      <c r="BH129" s="243">
        <f>G129*AO129</f>
        <v>0</v>
      </c>
      <c r="BI129" s="243">
        <f>G129*AP129</f>
        <v>0</v>
      </c>
      <c r="BJ129" s="243">
        <f>G129*H129</f>
        <v>0</v>
      </c>
      <c r="BK129" s="243"/>
      <c r="BL129" s="243">
        <v>12</v>
      </c>
      <c r="BW129" s="243">
        <v>21</v>
      </c>
    </row>
    <row r="130" spans="1:75" ht="15" customHeight="1">
      <c r="A130" s="238" t="s">
        <v>21</v>
      </c>
      <c r="B130" s="239" t="s">
        <v>663</v>
      </c>
      <c r="C130" s="239" t="s">
        <v>264</v>
      </c>
      <c r="D130" s="309" t="s">
        <v>265</v>
      </c>
      <c r="E130" s="310"/>
      <c r="F130" s="240" t="s">
        <v>20</v>
      </c>
      <c r="G130" s="240" t="s">
        <v>20</v>
      </c>
      <c r="H130" s="241" t="s">
        <v>20</v>
      </c>
      <c r="I130" s="242">
        <f>SUM(I131:I133)</f>
        <v>0</v>
      </c>
      <c r="K130" s="231"/>
      <c r="AI130" s="232" t="s">
        <v>663</v>
      </c>
      <c r="AS130" s="225">
        <f>SUM(AJ131:AJ133)</f>
        <v>0</v>
      </c>
      <c r="AT130" s="225">
        <f>SUM(AK131:AK133)</f>
        <v>0</v>
      </c>
      <c r="AU130" s="225">
        <f>SUM(AL131:AL133)</f>
        <v>0</v>
      </c>
    </row>
    <row r="131" spans="1:75" ht="13.5" customHeight="1">
      <c r="A131" s="207" t="s">
        <v>673</v>
      </c>
      <c r="B131" s="208" t="s">
        <v>663</v>
      </c>
      <c r="C131" s="208" t="s">
        <v>266</v>
      </c>
      <c r="D131" s="268" t="s">
        <v>267</v>
      </c>
      <c r="E131" s="260"/>
      <c r="F131" s="208" t="s">
        <v>260</v>
      </c>
      <c r="G131" s="243">
        <v>44.25</v>
      </c>
      <c r="H131" s="244">
        <v>0</v>
      </c>
      <c r="I131" s="244">
        <f>G131*H131</f>
        <v>0</v>
      </c>
      <c r="K131" s="231"/>
      <c r="Z131" s="243">
        <f>IF(AQ131="5",BJ131,0)</f>
        <v>0</v>
      </c>
      <c r="AB131" s="243">
        <f>IF(AQ131="1",BH131,0)</f>
        <v>0</v>
      </c>
      <c r="AC131" s="243">
        <f>IF(AQ131="1",BI131,0)</f>
        <v>0</v>
      </c>
      <c r="AD131" s="243">
        <f>IF(AQ131="7",BH131,0)</f>
        <v>0</v>
      </c>
      <c r="AE131" s="243">
        <f>IF(AQ131="7",BI131,0)</f>
        <v>0</v>
      </c>
      <c r="AF131" s="243">
        <f>IF(AQ131="2",BH131,0)</f>
        <v>0</v>
      </c>
      <c r="AG131" s="243">
        <f>IF(AQ131="2",BI131,0)</f>
        <v>0</v>
      </c>
      <c r="AH131" s="243">
        <f>IF(AQ131="0",BJ131,0)</f>
        <v>0</v>
      </c>
      <c r="AI131" s="232" t="s">
        <v>663</v>
      </c>
      <c r="AJ131" s="243">
        <f>IF(AN131=0,I131,0)</f>
        <v>0</v>
      </c>
      <c r="AK131" s="243">
        <f>IF(AN131=12,I131,0)</f>
        <v>0</v>
      </c>
      <c r="AL131" s="243">
        <f>IF(AN131=21,I131,0)</f>
        <v>0</v>
      </c>
      <c r="AN131" s="243">
        <v>21</v>
      </c>
      <c r="AO131" s="243">
        <f>H131*0.464157782515992</f>
        <v>0</v>
      </c>
      <c r="AP131" s="243">
        <f>H131*(1-0.464157782515992)</f>
        <v>0</v>
      </c>
      <c r="AQ131" s="245" t="s">
        <v>553</v>
      </c>
      <c r="AV131" s="243">
        <f>AW131+AX131</f>
        <v>0</v>
      </c>
      <c r="AW131" s="243">
        <f>G131*AO131</f>
        <v>0</v>
      </c>
      <c r="AX131" s="243">
        <f>G131*AP131</f>
        <v>0</v>
      </c>
      <c r="AY131" s="245" t="s">
        <v>674</v>
      </c>
      <c r="AZ131" s="245" t="s">
        <v>665</v>
      </c>
      <c r="BA131" s="232" t="s">
        <v>666</v>
      </c>
      <c r="BC131" s="243">
        <f>AW131+AX131</f>
        <v>0</v>
      </c>
      <c r="BD131" s="243">
        <f>H131/(100-BE131)*100</f>
        <v>0</v>
      </c>
      <c r="BE131" s="243">
        <v>0</v>
      </c>
      <c r="BF131" s="243">
        <f>131</f>
        <v>131</v>
      </c>
      <c r="BH131" s="243">
        <f>G131*AO131</f>
        <v>0</v>
      </c>
      <c r="BI131" s="243">
        <f>G131*AP131</f>
        <v>0</v>
      </c>
      <c r="BJ131" s="243">
        <f>G131*H131</f>
        <v>0</v>
      </c>
      <c r="BK131" s="243"/>
      <c r="BL131" s="243">
        <v>17</v>
      </c>
      <c r="BW131" s="243">
        <v>21</v>
      </c>
    </row>
    <row r="132" spans="1:75" ht="13.5" customHeight="1">
      <c r="A132" s="207" t="s">
        <v>675</v>
      </c>
      <c r="B132" s="208" t="s">
        <v>663</v>
      </c>
      <c r="C132" s="208" t="s">
        <v>269</v>
      </c>
      <c r="D132" s="268" t="s">
        <v>270</v>
      </c>
      <c r="E132" s="260"/>
      <c r="F132" s="208" t="s">
        <v>260</v>
      </c>
      <c r="G132" s="243">
        <v>147.5</v>
      </c>
      <c r="H132" s="244">
        <v>0</v>
      </c>
      <c r="I132" s="244">
        <f>G132*H132</f>
        <v>0</v>
      </c>
      <c r="K132" s="231"/>
      <c r="Z132" s="243">
        <f>IF(AQ132="5",BJ132,0)</f>
        <v>0</v>
      </c>
      <c r="AB132" s="243">
        <f>IF(AQ132="1",BH132,0)</f>
        <v>0</v>
      </c>
      <c r="AC132" s="243">
        <f>IF(AQ132="1",BI132,0)</f>
        <v>0</v>
      </c>
      <c r="AD132" s="243">
        <f>IF(AQ132="7",BH132,0)</f>
        <v>0</v>
      </c>
      <c r="AE132" s="243">
        <f>IF(AQ132="7",BI132,0)</f>
        <v>0</v>
      </c>
      <c r="AF132" s="243">
        <f>IF(AQ132="2",BH132,0)</f>
        <v>0</v>
      </c>
      <c r="AG132" s="243">
        <f>IF(AQ132="2",BI132,0)</f>
        <v>0</v>
      </c>
      <c r="AH132" s="243">
        <f>IF(AQ132="0",BJ132,0)</f>
        <v>0</v>
      </c>
      <c r="AI132" s="232" t="s">
        <v>663</v>
      </c>
      <c r="AJ132" s="243">
        <f>IF(AN132=0,I132,0)</f>
        <v>0</v>
      </c>
      <c r="AK132" s="243">
        <f>IF(AN132=12,I132,0)</f>
        <v>0</v>
      </c>
      <c r="AL132" s="243">
        <f>IF(AN132=21,I132,0)</f>
        <v>0</v>
      </c>
      <c r="AN132" s="243">
        <v>21</v>
      </c>
      <c r="AO132" s="243">
        <f>H132*0.517505126452495</f>
        <v>0</v>
      </c>
      <c r="AP132" s="243">
        <f>H132*(1-0.517505126452495)</f>
        <v>0</v>
      </c>
      <c r="AQ132" s="245" t="s">
        <v>553</v>
      </c>
      <c r="AV132" s="243">
        <f>AW132+AX132</f>
        <v>0</v>
      </c>
      <c r="AW132" s="243">
        <f>G132*AO132</f>
        <v>0</v>
      </c>
      <c r="AX132" s="243">
        <f>G132*AP132</f>
        <v>0</v>
      </c>
      <c r="AY132" s="245" t="s">
        <v>674</v>
      </c>
      <c r="AZ132" s="245" t="s">
        <v>665</v>
      </c>
      <c r="BA132" s="232" t="s">
        <v>666</v>
      </c>
      <c r="BC132" s="243">
        <f>AW132+AX132</f>
        <v>0</v>
      </c>
      <c r="BD132" s="243">
        <f>H132/(100-BE132)*100</f>
        <v>0</v>
      </c>
      <c r="BE132" s="243">
        <v>0</v>
      </c>
      <c r="BF132" s="243">
        <f>132</f>
        <v>132</v>
      </c>
      <c r="BH132" s="243">
        <f>G132*AO132</f>
        <v>0</v>
      </c>
      <c r="BI132" s="243">
        <f>G132*AP132</f>
        <v>0</v>
      </c>
      <c r="BJ132" s="243">
        <f>G132*H132</f>
        <v>0</v>
      </c>
      <c r="BK132" s="243"/>
      <c r="BL132" s="243">
        <v>17</v>
      </c>
      <c r="BW132" s="243">
        <v>21</v>
      </c>
    </row>
    <row r="133" spans="1:75" ht="13.5" customHeight="1">
      <c r="A133" s="207" t="s">
        <v>676</v>
      </c>
      <c r="B133" s="208" t="s">
        <v>663</v>
      </c>
      <c r="C133" s="208" t="s">
        <v>272</v>
      </c>
      <c r="D133" s="268" t="s">
        <v>273</v>
      </c>
      <c r="E133" s="260"/>
      <c r="F133" s="208" t="s">
        <v>260</v>
      </c>
      <c r="G133" s="243">
        <v>63.75</v>
      </c>
      <c r="H133" s="244">
        <v>0</v>
      </c>
      <c r="I133" s="244">
        <f>G133*H133</f>
        <v>0</v>
      </c>
      <c r="K133" s="231"/>
      <c r="Z133" s="243">
        <f>IF(AQ133="5",BJ133,0)</f>
        <v>0</v>
      </c>
      <c r="AB133" s="243">
        <f>IF(AQ133="1",BH133,0)</f>
        <v>0</v>
      </c>
      <c r="AC133" s="243">
        <f>IF(AQ133="1",BI133,0)</f>
        <v>0</v>
      </c>
      <c r="AD133" s="243">
        <f>IF(AQ133="7",BH133,0)</f>
        <v>0</v>
      </c>
      <c r="AE133" s="243">
        <f>IF(AQ133="7",BI133,0)</f>
        <v>0</v>
      </c>
      <c r="AF133" s="243">
        <f>IF(AQ133="2",BH133,0)</f>
        <v>0</v>
      </c>
      <c r="AG133" s="243">
        <f>IF(AQ133="2",BI133,0)</f>
        <v>0</v>
      </c>
      <c r="AH133" s="243">
        <f>IF(AQ133="0",BJ133,0)</f>
        <v>0</v>
      </c>
      <c r="AI133" s="232" t="s">
        <v>663</v>
      </c>
      <c r="AJ133" s="243">
        <f>IF(AN133=0,I133,0)</f>
        <v>0</v>
      </c>
      <c r="AK133" s="243">
        <f>IF(AN133=12,I133,0)</f>
        <v>0</v>
      </c>
      <c r="AL133" s="243">
        <f>IF(AN133=21,I133,0)</f>
        <v>0</v>
      </c>
      <c r="AN133" s="243">
        <v>21</v>
      </c>
      <c r="AO133" s="243">
        <f>H133*0</f>
        <v>0</v>
      </c>
      <c r="AP133" s="243">
        <f>H133*(1-0)</f>
        <v>0</v>
      </c>
      <c r="AQ133" s="245" t="s">
        <v>553</v>
      </c>
      <c r="AV133" s="243">
        <f>AW133+AX133</f>
        <v>0</v>
      </c>
      <c r="AW133" s="243">
        <f>G133*AO133</f>
        <v>0</v>
      </c>
      <c r="AX133" s="243">
        <f>G133*AP133</f>
        <v>0</v>
      </c>
      <c r="AY133" s="245" t="s">
        <v>674</v>
      </c>
      <c r="AZ133" s="245" t="s">
        <v>665</v>
      </c>
      <c r="BA133" s="232" t="s">
        <v>666</v>
      </c>
      <c r="BC133" s="243">
        <f>AW133+AX133</f>
        <v>0</v>
      </c>
      <c r="BD133" s="243">
        <f>H133/(100-BE133)*100</f>
        <v>0</v>
      </c>
      <c r="BE133" s="243">
        <v>0</v>
      </c>
      <c r="BF133" s="243">
        <f>133</f>
        <v>133</v>
      </c>
      <c r="BH133" s="243">
        <f>G133*AO133</f>
        <v>0</v>
      </c>
      <c r="BI133" s="243">
        <f>G133*AP133</f>
        <v>0</v>
      </c>
      <c r="BJ133" s="243">
        <f>G133*H133</f>
        <v>0</v>
      </c>
      <c r="BK133" s="243"/>
      <c r="BL133" s="243">
        <v>17</v>
      </c>
      <c r="BW133" s="243">
        <v>21</v>
      </c>
    </row>
    <row r="134" spans="1:75" ht="15" customHeight="1">
      <c r="A134" s="238" t="s">
        <v>21</v>
      </c>
      <c r="B134" s="239" t="s">
        <v>663</v>
      </c>
      <c r="C134" s="239" t="s">
        <v>274</v>
      </c>
      <c r="D134" s="309" t="s">
        <v>275</v>
      </c>
      <c r="E134" s="310"/>
      <c r="F134" s="240" t="s">
        <v>20</v>
      </c>
      <c r="G134" s="240" t="s">
        <v>20</v>
      </c>
      <c r="H134" s="241" t="s">
        <v>20</v>
      </c>
      <c r="I134" s="242">
        <f>SUM(I135:I135)</f>
        <v>0</v>
      </c>
      <c r="K134" s="231"/>
      <c r="AI134" s="232" t="s">
        <v>663</v>
      </c>
      <c r="AS134" s="225">
        <f>SUM(AJ135:AJ135)</f>
        <v>0</v>
      </c>
      <c r="AT134" s="225">
        <f>SUM(AK135:AK135)</f>
        <v>0</v>
      </c>
      <c r="AU134" s="225">
        <f>SUM(AL135:AL135)</f>
        <v>0</v>
      </c>
    </row>
    <row r="135" spans="1:75" ht="13.5" customHeight="1">
      <c r="A135" s="207" t="s">
        <v>677</v>
      </c>
      <c r="B135" s="208" t="s">
        <v>663</v>
      </c>
      <c r="C135" s="208" t="s">
        <v>276</v>
      </c>
      <c r="D135" s="268" t="s">
        <v>277</v>
      </c>
      <c r="E135" s="260"/>
      <c r="F135" s="208" t="s">
        <v>245</v>
      </c>
      <c r="G135" s="243">
        <v>825</v>
      </c>
      <c r="H135" s="244">
        <v>0</v>
      </c>
      <c r="I135" s="244">
        <f>G135*H135</f>
        <v>0</v>
      </c>
      <c r="K135" s="231"/>
      <c r="Z135" s="243">
        <f>IF(AQ135="5",BJ135,0)</f>
        <v>0</v>
      </c>
      <c r="AB135" s="243">
        <f>IF(AQ135="1",BH135,0)</f>
        <v>0</v>
      </c>
      <c r="AC135" s="243">
        <f>IF(AQ135="1",BI135,0)</f>
        <v>0</v>
      </c>
      <c r="AD135" s="243">
        <f>IF(AQ135="7",BH135,0)</f>
        <v>0</v>
      </c>
      <c r="AE135" s="243">
        <f>IF(AQ135="7",BI135,0)</f>
        <v>0</v>
      </c>
      <c r="AF135" s="243">
        <f>IF(AQ135="2",BH135,0)</f>
        <v>0</v>
      </c>
      <c r="AG135" s="243">
        <f>IF(AQ135="2",BI135,0)</f>
        <v>0</v>
      </c>
      <c r="AH135" s="243">
        <f>IF(AQ135="0",BJ135,0)</f>
        <v>0</v>
      </c>
      <c r="AI135" s="232" t="s">
        <v>663</v>
      </c>
      <c r="AJ135" s="243">
        <f>IF(AN135=0,I135,0)</f>
        <v>0</v>
      </c>
      <c r="AK135" s="243">
        <f>IF(AN135=12,I135,0)</f>
        <v>0</v>
      </c>
      <c r="AL135" s="243">
        <f>IF(AN135=21,I135,0)</f>
        <v>0</v>
      </c>
      <c r="AN135" s="243">
        <v>21</v>
      </c>
      <c r="AO135" s="243">
        <f>H135*0</f>
        <v>0</v>
      </c>
      <c r="AP135" s="243">
        <f>H135*(1-0)</f>
        <v>0</v>
      </c>
      <c r="AQ135" s="245" t="s">
        <v>553</v>
      </c>
      <c r="AV135" s="243">
        <f>AW135+AX135</f>
        <v>0</v>
      </c>
      <c r="AW135" s="243">
        <f>G135*AO135</f>
        <v>0</v>
      </c>
      <c r="AX135" s="243">
        <f>G135*AP135</f>
        <v>0</v>
      </c>
      <c r="AY135" s="245" t="s">
        <v>678</v>
      </c>
      <c r="AZ135" s="245" t="s">
        <v>665</v>
      </c>
      <c r="BA135" s="232" t="s">
        <v>666</v>
      </c>
      <c r="BC135" s="243">
        <f>AW135+AX135</f>
        <v>0</v>
      </c>
      <c r="BD135" s="243">
        <f>H135/(100-BE135)*100</f>
        <v>0</v>
      </c>
      <c r="BE135" s="243">
        <v>0</v>
      </c>
      <c r="BF135" s="243">
        <f>135</f>
        <v>135</v>
      </c>
      <c r="BH135" s="243">
        <f>G135*AO135</f>
        <v>0</v>
      </c>
      <c r="BI135" s="243">
        <f>G135*AP135</f>
        <v>0</v>
      </c>
      <c r="BJ135" s="243">
        <f>G135*H135</f>
        <v>0</v>
      </c>
      <c r="BK135" s="243"/>
      <c r="BL135" s="243">
        <v>18</v>
      </c>
      <c r="BW135" s="243">
        <v>21</v>
      </c>
    </row>
    <row r="136" spans="1:75" ht="15" customHeight="1">
      <c r="A136" s="238" t="s">
        <v>21</v>
      </c>
      <c r="B136" s="239" t="s">
        <v>663</v>
      </c>
      <c r="C136" s="239" t="s">
        <v>278</v>
      </c>
      <c r="D136" s="309" t="s">
        <v>279</v>
      </c>
      <c r="E136" s="310"/>
      <c r="F136" s="240" t="s">
        <v>20</v>
      </c>
      <c r="G136" s="240" t="s">
        <v>20</v>
      </c>
      <c r="H136" s="241" t="s">
        <v>20</v>
      </c>
      <c r="I136" s="242">
        <f>SUM(I137:I137)</f>
        <v>0</v>
      </c>
      <c r="K136" s="231"/>
      <c r="AI136" s="232" t="s">
        <v>663</v>
      </c>
      <c r="AS136" s="225">
        <f>SUM(AJ137:AJ137)</f>
        <v>0</v>
      </c>
      <c r="AT136" s="225">
        <f>SUM(AK137:AK137)</f>
        <v>0</v>
      </c>
      <c r="AU136" s="225">
        <f>SUM(AL137:AL137)</f>
        <v>0</v>
      </c>
    </row>
    <row r="137" spans="1:75" ht="27" customHeight="1">
      <c r="A137" s="207" t="s">
        <v>679</v>
      </c>
      <c r="B137" s="208" t="s">
        <v>663</v>
      </c>
      <c r="C137" s="208" t="s">
        <v>280</v>
      </c>
      <c r="D137" s="268" t="s">
        <v>281</v>
      </c>
      <c r="E137" s="260"/>
      <c r="F137" s="208" t="s">
        <v>260</v>
      </c>
      <c r="G137" s="243">
        <v>2.4</v>
      </c>
      <c r="H137" s="244">
        <v>0</v>
      </c>
      <c r="I137" s="244">
        <f>G137*H137</f>
        <v>0</v>
      </c>
      <c r="K137" s="231"/>
      <c r="Z137" s="243">
        <f>IF(AQ137="5",BJ137,0)</f>
        <v>0</v>
      </c>
      <c r="AB137" s="243">
        <f>IF(AQ137="1",BH137,0)</f>
        <v>0</v>
      </c>
      <c r="AC137" s="243">
        <f>IF(AQ137="1",BI137,0)</f>
        <v>0</v>
      </c>
      <c r="AD137" s="243">
        <f>IF(AQ137="7",BH137,0)</f>
        <v>0</v>
      </c>
      <c r="AE137" s="243">
        <f>IF(AQ137="7",BI137,0)</f>
        <v>0</v>
      </c>
      <c r="AF137" s="243">
        <f>IF(AQ137="2",BH137,0)</f>
        <v>0</v>
      </c>
      <c r="AG137" s="243">
        <f>IF(AQ137="2",BI137,0)</f>
        <v>0</v>
      </c>
      <c r="AH137" s="243">
        <f>IF(AQ137="0",BJ137,0)</f>
        <v>0</v>
      </c>
      <c r="AI137" s="232" t="s">
        <v>663</v>
      </c>
      <c r="AJ137" s="243">
        <f>IF(AN137=0,I137,0)</f>
        <v>0</v>
      </c>
      <c r="AK137" s="243">
        <f>IF(AN137=12,I137,0)</f>
        <v>0</v>
      </c>
      <c r="AL137" s="243">
        <f>IF(AN137=21,I137,0)</f>
        <v>0</v>
      </c>
      <c r="AN137" s="243">
        <v>21</v>
      </c>
      <c r="AO137" s="243">
        <f>H137*0.471069746376812</f>
        <v>0</v>
      </c>
      <c r="AP137" s="243">
        <f>H137*(1-0.471069746376812)</f>
        <v>0</v>
      </c>
      <c r="AQ137" s="245" t="s">
        <v>553</v>
      </c>
      <c r="AV137" s="243">
        <f>AW137+AX137</f>
        <v>0</v>
      </c>
      <c r="AW137" s="243">
        <f>G137*AO137</f>
        <v>0</v>
      </c>
      <c r="AX137" s="243">
        <f>G137*AP137</f>
        <v>0</v>
      </c>
      <c r="AY137" s="245" t="s">
        <v>680</v>
      </c>
      <c r="AZ137" s="245" t="s">
        <v>681</v>
      </c>
      <c r="BA137" s="232" t="s">
        <v>666</v>
      </c>
      <c r="BC137" s="243">
        <f>AW137+AX137</f>
        <v>0</v>
      </c>
      <c r="BD137" s="243">
        <f>H137/(100-BE137)*100</f>
        <v>0</v>
      </c>
      <c r="BE137" s="243">
        <v>0</v>
      </c>
      <c r="BF137" s="243">
        <f>137</f>
        <v>137</v>
      </c>
      <c r="BH137" s="243">
        <f>G137*AO137</f>
        <v>0</v>
      </c>
      <c r="BI137" s="243">
        <f>G137*AP137</f>
        <v>0</v>
      </c>
      <c r="BJ137" s="243">
        <f>G137*H137</f>
        <v>0</v>
      </c>
      <c r="BK137" s="243"/>
      <c r="BL137" s="243">
        <v>38</v>
      </c>
      <c r="BW137" s="243">
        <v>21</v>
      </c>
    </row>
    <row r="138" spans="1:75" ht="15" customHeight="1">
      <c r="A138" s="238" t="s">
        <v>21</v>
      </c>
      <c r="B138" s="239" t="s">
        <v>663</v>
      </c>
      <c r="C138" s="239" t="s">
        <v>282</v>
      </c>
      <c r="D138" s="309" t="s">
        <v>283</v>
      </c>
      <c r="E138" s="310"/>
      <c r="F138" s="240" t="s">
        <v>20</v>
      </c>
      <c r="G138" s="240" t="s">
        <v>20</v>
      </c>
      <c r="H138" s="241" t="s">
        <v>20</v>
      </c>
      <c r="I138" s="242">
        <f>SUM(I139:I139)</f>
        <v>0</v>
      </c>
      <c r="K138" s="231"/>
      <c r="AI138" s="232" t="s">
        <v>663</v>
      </c>
      <c r="AS138" s="225">
        <f>SUM(AJ139:AJ139)</f>
        <v>0</v>
      </c>
      <c r="AT138" s="225">
        <f>SUM(AK139:AK139)</f>
        <v>0</v>
      </c>
      <c r="AU138" s="225">
        <f>SUM(AL139:AL139)</f>
        <v>0</v>
      </c>
    </row>
    <row r="139" spans="1:75" ht="13.5" customHeight="1">
      <c r="A139" s="207" t="s">
        <v>556</v>
      </c>
      <c r="B139" s="208" t="s">
        <v>663</v>
      </c>
      <c r="C139" s="208" t="s">
        <v>284</v>
      </c>
      <c r="D139" s="268" t="s">
        <v>285</v>
      </c>
      <c r="E139" s="260"/>
      <c r="F139" s="208" t="s">
        <v>245</v>
      </c>
      <c r="G139" s="243">
        <v>608</v>
      </c>
      <c r="H139" s="244">
        <v>0</v>
      </c>
      <c r="I139" s="244">
        <f>G139*H139</f>
        <v>0</v>
      </c>
      <c r="K139" s="231"/>
      <c r="Z139" s="243">
        <f>IF(AQ139="5",BJ139,0)</f>
        <v>0</v>
      </c>
      <c r="AB139" s="243">
        <f>IF(AQ139="1",BH139,0)</f>
        <v>0</v>
      </c>
      <c r="AC139" s="243">
        <f>IF(AQ139="1",BI139,0)</f>
        <v>0</v>
      </c>
      <c r="AD139" s="243">
        <f>IF(AQ139="7",BH139,0)</f>
        <v>0</v>
      </c>
      <c r="AE139" s="243">
        <f>IF(AQ139="7",BI139,0)</f>
        <v>0</v>
      </c>
      <c r="AF139" s="243">
        <f>IF(AQ139="2",BH139,0)</f>
        <v>0</v>
      </c>
      <c r="AG139" s="243">
        <f>IF(AQ139="2",BI139,0)</f>
        <v>0</v>
      </c>
      <c r="AH139" s="243">
        <f>IF(AQ139="0",BJ139,0)</f>
        <v>0</v>
      </c>
      <c r="AI139" s="232" t="s">
        <v>663</v>
      </c>
      <c r="AJ139" s="243">
        <f>IF(AN139=0,I139,0)</f>
        <v>0</v>
      </c>
      <c r="AK139" s="243">
        <f>IF(AN139=12,I139,0)</f>
        <v>0</v>
      </c>
      <c r="AL139" s="243">
        <f>IF(AN139=21,I139,0)</f>
        <v>0</v>
      </c>
      <c r="AN139" s="243">
        <v>21</v>
      </c>
      <c r="AO139" s="243">
        <f>H139*0.511925814936046</f>
        <v>0</v>
      </c>
      <c r="AP139" s="243">
        <f>H139*(1-0.511925814936046)</f>
        <v>0</v>
      </c>
      <c r="AQ139" s="245" t="s">
        <v>553</v>
      </c>
      <c r="AV139" s="243">
        <f>AW139+AX139</f>
        <v>0</v>
      </c>
      <c r="AW139" s="243">
        <f>G139*AO139</f>
        <v>0</v>
      </c>
      <c r="AX139" s="243">
        <f>G139*AP139</f>
        <v>0</v>
      </c>
      <c r="AY139" s="245" t="s">
        <v>682</v>
      </c>
      <c r="AZ139" s="245" t="s">
        <v>683</v>
      </c>
      <c r="BA139" s="232" t="s">
        <v>666</v>
      </c>
      <c r="BC139" s="243">
        <f>AW139+AX139</f>
        <v>0</v>
      </c>
      <c r="BD139" s="243">
        <f>H139/(100-BE139)*100</f>
        <v>0</v>
      </c>
      <c r="BE139" s="243">
        <v>0</v>
      </c>
      <c r="BF139" s="243">
        <f>139</f>
        <v>139</v>
      </c>
      <c r="BH139" s="243">
        <f>G139*AO139</f>
        <v>0</v>
      </c>
      <c r="BI139" s="243">
        <f>G139*AP139</f>
        <v>0</v>
      </c>
      <c r="BJ139" s="243">
        <f>G139*H139</f>
        <v>0</v>
      </c>
      <c r="BK139" s="243"/>
      <c r="BL139" s="243">
        <v>59</v>
      </c>
      <c r="BW139" s="243">
        <v>21</v>
      </c>
    </row>
    <row r="140" spans="1:75" ht="15" customHeight="1">
      <c r="A140" s="238" t="s">
        <v>21</v>
      </c>
      <c r="B140" s="239" t="s">
        <v>663</v>
      </c>
      <c r="C140" s="239" t="s">
        <v>85</v>
      </c>
      <c r="D140" s="309" t="s">
        <v>86</v>
      </c>
      <c r="E140" s="310"/>
      <c r="F140" s="240" t="s">
        <v>20</v>
      </c>
      <c r="G140" s="240" t="s">
        <v>20</v>
      </c>
      <c r="H140" s="241" t="s">
        <v>20</v>
      </c>
      <c r="I140" s="242">
        <f>SUM(I141:I155)</f>
        <v>0</v>
      </c>
      <c r="K140" s="231"/>
      <c r="AI140" s="232" t="s">
        <v>663</v>
      </c>
      <c r="AS140" s="225">
        <f>SUM(AJ141:AJ155)</f>
        <v>0</v>
      </c>
      <c r="AT140" s="225">
        <f>SUM(AK141:AK155)</f>
        <v>0</v>
      </c>
      <c r="AU140" s="225">
        <f>SUM(AL141:AL155)</f>
        <v>0</v>
      </c>
    </row>
    <row r="141" spans="1:75" ht="13.5" customHeight="1">
      <c r="A141" s="207" t="s">
        <v>684</v>
      </c>
      <c r="B141" s="208" t="s">
        <v>663</v>
      </c>
      <c r="C141" s="208" t="s">
        <v>287</v>
      </c>
      <c r="D141" s="268" t="s">
        <v>288</v>
      </c>
      <c r="E141" s="260"/>
      <c r="F141" s="208" t="s">
        <v>63</v>
      </c>
      <c r="G141" s="243">
        <v>1076</v>
      </c>
      <c r="H141" s="244">
        <v>0</v>
      </c>
      <c r="I141" s="244">
        <f t="shared" ref="I141:I155" si="100">G141*H141</f>
        <v>0</v>
      </c>
      <c r="K141" s="231"/>
      <c r="Z141" s="243">
        <f t="shared" ref="Z141:Z155" si="101">IF(AQ141="5",BJ141,0)</f>
        <v>0</v>
      </c>
      <c r="AB141" s="243">
        <f t="shared" ref="AB141:AB155" si="102">IF(AQ141="1",BH141,0)</f>
        <v>0</v>
      </c>
      <c r="AC141" s="243">
        <f t="shared" ref="AC141:AC155" si="103">IF(AQ141="1",BI141,0)</f>
        <v>0</v>
      </c>
      <c r="AD141" s="243">
        <f t="shared" ref="AD141:AD155" si="104">IF(AQ141="7",BH141,0)</f>
        <v>0</v>
      </c>
      <c r="AE141" s="243">
        <f t="shared" ref="AE141:AE155" si="105">IF(AQ141="7",BI141,0)</f>
        <v>0</v>
      </c>
      <c r="AF141" s="243">
        <f t="shared" ref="AF141:AF155" si="106">IF(AQ141="2",BH141,0)</f>
        <v>0</v>
      </c>
      <c r="AG141" s="243">
        <f t="shared" ref="AG141:AG155" si="107">IF(AQ141="2",BI141,0)</f>
        <v>0</v>
      </c>
      <c r="AH141" s="243">
        <f t="shared" ref="AH141:AH155" si="108">IF(AQ141="0",BJ141,0)</f>
        <v>0</v>
      </c>
      <c r="AI141" s="232" t="s">
        <v>663</v>
      </c>
      <c r="AJ141" s="243">
        <f t="shared" ref="AJ141:AJ155" si="109">IF(AN141=0,I141,0)</f>
        <v>0</v>
      </c>
      <c r="AK141" s="243">
        <f t="shared" ref="AK141:AK155" si="110">IF(AN141=12,I141,0)</f>
        <v>0</v>
      </c>
      <c r="AL141" s="243">
        <f t="shared" ref="AL141:AL155" si="111">IF(AN141=21,I141,0)</f>
        <v>0</v>
      </c>
      <c r="AN141" s="243">
        <v>21</v>
      </c>
      <c r="AO141" s="243">
        <f>H141*0.383928571428571</f>
        <v>0</v>
      </c>
      <c r="AP141" s="243">
        <f>H141*(1-0.383928571428571)</f>
        <v>0</v>
      </c>
      <c r="AQ141" s="245" t="s">
        <v>567</v>
      </c>
      <c r="AV141" s="243">
        <f t="shared" ref="AV141:AV155" si="112">AW141+AX141</f>
        <v>0</v>
      </c>
      <c r="AW141" s="243">
        <f t="shared" ref="AW141:AW155" si="113">G141*AO141</f>
        <v>0</v>
      </c>
      <c r="AX141" s="243">
        <f t="shared" ref="AX141:AX155" si="114">G141*AP141</f>
        <v>0</v>
      </c>
      <c r="AY141" s="245" t="s">
        <v>588</v>
      </c>
      <c r="AZ141" s="245" t="s">
        <v>685</v>
      </c>
      <c r="BA141" s="232" t="s">
        <v>666</v>
      </c>
      <c r="BC141" s="243">
        <f t="shared" ref="BC141:BC155" si="115">AW141+AX141</f>
        <v>0</v>
      </c>
      <c r="BD141" s="243">
        <f t="shared" ref="BD141:BD155" si="116">H141/(100-BE141)*100</f>
        <v>0</v>
      </c>
      <c r="BE141" s="243">
        <v>0</v>
      </c>
      <c r="BF141" s="243">
        <f>141</f>
        <v>141</v>
      </c>
      <c r="BH141" s="243">
        <f t="shared" ref="BH141:BH155" si="117">G141*AO141</f>
        <v>0</v>
      </c>
      <c r="BI141" s="243">
        <f t="shared" ref="BI141:BI155" si="118">G141*AP141</f>
        <v>0</v>
      </c>
      <c r="BJ141" s="243">
        <f t="shared" ref="BJ141:BJ155" si="119">G141*H141</f>
        <v>0</v>
      </c>
      <c r="BK141" s="243"/>
      <c r="BL141" s="243">
        <v>733</v>
      </c>
      <c r="BW141" s="243">
        <v>21</v>
      </c>
    </row>
    <row r="142" spans="1:75" ht="13.5" customHeight="1">
      <c r="A142" s="207" t="s">
        <v>686</v>
      </c>
      <c r="B142" s="208" t="s">
        <v>663</v>
      </c>
      <c r="C142" s="208" t="s">
        <v>289</v>
      </c>
      <c r="D142" s="268" t="s">
        <v>290</v>
      </c>
      <c r="E142" s="260"/>
      <c r="F142" s="208" t="s">
        <v>63</v>
      </c>
      <c r="G142" s="243">
        <v>1076</v>
      </c>
      <c r="H142" s="244">
        <v>0</v>
      </c>
      <c r="I142" s="244">
        <f t="shared" si="100"/>
        <v>0</v>
      </c>
      <c r="K142" s="231"/>
      <c r="Z142" s="243">
        <f t="shared" si="101"/>
        <v>0</v>
      </c>
      <c r="AB142" s="243">
        <f t="shared" si="102"/>
        <v>0</v>
      </c>
      <c r="AC142" s="243">
        <f t="shared" si="103"/>
        <v>0</v>
      </c>
      <c r="AD142" s="243">
        <f t="shared" si="104"/>
        <v>0</v>
      </c>
      <c r="AE142" s="243">
        <f t="shared" si="105"/>
        <v>0</v>
      </c>
      <c r="AF142" s="243">
        <f t="shared" si="106"/>
        <v>0</v>
      </c>
      <c r="AG142" s="243">
        <f t="shared" si="107"/>
        <v>0</v>
      </c>
      <c r="AH142" s="243">
        <f t="shared" si="108"/>
        <v>0</v>
      </c>
      <c r="AI142" s="232" t="s">
        <v>663</v>
      </c>
      <c r="AJ142" s="243">
        <f t="shared" si="109"/>
        <v>0</v>
      </c>
      <c r="AK142" s="243">
        <f t="shared" si="110"/>
        <v>0</v>
      </c>
      <c r="AL142" s="243">
        <f t="shared" si="111"/>
        <v>0</v>
      </c>
      <c r="AN142" s="243">
        <v>21</v>
      </c>
      <c r="AO142" s="243">
        <f>H142*0.212764227642276</f>
        <v>0</v>
      </c>
      <c r="AP142" s="243">
        <f>H142*(1-0.212764227642276)</f>
        <v>0</v>
      </c>
      <c r="AQ142" s="245" t="s">
        <v>567</v>
      </c>
      <c r="AV142" s="243">
        <f t="shared" si="112"/>
        <v>0</v>
      </c>
      <c r="AW142" s="243">
        <f t="shared" si="113"/>
        <v>0</v>
      </c>
      <c r="AX142" s="243">
        <f t="shared" si="114"/>
        <v>0</v>
      </c>
      <c r="AY142" s="245" t="s">
        <v>588</v>
      </c>
      <c r="AZ142" s="245" t="s">
        <v>685</v>
      </c>
      <c r="BA142" s="232" t="s">
        <v>666</v>
      </c>
      <c r="BC142" s="243">
        <f t="shared" si="115"/>
        <v>0</v>
      </c>
      <c r="BD142" s="243">
        <f t="shared" si="116"/>
        <v>0</v>
      </c>
      <c r="BE142" s="243">
        <v>0</v>
      </c>
      <c r="BF142" s="243">
        <f>142</f>
        <v>142</v>
      </c>
      <c r="BH142" s="243">
        <f t="shared" si="117"/>
        <v>0</v>
      </c>
      <c r="BI142" s="243">
        <f t="shared" si="118"/>
        <v>0</v>
      </c>
      <c r="BJ142" s="243">
        <f t="shared" si="119"/>
        <v>0</v>
      </c>
      <c r="BK142" s="243"/>
      <c r="BL142" s="243">
        <v>733</v>
      </c>
      <c r="BW142" s="243">
        <v>21</v>
      </c>
    </row>
    <row r="143" spans="1:75" ht="27" customHeight="1">
      <c r="A143" s="207" t="s">
        <v>687</v>
      </c>
      <c r="B143" s="208" t="s">
        <v>663</v>
      </c>
      <c r="C143" s="208" t="s">
        <v>291</v>
      </c>
      <c r="D143" s="268" t="s">
        <v>292</v>
      </c>
      <c r="E143" s="260"/>
      <c r="F143" s="208" t="s">
        <v>63</v>
      </c>
      <c r="G143" s="243">
        <v>300</v>
      </c>
      <c r="H143" s="244">
        <v>0</v>
      </c>
      <c r="I143" s="244">
        <f t="shared" si="100"/>
        <v>0</v>
      </c>
      <c r="K143" s="231"/>
      <c r="Z143" s="243">
        <f t="shared" si="101"/>
        <v>0</v>
      </c>
      <c r="AB143" s="243">
        <f t="shared" si="102"/>
        <v>0</v>
      </c>
      <c r="AC143" s="243">
        <f t="shared" si="103"/>
        <v>0</v>
      </c>
      <c r="AD143" s="243">
        <f t="shared" si="104"/>
        <v>0</v>
      </c>
      <c r="AE143" s="243">
        <f t="shared" si="105"/>
        <v>0</v>
      </c>
      <c r="AF143" s="243">
        <f t="shared" si="106"/>
        <v>0</v>
      </c>
      <c r="AG143" s="243">
        <f t="shared" si="107"/>
        <v>0</v>
      </c>
      <c r="AH143" s="243">
        <f t="shared" si="108"/>
        <v>0</v>
      </c>
      <c r="AI143" s="232" t="s">
        <v>663</v>
      </c>
      <c r="AJ143" s="243">
        <f t="shared" si="109"/>
        <v>0</v>
      </c>
      <c r="AK143" s="243">
        <f t="shared" si="110"/>
        <v>0</v>
      </c>
      <c r="AL143" s="243">
        <f t="shared" si="111"/>
        <v>0</v>
      </c>
      <c r="AN143" s="243">
        <v>21</v>
      </c>
      <c r="AO143" s="243">
        <f>H143*1</f>
        <v>0</v>
      </c>
      <c r="AP143" s="243">
        <f>H143*(1-1)</f>
        <v>0</v>
      </c>
      <c r="AQ143" s="245" t="s">
        <v>567</v>
      </c>
      <c r="AV143" s="243">
        <f t="shared" si="112"/>
        <v>0</v>
      </c>
      <c r="AW143" s="243">
        <f t="shared" si="113"/>
        <v>0</v>
      </c>
      <c r="AX143" s="243">
        <f t="shared" si="114"/>
        <v>0</v>
      </c>
      <c r="AY143" s="245" t="s">
        <v>588</v>
      </c>
      <c r="AZ143" s="245" t="s">
        <v>685</v>
      </c>
      <c r="BA143" s="232" t="s">
        <v>666</v>
      </c>
      <c r="BC143" s="243">
        <f t="shared" si="115"/>
        <v>0</v>
      </c>
      <c r="BD143" s="243">
        <f t="shared" si="116"/>
        <v>0</v>
      </c>
      <c r="BE143" s="243">
        <v>0</v>
      </c>
      <c r="BF143" s="243">
        <f>143</f>
        <v>143</v>
      </c>
      <c r="BH143" s="243">
        <f t="shared" si="117"/>
        <v>0</v>
      </c>
      <c r="BI143" s="243">
        <f t="shared" si="118"/>
        <v>0</v>
      </c>
      <c r="BJ143" s="243">
        <f t="shared" si="119"/>
        <v>0</v>
      </c>
      <c r="BK143" s="243"/>
      <c r="BL143" s="243">
        <v>733</v>
      </c>
      <c r="BW143" s="243">
        <v>21</v>
      </c>
    </row>
    <row r="144" spans="1:75" ht="13.5" customHeight="1">
      <c r="A144" s="207" t="s">
        <v>688</v>
      </c>
      <c r="B144" s="208" t="s">
        <v>663</v>
      </c>
      <c r="C144" s="208" t="s">
        <v>294</v>
      </c>
      <c r="D144" s="268" t="s">
        <v>295</v>
      </c>
      <c r="E144" s="260"/>
      <c r="F144" s="208" t="s">
        <v>63</v>
      </c>
      <c r="G144" s="243">
        <v>300</v>
      </c>
      <c r="H144" s="244">
        <v>0</v>
      </c>
      <c r="I144" s="244">
        <f t="shared" si="100"/>
        <v>0</v>
      </c>
      <c r="K144" s="231"/>
      <c r="Z144" s="243">
        <f t="shared" si="101"/>
        <v>0</v>
      </c>
      <c r="AB144" s="243">
        <f t="shared" si="102"/>
        <v>0</v>
      </c>
      <c r="AC144" s="243">
        <f t="shared" si="103"/>
        <v>0</v>
      </c>
      <c r="AD144" s="243">
        <f t="shared" si="104"/>
        <v>0</v>
      </c>
      <c r="AE144" s="243">
        <f t="shared" si="105"/>
        <v>0</v>
      </c>
      <c r="AF144" s="243">
        <f t="shared" si="106"/>
        <v>0</v>
      </c>
      <c r="AG144" s="243">
        <f t="shared" si="107"/>
        <v>0</v>
      </c>
      <c r="AH144" s="243">
        <f t="shared" si="108"/>
        <v>0</v>
      </c>
      <c r="AI144" s="232" t="s">
        <v>663</v>
      </c>
      <c r="AJ144" s="243">
        <f t="shared" si="109"/>
        <v>0</v>
      </c>
      <c r="AK144" s="243">
        <f t="shared" si="110"/>
        <v>0</v>
      </c>
      <c r="AL144" s="243">
        <f t="shared" si="111"/>
        <v>0</v>
      </c>
      <c r="AN144" s="243">
        <v>21</v>
      </c>
      <c r="AO144" s="243">
        <f>H144*0.316802681235439</f>
        <v>0</v>
      </c>
      <c r="AP144" s="243">
        <f>H144*(1-0.316802681235439)</f>
        <v>0</v>
      </c>
      <c r="AQ144" s="245" t="s">
        <v>567</v>
      </c>
      <c r="AV144" s="243">
        <f t="shared" si="112"/>
        <v>0</v>
      </c>
      <c r="AW144" s="243">
        <f t="shared" si="113"/>
        <v>0</v>
      </c>
      <c r="AX144" s="243">
        <f t="shared" si="114"/>
        <v>0</v>
      </c>
      <c r="AY144" s="245" t="s">
        <v>588</v>
      </c>
      <c r="AZ144" s="245" t="s">
        <v>685</v>
      </c>
      <c r="BA144" s="232" t="s">
        <v>666</v>
      </c>
      <c r="BC144" s="243">
        <f t="shared" si="115"/>
        <v>0</v>
      </c>
      <c r="BD144" s="243">
        <f t="shared" si="116"/>
        <v>0</v>
      </c>
      <c r="BE144" s="243">
        <v>0</v>
      </c>
      <c r="BF144" s="243">
        <f>144</f>
        <v>144</v>
      </c>
      <c r="BH144" s="243">
        <f t="shared" si="117"/>
        <v>0</v>
      </c>
      <c r="BI144" s="243">
        <f t="shared" si="118"/>
        <v>0</v>
      </c>
      <c r="BJ144" s="243">
        <f t="shared" si="119"/>
        <v>0</v>
      </c>
      <c r="BK144" s="243"/>
      <c r="BL144" s="243">
        <v>733</v>
      </c>
      <c r="BW144" s="243">
        <v>21</v>
      </c>
    </row>
    <row r="145" spans="1:75" ht="27" customHeight="1">
      <c r="A145" s="207" t="s">
        <v>689</v>
      </c>
      <c r="B145" s="208" t="s">
        <v>663</v>
      </c>
      <c r="C145" s="208" t="s">
        <v>297</v>
      </c>
      <c r="D145" s="268" t="s">
        <v>298</v>
      </c>
      <c r="E145" s="260"/>
      <c r="F145" s="208" t="s">
        <v>63</v>
      </c>
      <c r="G145" s="243">
        <v>32</v>
      </c>
      <c r="H145" s="244">
        <v>0</v>
      </c>
      <c r="I145" s="244">
        <f t="shared" si="100"/>
        <v>0</v>
      </c>
      <c r="K145" s="231"/>
      <c r="Z145" s="243">
        <f t="shared" si="101"/>
        <v>0</v>
      </c>
      <c r="AB145" s="243">
        <f t="shared" si="102"/>
        <v>0</v>
      </c>
      <c r="AC145" s="243">
        <f t="shared" si="103"/>
        <v>0</v>
      </c>
      <c r="AD145" s="243">
        <f t="shared" si="104"/>
        <v>0</v>
      </c>
      <c r="AE145" s="243">
        <f t="shared" si="105"/>
        <v>0</v>
      </c>
      <c r="AF145" s="243">
        <f t="shared" si="106"/>
        <v>0</v>
      </c>
      <c r="AG145" s="243">
        <f t="shared" si="107"/>
        <v>0</v>
      </c>
      <c r="AH145" s="243">
        <f t="shared" si="108"/>
        <v>0</v>
      </c>
      <c r="AI145" s="232" t="s">
        <v>663</v>
      </c>
      <c r="AJ145" s="243">
        <f t="shared" si="109"/>
        <v>0</v>
      </c>
      <c r="AK145" s="243">
        <f t="shared" si="110"/>
        <v>0</v>
      </c>
      <c r="AL145" s="243">
        <f t="shared" si="111"/>
        <v>0</v>
      </c>
      <c r="AN145" s="243">
        <v>21</v>
      </c>
      <c r="AO145" s="243">
        <f>H145*1</f>
        <v>0</v>
      </c>
      <c r="AP145" s="243">
        <f>H145*(1-1)</f>
        <v>0</v>
      </c>
      <c r="AQ145" s="245" t="s">
        <v>567</v>
      </c>
      <c r="AV145" s="243">
        <f t="shared" si="112"/>
        <v>0</v>
      </c>
      <c r="AW145" s="243">
        <f t="shared" si="113"/>
        <v>0</v>
      </c>
      <c r="AX145" s="243">
        <f t="shared" si="114"/>
        <v>0</v>
      </c>
      <c r="AY145" s="245" t="s">
        <v>588</v>
      </c>
      <c r="AZ145" s="245" t="s">
        <v>685</v>
      </c>
      <c r="BA145" s="232" t="s">
        <v>666</v>
      </c>
      <c r="BC145" s="243">
        <f t="shared" si="115"/>
        <v>0</v>
      </c>
      <c r="BD145" s="243">
        <f t="shared" si="116"/>
        <v>0</v>
      </c>
      <c r="BE145" s="243">
        <v>0</v>
      </c>
      <c r="BF145" s="243">
        <f>145</f>
        <v>145</v>
      </c>
      <c r="BH145" s="243">
        <f t="shared" si="117"/>
        <v>0</v>
      </c>
      <c r="BI145" s="243">
        <f t="shared" si="118"/>
        <v>0</v>
      </c>
      <c r="BJ145" s="243">
        <f t="shared" si="119"/>
        <v>0</v>
      </c>
      <c r="BK145" s="243"/>
      <c r="BL145" s="243">
        <v>733</v>
      </c>
      <c r="BW145" s="243">
        <v>21</v>
      </c>
    </row>
    <row r="146" spans="1:75" ht="13.5" customHeight="1">
      <c r="A146" s="207" t="s">
        <v>690</v>
      </c>
      <c r="B146" s="208" t="s">
        <v>663</v>
      </c>
      <c r="C146" s="208" t="s">
        <v>300</v>
      </c>
      <c r="D146" s="268" t="s">
        <v>301</v>
      </c>
      <c r="E146" s="260"/>
      <c r="F146" s="208" t="s">
        <v>63</v>
      </c>
      <c r="G146" s="243">
        <v>32</v>
      </c>
      <c r="H146" s="244">
        <v>0</v>
      </c>
      <c r="I146" s="244">
        <f t="shared" si="100"/>
        <v>0</v>
      </c>
      <c r="K146" s="231"/>
      <c r="Z146" s="243">
        <f t="shared" si="101"/>
        <v>0</v>
      </c>
      <c r="AB146" s="243">
        <f t="shared" si="102"/>
        <v>0</v>
      </c>
      <c r="AC146" s="243">
        <f t="shared" si="103"/>
        <v>0</v>
      </c>
      <c r="AD146" s="243">
        <f t="shared" si="104"/>
        <v>0</v>
      </c>
      <c r="AE146" s="243">
        <f t="shared" si="105"/>
        <v>0</v>
      </c>
      <c r="AF146" s="243">
        <f t="shared" si="106"/>
        <v>0</v>
      </c>
      <c r="AG146" s="243">
        <f t="shared" si="107"/>
        <v>0</v>
      </c>
      <c r="AH146" s="243">
        <f t="shared" si="108"/>
        <v>0</v>
      </c>
      <c r="AI146" s="232" t="s">
        <v>663</v>
      </c>
      <c r="AJ146" s="243">
        <f t="shared" si="109"/>
        <v>0</v>
      </c>
      <c r="AK146" s="243">
        <f t="shared" si="110"/>
        <v>0</v>
      </c>
      <c r="AL146" s="243">
        <f t="shared" si="111"/>
        <v>0</v>
      </c>
      <c r="AN146" s="243">
        <v>21</v>
      </c>
      <c r="AO146" s="243">
        <f>H146*0.298896952104499</f>
        <v>0</v>
      </c>
      <c r="AP146" s="243">
        <f>H146*(1-0.298896952104499)</f>
        <v>0</v>
      </c>
      <c r="AQ146" s="245" t="s">
        <v>567</v>
      </c>
      <c r="AV146" s="243">
        <f t="shared" si="112"/>
        <v>0</v>
      </c>
      <c r="AW146" s="243">
        <f t="shared" si="113"/>
        <v>0</v>
      </c>
      <c r="AX146" s="243">
        <f t="shared" si="114"/>
        <v>0</v>
      </c>
      <c r="AY146" s="245" t="s">
        <v>588</v>
      </c>
      <c r="AZ146" s="245" t="s">
        <v>685</v>
      </c>
      <c r="BA146" s="232" t="s">
        <v>666</v>
      </c>
      <c r="BC146" s="243">
        <f t="shared" si="115"/>
        <v>0</v>
      </c>
      <c r="BD146" s="243">
        <f t="shared" si="116"/>
        <v>0</v>
      </c>
      <c r="BE146" s="243">
        <v>0</v>
      </c>
      <c r="BF146" s="243">
        <f>146</f>
        <v>146</v>
      </c>
      <c r="BH146" s="243">
        <f t="shared" si="117"/>
        <v>0</v>
      </c>
      <c r="BI146" s="243">
        <f t="shared" si="118"/>
        <v>0</v>
      </c>
      <c r="BJ146" s="243">
        <f t="shared" si="119"/>
        <v>0</v>
      </c>
      <c r="BK146" s="243"/>
      <c r="BL146" s="243">
        <v>733</v>
      </c>
      <c r="BW146" s="243">
        <v>21</v>
      </c>
    </row>
    <row r="147" spans="1:75" ht="27" customHeight="1">
      <c r="A147" s="207" t="s">
        <v>691</v>
      </c>
      <c r="B147" s="208" t="s">
        <v>663</v>
      </c>
      <c r="C147" s="208" t="s">
        <v>302</v>
      </c>
      <c r="D147" s="268" t="s">
        <v>303</v>
      </c>
      <c r="E147" s="260"/>
      <c r="F147" s="208" t="s">
        <v>63</v>
      </c>
      <c r="G147" s="243">
        <v>277</v>
      </c>
      <c r="H147" s="244">
        <v>0</v>
      </c>
      <c r="I147" s="244">
        <f t="shared" si="100"/>
        <v>0</v>
      </c>
      <c r="K147" s="231"/>
      <c r="Z147" s="243">
        <f t="shared" si="101"/>
        <v>0</v>
      </c>
      <c r="AB147" s="243">
        <f t="shared" si="102"/>
        <v>0</v>
      </c>
      <c r="AC147" s="243">
        <f t="shared" si="103"/>
        <v>0</v>
      </c>
      <c r="AD147" s="243">
        <f t="shared" si="104"/>
        <v>0</v>
      </c>
      <c r="AE147" s="243">
        <f t="shared" si="105"/>
        <v>0</v>
      </c>
      <c r="AF147" s="243">
        <f t="shared" si="106"/>
        <v>0</v>
      </c>
      <c r="AG147" s="243">
        <f t="shared" si="107"/>
        <v>0</v>
      </c>
      <c r="AH147" s="243">
        <f t="shared" si="108"/>
        <v>0</v>
      </c>
      <c r="AI147" s="232" t="s">
        <v>663</v>
      </c>
      <c r="AJ147" s="243">
        <f t="shared" si="109"/>
        <v>0</v>
      </c>
      <c r="AK147" s="243">
        <f t="shared" si="110"/>
        <v>0</v>
      </c>
      <c r="AL147" s="243">
        <f t="shared" si="111"/>
        <v>0</v>
      </c>
      <c r="AN147" s="243">
        <v>21</v>
      </c>
      <c r="AO147" s="243">
        <f>H147*1</f>
        <v>0</v>
      </c>
      <c r="AP147" s="243">
        <f>H147*(1-1)</f>
        <v>0</v>
      </c>
      <c r="AQ147" s="245" t="s">
        <v>567</v>
      </c>
      <c r="AV147" s="243">
        <f t="shared" si="112"/>
        <v>0</v>
      </c>
      <c r="AW147" s="243">
        <f t="shared" si="113"/>
        <v>0</v>
      </c>
      <c r="AX147" s="243">
        <f t="shared" si="114"/>
        <v>0</v>
      </c>
      <c r="AY147" s="245" t="s">
        <v>588</v>
      </c>
      <c r="AZ147" s="245" t="s">
        <v>685</v>
      </c>
      <c r="BA147" s="232" t="s">
        <v>666</v>
      </c>
      <c r="BC147" s="243">
        <f t="shared" si="115"/>
        <v>0</v>
      </c>
      <c r="BD147" s="243">
        <f t="shared" si="116"/>
        <v>0</v>
      </c>
      <c r="BE147" s="243">
        <v>0</v>
      </c>
      <c r="BF147" s="243">
        <f>147</f>
        <v>147</v>
      </c>
      <c r="BH147" s="243">
        <f t="shared" si="117"/>
        <v>0</v>
      </c>
      <c r="BI147" s="243">
        <f t="shared" si="118"/>
        <v>0</v>
      </c>
      <c r="BJ147" s="243">
        <f t="shared" si="119"/>
        <v>0</v>
      </c>
      <c r="BK147" s="243"/>
      <c r="BL147" s="243">
        <v>733</v>
      </c>
      <c r="BW147" s="243">
        <v>21</v>
      </c>
    </row>
    <row r="148" spans="1:75" ht="13.5" customHeight="1">
      <c r="A148" s="207" t="s">
        <v>692</v>
      </c>
      <c r="B148" s="208" t="s">
        <v>663</v>
      </c>
      <c r="C148" s="208" t="s">
        <v>305</v>
      </c>
      <c r="D148" s="268" t="s">
        <v>306</v>
      </c>
      <c r="E148" s="260"/>
      <c r="F148" s="208" t="s">
        <v>63</v>
      </c>
      <c r="G148" s="243">
        <v>277</v>
      </c>
      <c r="H148" s="244">
        <v>0</v>
      </c>
      <c r="I148" s="244">
        <f t="shared" si="100"/>
        <v>0</v>
      </c>
      <c r="K148" s="231"/>
      <c r="Z148" s="243">
        <f t="shared" si="101"/>
        <v>0</v>
      </c>
      <c r="AB148" s="243">
        <f t="shared" si="102"/>
        <v>0</v>
      </c>
      <c r="AC148" s="243">
        <f t="shared" si="103"/>
        <v>0</v>
      </c>
      <c r="AD148" s="243">
        <f t="shared" si="104"/>
        <v>0</v>
      </c>
      <c r="AE148" s="243">
        <f t="shared" si="105"/>
        <v>0</v>
      </c>
      <c r="AF148" s="243">
        <f t="shared" si="106"/>
        <v>0</v>
      </c>
      <c r="AG148" s="243">
        <f t="shared" si="107"/>
        <v>0</v>
      </c>
      <c r="AH148" s="243">
        <f t="shared" si="108"/>
        <v>0</v>
      </c>
      <c r="AI148" s="232" t="s">
        <v>663</v>
      </c>
      <c r="AJ148" s="243">
        <f t="shared" si="109"/>
        <v>0</v>
      </c>
      <c r="AK148" s="243">
        <f t="shared" si="110"/>
        <v>0</v>
      </c>
      <c r="AL148" s="243">
        <f t="shared" si="111"/>
        <v>0</v>
      </c>
      <c r="AN148" s="243">
        <v>21</v>
      </c>
      <c r="AO148" s="243">
        <f>H148*0.271764705882353</f>
        <v>0</v>
      </c>
      <c r="AP148" s="243">
        <f>H148*(1-0.271764705882353)</f>
        <v>0</v>
      </c>
      <c r="AQ148" s="245" t="s">
        <v>567</v>
      </c>
      <c r="AV148" s="243">
        <f t="shared" si="112"/>
        <v>0</v>
      </c>
      <c r="AW148" s="243">
        <f t="shared" si="113"/>
        <v>0</v>
      </c>
      <c r="AX148" s="243">
        <f t="shared" si="114"/>
        <v>0</v>
      </c>
      <c r="AY148" s="245" t="s">
        <v>588</v>
      </c>
      <c r="AZ148" s="245" t="s">
        <v>685</v>
      </c>
      <c r="BA148" s="232" t="s">
        <v>666</v>
      </c>
      <c r="BC148" s="243">
        <f t="shared" si="115"/>
        <v>0</v>
      </c>
      <c r="BD148" s="243">
        <f t="shared" si="116"/>
        <v>0</v>
      </c>
      <c r="BE148" s="243">
        <v>0</v>
      </c>
      <c r="BF148" s="243">
        <f>148</f>
        <v>148</v>
      </c>
      <c r="BH148" s="243">
        <f t="shared" si="117"/>
        <v>0</v>
      </c>
      <c r="BI148" s="243">
        <f t="shared" si="118"/>
        <v>0</v>
      </c>
      <c r="BJ148" s="243">
        <f t="shared" si="119"/>
        <v>0</v>
      </c>
      <c r="BK148" s="243"/>
      <c r="BL148" s="243">
        <v>733</v>
      </c>
      <c r="BW148" s="243">
        <v>21</v>
      </c>
    </row>
    <row r="149" spans="1:75" ht="27" customHeight="1">
      <c r="A149" s="207" t="s">
        <v>693</v>
      </c>
      <c r="B149" s="208" t="s">
        <v>663</v>
      </c>
      <c r="C149" s="208" t="s">
        <v>307</v>
      </c>
      <c r="D149" s="268" t="s">
        <v>308</v>
      </c>
      <c r="E149" s="260"/>
      <c r="F149" s="208" t="s">
        <v>63</v>
      </c>
      <c r="G149" s="243">
        <v>50</v>
      </c>
      <c r="H149" s="244">
        <v>0</v>
      </c>
      <c r="I149" s="244">
        <f t="shared" si="100"/>
        <v>0</v>
      </c>
      <c r="K149" s="231"/>
      <c r="Z149" s="243">
        <f t="shared" si="101"/>
        <v>0</v>
      </c>
      <c r="AB149" s="243">
        <f t="shared" si="102"/>
        <v>0</v>
      </c>
      <c r="AC149" s="243">
        <f t="shared" si="103"/>
        <v>0</v>
      </c>
      <c r="AD149" s="243">
        <f t="shared" si="104"/>
        <v>0</v>
      </c>
      <c r="AE149" s="243">
        <f t="shared" si="105"/>
        <v>0</v>
      </c>
      <c r="AF149" s="243">
        <f t="shared" si="106"/>
        <v>0</v>
      </c>
      <c r="AG149" s="243">
        <f t="shared" si="107"/>
        <v>0</v>
      </c>
      <c r="AH149" s="243">
        <f t="shared" si="108"/>
        <v>0</v>
      </c>
      <c r="AI149" s="232" t="s">
        <v>663</v>
      </c>
      <c r="AJ149" s="243">
        <f t="shared" si="109"/>
        <v>0</v>
      </c>
      <c r="AK149" s="243">
        <f t="shared" si="110"/>
        <v>0</v>
      </c>
      <c r="AL149" s="243">
        <f t="shared" si="111"/>
        <v>0</v>
      </c>
      <c r="AN149" s="243">
        <v>21</v>
      </c>
      <c r="AO149" s="243">
        <f>H149*1</f>
        <v>0</v>
      </c>
      <c r="AP149" s="243">
        <f>H149*(1-1)</f>
        <v>0</v>
      </c>
      <c r="AQ149" s="245" t="s">
        <v>567</v>
      </c>
      <c r="AV149" s="243">
        <f t="shared" si="112"/>
        <v>0</v>
      </c>
      <c r="AW149" s="243">
        <f t="shared" si="113"/>
        <v>0</v>
      </c>
      <c r="AX149" s="243">
        <f t="shared" si="114"/>
        <v>0</v>
      </c>
      <c r="AY149" s="245" t="s">
        <v>588</v>
      </c>
      <c r="AZ149" s="245" t="s">
        <v>685</v>
      </c>
      <c r="BA149" s="232" t="s">
        <v>666</v>
      </c>
      <c r="BC149" s="243">
        <f t="shared" si="115"/>
        <v>0</v>
      </c>
      <c r="BD149" s="243">
        <f t="shared" si="116"/>
        <v>0</v>
      </c>
      <c r="BE149" s="243">
        <v>0</v>
      </c>
      <c r="BF149" s="243">
        <f>149</f>
        <v>149</v>
      </c>
      <c r="BH149" s="243">
        <f t="shared" si="117"/>
        <v>0</v>
      </c>
      <c r="BI149" s="243">
        <f t="shared" si="118"/>
        <v>0</v>
      </c>
      <c r="BJ149" s="243">
        <f t="shared" si="119"/>
        <v>0</v>
      </c>
      <c r="BK149" s="243"/>
      <c r="BL149" s="243">
        <v>733</v>
      </c>
      <c r="BW149" s="243">
        <v>21</v>
      </c>
    </row>
    <row r="150" spans="1:75" ht="13.5" customHeight="1">
      <c r="A150" s="207" t="s">
        <v>694</v>
      </c>
      <c r="B150" s="208" t="s">
        <v>663</v>
      </c>
      <c r="C150" s="208" t="s">
        <v>310</v>
      </c>
      <c r="D150" s="268" t="s">
        <v>311</v>
      </c>
      <c r="E150" s="260"/>
      <c r="F150" s="208" t="s">
        <v>63</v>
      </c>
      <c r="G150" s="243">
        <v>50</v>
      </c>
      <c r="H150" s="244">
        <v>0</v>
      </c>
      <c r="I150" s="244">
        <f t="shared" si="100"/>
        <v>0</v>
      </c>
      <c r="K150" s="231"/>
      <c r="Z150" s="243">
        <f t="shared" si="101"/>
        <v>0</v>
      </c>
      <c r="AB150" s="243">
        <f t="shared" si="102"/>
        <v>0</v>
      </c>
      <c r="AC150" s="243">
        <f t="shared" si="103"/>
        <v>0</v>
      </c>
      <c r="AD150" s="243">
        <f t="shared" si="104"/>
        <v>0</v>
      </c>
      <c r="AE150" s="243">
        <f t="shared" si="105"/>
        <v>0</v>
      </c>
      <c r="AF150" s="243">
        <f t="shared" si="106"/>
        <v>0</v>
      </c>
      <c r="AG150" s="243">
        <f t="shared" si="107"/>
        <v>0</v>
      </c>
      <c r="AH150" s="243">
        <f t="shared" si="108"/>
        <v>0</v>
      </c>
      <c r="AI150" s="232" t="s">
        <v>663</v>
      </c>
      <c r="AJ150" s="243">
        <f t="shared" si="109"/>
        <v>0</v>
      </c>
      <c r="AK150" s="243">
        <f t="shared" si="110"/>
        <v>0</v>
      </c>
      <c r="AL150" s="243">
        <f t="shared" si="111"/>
        <v>0</v>
      </c>
      <c r="AN150" s="243">
        <v>21</v>
      </c>
      <c r="AO150" s="243">
        <f>H150*0.245414462081129</f>
        <v>0</v>
      </c>
      <c r="AP150" s="243">
        <f>H150*(1-0.245414462081129)</f>
        <v>0</v>
      </c>
      <c r="AQ150" s="245" t="s">
        <v>567</v>
      </c>
      <c r="AV150" s="243">
        <f t="shared" si="112"/>
        <v>0</v>
      </c>
      <c r="AW150" s="243">
        <f t="shared" si="113"/>
        <v>0</v>
      </c>
      <c r="AX150" s="243">
        <f t="shared" si="114"/>
        <v>0</v>
      </c>
      <c r="AY150" s="245" t="s">
        <v>588</v>
      </c>
      <c r="AZ150" s="245" t="s">
        <v>685</v>
      </c>
      <c r="BA150" s="232" t="s">
        <v>666</v>
      </c>
      <c r="BC150" s="243">
        <f t="shared" si="115"/>
        <v>0</v>
      </c>
      <c r="BD150" s="243">
        <f t="shared" si="116"/>
        <v>0</v>
      </c>
      <c r="BE150" s="243">
        <v>0</v>
      </c>
      <c r="BF150" s="243">
        <f>150</f>
        <v>150</v>
      </c>
      <c r="BH150" s="243">
        <f t="shared" si="117"/>
        <v>0</v>
      </c>
      <c r="BI150" s="243">
        <f t="shared" si="118"/>
        <v>0</v>
      </c>
      <c r="BJ150" s="243">
        <f t="shared" si="119"/>
        <v>0</v>
      </c>
      <c r="BK150" s="243"/>
      <c r="BL150" s="243">
        <v>733</v>
      </c>
      <c r="BW150" s="243">
        <v>21</v>
      </c>
    </row>
    <row r="151" spans="1:75" ht="27" customHeight="1">
      <c r="A151" s="207" t="s">
        <v>695</v>
      </c>
      <c r="B151" s="208" t="s">
        <v>663</v>
      </c>
      <c r="C151" s="208" t="s">
        <v>312</v>
      </c>
      <c r="D151" s="268" t="s">
        <v>313</v>
      </c>
      <c r="E151" s="260"/>
      <c r="F151" s="208" t="s">
        <v>63</v>
      </c>
      <c r="G151" s="243">
        <v>50</v>
      </c>
      <c r="H151" s="244">
        <v>0</v>
      </c>
      <c r="I151" s="244">
        <f t="shared" si="100"/>
        <v>0</v>
      </c>
      <c r="K151" s="231"/>
      <c r="Z151" s="243">
        <f t="shared" si="101"/>
        <v>0</v>
      </c>
      <c r="AB151" s="243">
        <f t="shared" si="102"/>
        <v>0</v>
      </c>
      <c r="AC151" s="243">
        <f t="shared" si="103"/>
        <v>0</v>
      </c>
      <c r="AD151" s="243">
        <f t="shared" si="104"/>
        <v>0</v>
      </c>
      <c r="AE151" s="243">
        <f t="shared" si="105"/>
        <v>0</v>
      </c>
      <c r="AF151" s="243">
        <f t="shared" si="106"/>
        <v>0</v>
      </c>
      <c r="AG151" s="243">
        <f t="shared" si="107"/>
        <v>0</v>
      </c>
      <c r="AH151" s="243">
        <f t="shared" si="108"/>
        <v>0</v>
      </c>
      <c r="AI151" s="232" t="s">
        <v>663</v>
      </c>
      <c r="AJ151" s="243">
        <f t="shared" si="109"/>
        <v>0</v>
      </c>
      <c r="AK151" s="243">
        <f t="shared" si="110"/>
        <v>0</v>
      </c>
      <c r="AL151" s="243">
        <f t="shared" si="111"/>
        <v>0</v>
      </c>
      <c r="AN151" s="243">
        <v>21</v>
      </c>
      <c r="AO151" s="243">
        <f>H151*1</f>
        <v>0</v>
      </c>
      <c r="AP151" s="243">
        <f>H151*(1-1)</f>
        <v>0</v>
      </c>
      <c r="AQ151" s="245" t="s">
        <v>567</v>
      </c>
      <c r="AV151" s="243">
        <f t="shared" si="112"/>
        <v>0</v>
      </c>
      <c r="AW151" s="243">
        <f t="shared" si="113"/>
        <v>0</v>
      </c>
      <c r="AX151" s="243">
        <f t="shared" si="114"/>
        <v>0</v>
      </c>
      <c r="AY151" s="245" t="s">
        <v>588</v>
      </c>
      <c r="AZ151" s="245" t="s">
        <v>685</v>
      </c>
      <c r="BA151" s="232" t="s">
        <v>666</v>
      </c>
      <c r="BC151" s="243">
        <f t="shared" si="115"/>
        <v>0</v>
      </c>
      <c r="BD151" s="243">
        <f t="shared" si="116"/>
        <v>0</v>
      </c>
      <c r="BE151" s="243">
        <v>0</v>
      </c>
      <c r="BF151" s="243">
        <f>151</f>
        <v>151</v>
      </c>
      <c r="BH151" s="243">
        <f t="shared" si="117"/>
        <v>0</v>
      </c>
      <c r="BI151" s="243">
        <f t="shared" si="118"/>
        <v>0</v>
      </c>
      <c r="BJ151" s="243">
        <f t="shared" si="119"/>
        <v>0</v>
      </c>
      <c r="BK151" s="243"/>
      <c r="BL151" s="243">
        <v>733</v>
      </c>
      <c r="BW151" s="243">
        <v>21</v>
      </c>
    </row>
    <row r="152" spans="1:75" ht="13.5" customHeight="1">
      <c r="A152" s="207" t="s">
        <v>696</v>
      </c>
      <c r="B152" s="208" t="s">
        <v>663</v>
      </c>
      <c r="C152" s="208" t="s">
        <v>315</v>
      </c>
      <c r="D152" s="268" t="s">
        <v>316</v>
      </c>
      <c r="E152" s="260"/>
      <c r="F152" s="208" t="s">
        <v>63</v>
      </c>
      <c r="G152" s="243">
        <v>50</v>
      </c>
      <c r="H152" s="244">
        <v>0</v>
      </c>
      <c r="I152" s="244">
        <f t="shared" si="100"/>
        <v>0</v>
      </c>
      <c r="K152" s="231"/>
      <c r="Z152" s="243">
        <f t="shared" si="101"/>
        <v>0</v>
      </c>
      <c r="AB152" s="243">
        <f t="shared" si="102"/>
        <v>0</v>
      </c>
      <c r="AC152" s="243">
        <f t="shared" si="103"/>
        <v>0</v>
      </c>
      <c r="AD152" s="243">
        <f t="shared" si="104"/>
        <v>0</v>
      </c>
      <c r="AE152" s="243">
        <f t="shared" si="105"/>
        <v>0</v>
      </c>
      <c r="AF152" s="243">
        <f t="shared" si="106"/>
        <v>0</v>
      </c>
      <c r="AG152" s="243">
        <f t="shared" si="107"/>
        <v>0</v>
      </c>
      <c r="AH152" s="243">
        <f t="shared" si="108"/>
        <v>0</v>
      </c>
      <c r="AI152" s="232" t="s">
        <v>663</v>
      </c>
      <c r="AJ152" s="243">
        <f t="shared" si="109"/>
        <v>0</v>
      </c>
      <c r="AK152" s="243">
        <f t="shared" si="110"/>
        <v>0</v>
      </c>
      <c r="AL152" s="243">
        <f t="shared" si="111"/>
        <v>0</v>
      </c>
      <c r="AN152" s="243">
        <v>21</v>
      </c>
      <c r="AO152" s="243">
        <f>H152*0.276435810810811</f>
        <v>0</v>
      </c>
      <c r="AP152" s="243">
        <f>H152*(1-0.276435810810811)</f>
        <v>0</v>
      </c>
      <c r="AQ152" s="245" t="s">
        <v>567</v>
      </c>
      <c r="AV152" s="243">
        <f t="shared" si="112"/>
        <v>0</v>
      </c>
      <c r="AW152" s="243">
        <f t="shared" si="113"/>
        <v>0</v>
      </c>
      <c r="AX152" s="243">
        <f t="shared" si="114"/>
        <v>0</v>
      </c>
      <c r="AY152" s="245" t="s">
        <v>588</v>
      </c>
      <c r="AZ152" s="245" t="s">
        <v>685</v>
      </c>
      <c r="BA152" s="232" t="s">
        <v>666</v>
      </c>
      <c r="BC152" s="243">
        <f t="shared" si="115"/>
        <v>0</v>
      </c>
      <c r="BD152" s="243">
        <f t="shared" si="116"/>
        <v>0</v>
      </c>
      <c r="BE152" s="243">
        <v>0</v>
      </c>
      <c r="BF152" s="243">
        <f>152</f>
        <v>152</v>
      </c>
      <c r="BH152" s="243">
        <f t="shared" si="117"/>
        <v>0</v>
      </c>
      <c r="BI152" s="243">
        <f t="shared" si="118"/>
        <v>0</v>
      </c>
      <c r="BJ152" s="243">
        <f t="shared" si="119"/>
        <v>0</v>
      </c>
      <c r="BK152" s="243"/>
      <c r="BL152" s="243">
        <v>733</v>
      </c>
      <c r="BW152" s="243">
        <v>21</v>
      </c>
    </row>
    <row r="153" spans="1:75" ht="13.5" customHeight="1">
      <c r="A153" s="207" t="s">
        <v>697</v>
      </c>
      <c r="B153" s="208" t="s">
        <v>663</v>
      </c>
      <c r="C153" s="208" t="s">
        <v>317</v>
      </c>
      <c r="D153" s="268" t="s">
        <v>318</v>
      </c>
      <c r="E153" s="260"/>
      <c r="F153" s="208" t="s">
        <v>68</v>
      </c>
      <c r="G153" s="243">
        <v>21</v>
      </c>
      <c r="H153" s="244">
        <v>0</v>
      </c>
      <c r="I153" s="244">
        <f t="shared" si="100"/>
        <v>0</v>
      </c>
      <c r="K153" s="231"/>
      <c r="Z153" s="243">
        <f t="shared" si="101"/>
        <v>0</v>
      </c>
      <c r="AB153" s="243">
        <f t="shared" si="102"/>
        <v>0</v>
      </c>
      <c r="AC153" s="243">
        <f t="shared" si="103"/>
        <v>0</v>
      </c>
      <c r="AD153" s="243">
        <f t="shared" si="104"/>
        <v>0</v>
      </c>
      <c r="AE153" s="243">
        <f t="shared" si="105"/>
        <v>0</v>
      </c>
      <c r="AF153" s="243">
        <f t="shared" si="106"/>
        <v>0</v>
      </c>
      <c r="AG153" s="243">
        <f t="shared" si="107"/>
        <v>0</v>
      </c>
      <c r="AH153" s="243">
        <f t="shared" si="108"/>
        <v>0</v>
      </c>
      <c r="AI153" s="232" t="s">
        <v>663</v>
      </c>
      <c r="AJ153" s="243">
        <f t="shared" si="109"/>
        <v>0</v>
      </c>
      <c r="AK153" s="243">
        <f t="shared" si="110"/>
        <v>0</v>
      </c>
      <c r="AL153" s="243">
        <f t="shared" si="111"/>
        <v>0</v>
      </c>
      <c r="AN153" s="243">
        <v>21</v>
      </c>
      <c r="AO153" s="243">
        <f>H153*0.188058574245794</f>
        <v>0</v>
      </c>
      <c r="AP153" s="243">
        <f>H153*(1-0.188058574245794)</f>
        <v>0</v>
      </c>
      <c r="AQ153" s="245" t="s">
        <v>567</v>
      </c>
      <c r="AV153" s="243">
        <f t="shared" si="112"/>
        <v>0</v>
      </c>
      <c r="AW153" s="243">
        <f t="shared" si="113"/>
        <v>0</v>
      </c>
      <c r="AX153" s="243">
        <f t="shared" si="114"/>
        <v>0</v>
      </c>
      <c r="AY153" s="245" t="s">
        <v>588</v>
      </c>
      <c r="AZ153" s="245" t="s">
        <v>685</v>
      </c>
      <c r="BA153" s="232" t="s">
        <v>666</v>
      </c>
      <c r="BC153" s="243">
        <f t="shared" si="115"/>
        <v>0</v>
      </c>
      <c r="BD153" s="243">
        <f t="shared" si="116"/>
        <v>0</v>
      </c>
      <c r="BE153" s="243">
        <v>0</v>
      </c>
      <c r="BF153" s="243">
        <f>153</f>
        <v>153</v>
      </c>
      <c r="BH153" s="243">
        <f t="shared" si="117"/>
        <v>0</v>
      </c>
      <c r="BI153" s="243">
        <f t="shared" si="118"/>
        <v>0</v>
      </c>
      <c r="BJ153" s="243">
        <f t="shared" si="119"/>
        <v>0</v>
      </c>
      <c r="BK153" s="243"/>
      <c r="BL153" s="243">
        <v>733</v>
      </c>
      <c r="BW153" s="243">
        <v>21</v>
      </c>
    </row>
    <row r="154" spans="1:75" ht="13.5" customHeight="1">
      <c r="A154" s="207" t="s">
        <v>698</v>
      </c>
      <c r="B154" s="208" t="s">
        <v>663</v>
      </c>
      <c r="C154" s="208" t="s">
        <v>319</v>
      </c>
      <c r="D154" s="268" t="s">
        <v>320</v>
      </c>
      <c r="E154" s="260"/>
      <c r="F154" s="208" t="s">
        <v>63</v>
      </c>
      <c r="G154" s="243">
        <v>21</v>
      </c>
      <c r="H154" s="244">
        <v>0</v>
      </c>
      <c r="I154" s="244">
        <f t="shared" si="100"/>
        <v>0</v>
      </c>
      <c r="K154" s="231"/>
      <c r="Z154" s="243">
        <f t="shared" si="101"/>
        <v>0</v>
      </c>
      <c r="AB154" s="243">
        <f t="shared" si="102"/>
        <v>0</v>
      </c>
      <c r="AC154" s="243">
        <f t="shared" si="103"/>
        <v>0</v>
      </c>
      <c r="AD154" s="243">
        <f t="shared" si="104"/>
        <v>0</v>
      </c>
      <c r="AE154" s="243">
        <f t="shared" si="105"/>
        <v>0</v>
      </c>
      <c r="AF154" s="243">
        <f t="shared" si="106"/>
        <v>0</v>
      </c>
      <c r="AG154" s="243">
        <f t="shared" si="107"/>
        <v>0</v>
      </c>
      <c r="AH154" s="243">
        <f t="shared" si="108"/>
        <v>0</v>
      </c>
      <c r="AI154" s="232" t="s">
        <v>663</v>
      </c>
      <c r="AJ154" s="243">
        <f t="shared" si="109"/>
        <v>0</v>
      </c>
      <c r="AK154" s="243">
        <f t="shared" si="110"/>
        <v>0</v>
      </c>
      <c r="AL154" s="243">
        <f t="shared" si="111"/>
        <v>0</v>
      </c>
      <c r="AN154" s="243">
        <v>21</v>
      </c>
      <c r="AO154" s="243">
        <f>H154*0.638894786950596</f>
        <v>0</v>
      </c>
      <c r="AP154" s="243">
        <f>H154*(1-0.638894786950596)</f>
        <v>0</v>
      </c>
      <c r="AQ154" s="245" t="s">
        <v>567</v>
      </c>
      <c r="AV154" s="243">
        <f t="shared" si="112"/>
        <v>0</v>
      </c>
      <c r="AW154" s="243">
        <f t="shared" si="113"/>
        <v>0</v>
      </c>
      <c r="AX154" s="243">
        <f t="shared" si="114"/>
        <v>0</v>
      </c>
      <c r="AY154" s="245" t="s">
        <v>588</v>
      </c>
      <c r="AZ154" s="245" t="s">
        <v>685</v>
      </c>
      <c r="BA154" s="232" t="s">
        <v>666</v>
      </c>
      <c r="BC154" s="243">
        <f t="shared" si="115"/>
        <v>0</v>
      </c>
      <c r="BD154" s="243">
        <f t="shared" si="116"/>
        <v>0</v>
      </c>
      <c r="BE154" s="243">
        <v>0</v>
      </c>
      <c r="BF154" s="243">
        <f>154</f>
        <v>154</v>
      </c>
      <c r="BH154" s="243">
        <f t="shared" si="117"/>
        <v>0</v>
      </c>
      <c r="BI154" s="243">
        <f t="shared" si="118"/>
        <v>0</v>
      </c>
      <c r="BJ154" s="243">
        <f t="shared" si="119"/>
        <v>0</v>
      </c>
      <c r="BK154" s="243"/>
      <c r="BL154" s="243">
        <v>733</v>
      </c>
      <c r="BW154" s="243">
        <v>21</v>
      </c>
    </row>
    <row r="155" spans="1:75" ht="13.5" customHeight="1">
      <c r="A155" s="207" t="s">
        <v>699</v>
      </c>
      <c r="B155" s="208" t="s">
        <v>663</v>
      </c>
      <c r="C155" s="208" t="s">
        <v>322</v>
      </c>
      <c r="D155" s="268" t="s">
        <v>323</v>
      </c>
      <c r="E155" s="260"/>
      <c r="F155" s="208" t="s">
        <v>68</v>
      </c>
      <c r="G155" s="243">
        <v>4</v>
      </c>
      <c r="H155" s="244">
        <v>0</v>
      </c>
      <c r="I155" s="244">
        <f t="shared" si="100"/>
        <v>0</v>
      </c>
      <c r="K155" s="231"/>
      <c r="Z155" s="243">
        <f t="shared" si="101"/>
        <v>0</v>
      </c>
      <c r="AB155" s="243">
        <f t="shared" si="102"/>
        <v>0</v>
      </c>
      <c r="AC155" s="243">
        <f t="shared" si="103"/>
        <v>0</v>
      </c>
      <c r="AD155" s="243">
        <f t="shared" si="104"/>
        <v>0</v>
      </c>
      <c r="AE155" s="243">
        <f t="shared" si="105"/>
        <v>0</v>
      </c>
      <c r="AF155" s="243">
        <f t="shared" si="106"/>
        <v>0</v>
      </c>
      <c r="AG155" s="243">
        <f t="shared" si="107"/>
        <v>0</v>
      </c>
      <c r="AH155" s="243">
        <f t="shared" si="108"/>
        <v>0</v>
      </c>
      <c r="AI155" s="232" t="s">
        <v>663</v>
      </c>
      <c r="AJ155" s="243">
        <f t="shared" si="109"/>
        <v>0</v>
      </c>
      <c r="AK155" s="243">
        <f t="shared" si="110"/>
        <v>0</v>
      </c>
      <c r="AL155" s="243">
        <f t="shared" si="111"/>
        <v>0</v>
      </c>
      <c r="AN155" s="243">
        <v>21</v>
      </c>
      <c r="AO155" s="243">
        <f>H155*1</f>
        <v>0</v>
      </c>
      <c r="AP155" s="243">
        <f>H155*(1-1)</f>
        <v>0</v>
      </c>
      <c r="AQ155" s="245" t="s">
        <v>567</v>
      </c>
      <c r="AV155" s="243">
        <f t="shared" si="112"/>
        <v>0</v>
      </c>
      <c r="AW155" s="243">
        <f t="shared" si="113"/>
        <v>0</v>
      </c>
      <c r="AX155" s="243">
        <f t="shared" si="114"/>
        <v>0</v>
      </c>
      <c r="AY155" s="245" t="s">
        <v>588</v>
      </c>
      <c r="AZ155" s="245" t="s">
        <v>685</v>
      </c>
      <c r="BA155" s="232" t="s">
        <v>666</v>
      </c>
      <c r="BC155" s="243">
        <f t="shared" si="115"/>
        <v>0</v>
      </c>
      <c r="BD155" s="243">
        <f t="shared" si="116"/>
        <v>0</v>
      </c>
      <c r="BE155" s="243">
        <v>0</v>
      </c>
      <c r="BF155" s="243">
        <f>155</f>
        <v>155</v>
      </c>
      <c r="BH155" s="243">
        <f t="shared" si="117"/>
        <v>0</v>
      </c>
      <c r="BI155" s="243">
        <f t="shared" si="118"/>
        <v>0</v>
      </c>
      <c r="BJ155" s="243">
        <f t="shared" si="119"/>
        <v>0</v>
      </c>
      <c r="BK155" s="243"/>
      <c r="BL155" s="243">
        <v>733</v>
      </c>
      <c r="BW155" s="243">
        <v>21</v>
      </c>
    </row>
    <row r="156" spans="1:75" ht="15" customHeight="1">
      <c r="A156" s="238" t="s">
        <v>21</v>
      </c>
      <c r="B156" s="239" t="s">
        <v>663</v>
      </c>
      <c r="C156" s="239" t="s">
        <v>325</v>
      </c>
      <c r="D156" s="309" t="s">
        <v>326</v>
      </c>
      <c r="E156" s="310"/>
      <c r="F156" s="240" t="s">
        <v>20</v>
      </c>
      <c r="G156" s="240" t="s">
        <v>20</v>
      </c>
      <c r="H156" s="241" t="s">
        <v>20</v>
      </c>
      <c r="I156" s="242">
        <f>SUM(I157:I159)</f>
        <v>0</v>
      </c>
      <c r="K156" s="231"/>
      <c r="AI156" s="232" t="s">
        <v>663</v>
      </c>
      <c r="AS156" s="225">
        <f>SUM(AJ157:AJ159)</f>
        <v>0</v>
      </c>
      <c r="AT156" s="225">
        <f>SUM(AK157:AK159)</f>
        <v>0</v>
      </c>
      <c r="AU156" s="225">
        <f>SUM(AL157:AL159)</f>
        <v>0</v>
      </c>
    </row>
    <row r="157" spans="1:75" ht="13.5" customHeight="1">
      <c r="A157" s="207" t="s">
        <v>700</v>
      </c>
      <c r="B157" s="208" t="s">
        <v>663</v>
      </c>
      <c r="C157" s="208" t="s">
        <v>327</v>
      </c>
      <c r="D157" s="268" t="s">
        <v>328</v>
      </c>
      <c r="E157" s="260"/>
      <c r="F157" s="208" t="s">
        <v>63</v>
      </c>
      <c r="G157" s="243">
        <v>25</v>
      </c>
      <c r="H157" s="244">
        <v>0</v>
      </c>
      <c r="I157" s="244">
        <f>G157*H157</f>
        <v>0</v>
      </c>
      <c r="K157" s="231"/>
      <c r="Z157" s="243">
        <f>IF(AQ157="5",BJ157,0)</f>
        <v>0</v>
      </c>
      <c r="AB157" s="243">
        <f>IF(AQ157="1",BH157,0)</f>
        <v>0</v>
      </c>
      <c r="AC157" s="243">
        <f>IF(AQ157="1",BI157,0)</f>
        <v>0</v>
      </c>
      <c r="AD157" s="243">
        <f>IF(AQ157="7",BH157,0)</f>
        <v>0</v>
      </c>
      <c r="AE157" s="243">
        <f>IF(AQ157="7",BI157,0)</f>
        <v>0</v>
      </c>
      <c r="AF157" s="243">
        <f>IF(AQ157="2",BH157,0)</f>
        <v>0</v>
      </c>
      <c r="AG157" s="243">
        <f>IF(AQ157="2",BI157,0)</f>
        <v>0</v>
      </c>
      <c r="AH157" s="243">
        <f>IF(AQ157="0",BJ157,0)</f>
        <v>0</v>
      </c>
      <c r="AI157" s="232" t="s">
        <v>663</v>
      </c>
      <c r="AJ157" s="243">
        <f>IF(AN157=0,I157,0)</f>
        <v>0</v>
      </c>
      <c r="AK157" s="243">
        <f>IF(AN157=12,I157,0)</f>
        <v>0</v>
      </c>
      <c r="AL157" s="243">
        <f>IF(AN157=21,I157,0)</f>
        <v>0</v>
      </c>
      <c r="AN157" s="243">
        <v>21</v>
      </c>
      <c r="AO157" s="243">
        <f>H157*0</f>
        <v>0</v>
      </c>
      <c r="AP157" s="243">
        <f>H157*(1-0)</f>
        <v>0</v>
      </c>
      <c r="AQ157" s="245" t="s">
        <v>553</v>
      </c>
      <c r="AV157" s="243">
        <f>AW157+AX157</f>
        <v>0</v>
      </c>
      <c r="AW157" s="243">
        <f>G157*AO157</f>
        <v>0</v>
      </c>
      <c r="AX157" s="243">
        <f>G157*AP157</f>
        <v>0</v>
      </c>
      <c r="AY157" s="245" t="s">
        <v>701</v>
      </c>
      <c r="AZ157" s="245" t="s">
        <v>702</v>
      </c>
      <c r="BA157" s="232" t="s">
        <v>666</v>
      </c>
      <c r="BC157" s="243">
        <f>AW157+AX157</f>
        <v>0</v>
      </c>
      <c r="BD157" s="243">
        <f>H157/(100-BE157)*100</f>
        <v>0</v>
      </c>
      <c r="BE157" s="243">
        <v>0</v>
      </c>
      <c r="BF157" s="243">
        <f>157</f>
        <v>157</v>
      </c>
      <c r="BH157" s="243">
        <f>G157*AO157</f>
        <v>0</v>
      </c>
      <c r="BI157" s="243">
        <f>G157*AP157</f>
        <v>0</v>
      </c>
      <c r="BJ157" s="243">
        <f>G157*H157</f>
        <v>0</v>
      </c>
      <c r="BK157" s="243"/>
      <c r="BL157" s="243">
        <v>87</v>
      </c>
      <c r="BW157" s="243">
        <v>21</v>
      </c>
    </row>
    <row r="158" spans="1:75" ht="13.5" customHeight="1">
      <c r="A158" s="207" t="s">
        <v>703</v>
      </c>
      <c r="B158" s="208" t="s">
        <v>663</v>
      </c>
      <c r="C158" s="208" t="s">
        <v>330</v>
      </c>
      <c r="D158" s="268" t="s">
        <v>1342</v>
      </c>
      <c r="E158" s="260"/>
      <c r="F158" s="208" t="s">
        <v>63</v>
      </c>
      <c r="G158" s="243">
        <v>25</v>
      </c>
      <c r="H158" s="244">
        <v>0</v>
      </c>
      <c r="I158" s="244">
        <f>G158*H158</f>
        <v>0</v>
      </c>
      <c r="K158" s="231"/>
      <c r="Z158" s="243">
        <f>IF(AQ158="5",BJ158,0)</f>
        <v>0</v>
      </c>
      <c r="AB158" s="243">
        <f>IF(AQ158="1",BH158,0)</f>
        <v>0</v>
      </c>
      <c r="AC158" s="243">
        <f>IF(AQ158="1",BI158,0)</f>
        <v>0</v>
      </c>
      <c r="AD158" s="243">
        <f>IF(AQ158="7",BH158,0)</f>
        <v>0</v>
      </c>
      <c r="AE158" s="243">
        <f>IF(AQ158="7",BI158,0)</f>
        <v>0</v>
      </c>
      <c r="AF158" s="243">
        <f>IF(AQ158="2",BH158,0)</f>
        <v>0</v>
      </c>
      <c r="AG158" s="243">
        <f>IF(AQ158="2",BI158,0)</f>
        <v>0</v>
      </c>
      <c r="AH158" s="243">
        <f>IF(AQ158="0",BJ158,0)</f>
        <v>0</v>
      </c>
      <c r="AI158" s="232" t="s">
        <v>663</v>
      </c>
      <c r="AJ158" s="243">
        <f>IF(AN158=0,I158,0)</f>
        <v>0</v>
      </c>
      <c r="AK158" s="243">
        <f>IF(AN158=12,I158,0)</f>
        <v>0</v>
      </c>
      <c r="AL158" s="243">
        <f>IF(AN158=21,I158,0)</f>
        <v>0</v>
      </c>
      <c r="AN158" s="243">
        <v>21</v>
      </c>
      <c r="AO158" s="243">
        <f>H158*1</f>
        <v>0</v>
      </c>
      <c r="AP158" s="243">
        <f>H158*(1-1)</f>
        <v>0</v>
      </c>
      <c r="AQ158" s="245" t="s">
        <v>553</v>
      </c>
      <c r="AV158" s="243">
        <f>AW158+AX158</f>
        <v>0</v>
      </c>
      <c r="AW158" s="243">
        <f>G158*AO158</f>
        <v>0</v>
      </c>
      <c r="AX158" s="243">
        <f>G158*AP158</f>
        <v>0</v>
      </c>
      <c r="AY158" s="245" t="s">
        <v>701</v>
      </c>
      <c r="AZ158" s="245" t="s">
        <v>702</v>
      </c>
      <c r="BA158" s="232" t="s">
        <v>666</v>
      </c>
      <c r="BC158" s="243">
        <f>AW158+AX158</f>
        <v>0</v>
      </c>
      <c r="BD158" s="243">
        <f>H158/(100-BE158)*100</f>
        <v>0</v>
      </c>
      <c r="BE158" s="243">
        <v>0</v>
      </c>
      <c r="BF158" s="243">
        <f>158</f>
        <v>158</v>
      </c>
      <c r="BH158" s="243">
        <f>G158*AO158</f>
        <v>0</v>
      </c>
      <c r="BI158" s="243">
        <f>G158*AP158</f>
        <v>0</v>
      </c>
      <c r="BJ158" s="243">
        <f>G158*H158</f>
        <v>0</v>
      </c>
      <c r="BK158" s="243"/>
      <c r="BL158" s="243">
        <v>87</v>
      </c>
      <c r="BW158" s="243">
        <v>21</v>
      </c>
    </row>
    <row r="159" spans="1:75" ht="13.5" customHeight="1">
      <c r="A159" s="207" t="s">
        <v>704</v>
      </c>
      <c r="B159" s="208" t="s">
        <v>663</v>
      </c>
      <c r="C159" s="208" t="s">
        <v>333</v>
      </c>
      <c r="D159" s="268" t="s">
        <v>334</v>
      </c>
      <c r="E159" s="260"/>
      <c r="F159" s="208" t="s">
        <v>68</v>
      </c>
      <c r="G159" s="243">
        <v>2</v>
      </c>
      <c r="H159" s="244">
        <v>0</v>
      </c>
      <c r="I159" s="244">
        <f>G159*H159</f>
        <v>0</v>
      </c>
      <c r="K159" s="231"/>
      <c r="Z159" s="243">
        <f>IF(AQ159="5",BJ159,0)</f>
        <v>0</v>
      </c>
      <c r="AB159" s="243">
        <f>IF(AQ159="1",BH159,0)</f>
        <v>0</v>
      </c>
      <c r="AC159" s="243">
        <f>IF(AQ159="1",BI159,0)</f>
        <v>0</v>
      </c>
      <c r="AD159" s="243">
        <f>IF(AQ159="7",BH159,0)</f>
        <v>0</v>
      </c>
      <c r="AE159" s="243">
        <f>IF(AQ159="7",BI159,0)</f>
        <v>0</v>
      </c>
      <c r="AF159" s="243">
        <f>IF(AQ159="2",BH159,0)</f>
        <v>0</v>
      </c>
      <c r="AG159" s="243">
        <f>IF(AQ159="2",BI159,0)</f>
        <v>0</v>
      </c>
      <c r="AH159" s="243">
        <f>IF(AQ159="0",BJ159,0)</f>
        <v>0</v>
      </c>
      <c r="AI159" s="232" t="s">
        <v>663</v>
      </c>
      <c r="AJ159" s="243">
        <f>IF(AN159=0,I159,0)</f>
        <v>0</v>
      </c>
      <c r="AK159" s="243">
        <f>IF(AN159=12,I159,0)</f>
        <v>0</v>
      </c>
      <c r="AL159" s="243">
        <f>IF(AN159=21,I159,0)</f>
        <v>0</v>
      </c>
      <c r="AN159" s="243">
        <v>21</v>
      </c>
      <c r="AO159" s="243">
        <f>H159*1</f>
        <v>0</v>
      </c>
      <c r="AP159" s="243">
        <f>H159*(1-1)</f>
        <v>0</v>
      </c>
      <c r="AQ159" s="245" t="s">
        <v>553</v>
      </c>
      <c r="AV159" s="243">
        <f>AW159+AX159</f>
        <v>0</v>
      </c>
      <c r="AW159" s="243">
        <f>G159*AO159</f>
        <v>0</v>
      </c>
      <c r="AX159" s="243">
        <f>G159*AP159</f>
        <v>0</v>
      </c>
      <c r="AY159" s="245" t="s">
        <v>701</v>
      </c>
      <c r="AZ159" s="245" t="s">
        <v>702</v>
      </c>
      <c r="BA159" s="232" t="s">
        <v>666</v>
      </c>
      <c r="BC159" s="243">
        <f>AW159+AX159</f>
        <v>0</v>
      </c>
      <c r="BD159" s="243">
        <f>H159/(100-BE159)*100</f>
        <v>0</v>
      </c>
      <c r="BE159" s="243">
        <v>0</v>
      </c>
      <c r="BF159" s="243">
        <f>159</f>
        <v>159</v>
      </c>
      <c r="BH159" s="243">
        <f>G159*AO159</f>
        <v>0</v>
      </c>
      <c r="BI159" s="243">
        <f>G159*AP159</f>
        <v>0</v>
      </c>
      <c r="BJ159" s="243">
        <f>G159*H159</f>
        <v>0</v>
      </c>
      <c r="BK159" s="243"/>
      <c r="BL159" s="243">
        <v>87</v>
      </c>
      <c r="BW159" s="243">
        <v>21</v>
      </c>
    </row>
    <row r="160" spans="1:75" ht="15" customHeight="1">
      <c r="A160" s="238" t="s">
        <v>21</v>
      </c>
      <c r="B160" s="239" t="s">
        <v>663</v>
      </c>
      <c r="C160" s="239" t="s">
        <v>336</v>
      </c>
      <c r="D160" s="309" t="s">
        <v>337</v>
      </c>
      <c r="E160" s="310"/>
      <c r="F160" s="240" t="s">
        <v>20</v>
      </c>
      <c r="G160" s="240" t="s">
        <v>20</v>
      </c>
      <c r="H160" s="241" t="s">
        <v>20</v>
      </c>
      <c r="I160" s="242">
        <f>SUM(I161:I164)</f>
        <v>0</v>
      </c>
      <c r="K160" s="231"/>
      <c r="AI160" s="232" t="s">
        <v>663</v>
      </c>
      <c r="AS160" s="225">
        <f>SUM(AJ161:AJ164)</f>
        <v>0</v>
      </c>
      <c r="AT160" s="225">
        <f>SUM(AK161:AK164)</f>
        <v>0</v>
      </c>
      <c r="AU160" s="225">
        <f>SUM(AL161:AL164)</f>
        <v>0</v>
      </c>
    </row>
    <row r="161" spans="1:75" ht="13.5" customHeight="1">
      <c r="A161" s="207" t="s">
        <v>705</v>
      </c>
      <c r="B161" s="208" t="s">
        <v>663</v>
      </c>
      <c r="C161" s="208" t="s">
        <v>338</v>
      </c>
      <c r="D161" s="268" t="s">
        <v>339</v>
      </c>
      <c r="E161" s="260"/>
      <c r="F161" s="208" t="s">
        <v>63</v>
      </c>
      <c r="G161" s="243">
        <v>383</v>
      </c>
      <c r="H161" s="244">
        <v>0</v>
      </c>
      <c r="I161" s="244">
        <f>G161*H161</f>
        <v>0</v>
      </c>
      <c r="K161" s="231"/>
      <c r="Z161" s="243">
        <f>IF(AQ161="5",BJ161,0)</f>
        <v>0</v>
      </c>
      <c r="AB161" s="243">
        <f>IF(AQ161="1",BH161,0)</f>
        <v>0</v>
      </c>
      <c r="AC161" s="243">
        <f>IF(AQ161="1",BI161,0)</f>
        <v>0</v>
      </c>
      <c r="AD161" s="243">
        <f>IF(AQ161="7",BH161,0)</f>
        <v>0</v>
      </c>
      <c r="AE161" s="243">
        <f>IF(AQ161="7",BI161,0)</f>
        <v>0</v>
      </c>
      <c r="AF161" s="243">
        <f>IF(AQ161="2",BH161,0)</f>
        <v>0</v>
      </c>
      <c r="AG161" s="243">
        <f>IF(AQ161="2",BI161,0)</f>
        <v>0</v>
      </c>
      <c r="AH161" s="243">
        <f>IF(AQ161="0",BJ161,0)</f>
        <v>0</v>
      </c>
      <c r="AI161" s="232" t="s">
        <v>663</v>
      </c>
      <c r="AJ161" s="243">
        <f>IF(AN161=0,I161,0)</f>
        <v>0</v>
      </c>
      <c r="AK161" s="243">
        <f>IF(AN161=12,I161,0)</f>
        <v>0</v>
      </c>
      <c r="AL161" s="243">
        <f>IF(AN161=21,I161,0)</f>
        <v>0</v>
      </c>
      <c r="AN161" s="243">
        <v>21</v>
      </c>
      <c r="AO161" s="243">
        <f>H161*0.634725125713317</f>
        <v>0</v>
      </c>
      <c r="AP161" s="243">
        <f>H161*(1-0.634725125713317)</f>
        <v>0</v>
      </c>
      <c r="AQ161" s="245" t="s">
        <v>553</v>
      </c>
      <c r="AV161" s="243">
        <f>AW161+AX161</f>
        <v>0</v>
      </c>
      <c r="AW161" s="243">
        <f>G161*AO161</f>
        <v>0</v>
      </c>
      <c r="AX161" s="243">
        <f>G161*AP161</f>
        <v>0</v>
      </c>
      <c r="AY161" s="245" t="s">
        <v>706</v>
      </c>
      <c r="AZ161" s="245" t="s">
        <v>702</v>
      </c>
      <c r="BA161" s="232" t="s">
        <v>666</v>
      </c>
      <c r="BC161" s="243">
        <f>AW161+AX161</f>
        <v>0</v>
      </c>
      <c r="BD161" s="243">
        <f>H161/(100-BE161)*100</f>
        <v>0</v>
      </c>
      <c r="BE161" s="243">
        <v>0</v>
      </c>
      <c r="BF161" s="243">
        <f>161</f>
        <v>161</v>
      </c>
      <c r="BH161" s="243">
        <f>G161*AO161</f>
        <v>0</v>
      </c>
      <c r="BI161" s="243">
        <f>G161*AP161</f>
        <v>0</v>
      </c>
      <c r="BJ161" s="243">
        <f>G161*H161</f>
        <v>0</v>
      </c>
      <c r="BK161" s="243"/>
      <c r="BL161" s="243">
        <v>89</v>
      </c>
      <c r="BW161" s="243">
        <v>21</v>
      </c>
    </row>
    <row r="162" spans="1:75" ht="13.5" customHeight="1">
      <c r="A162" s="207" t="s">
        <v>707</v>
      </c>
      <c r="B162" s="208" t="s">
        <v>663</v>
      </c>
      <c r="C162" s="208" t="s">
        <v>341</v>
      </c>
      <c r="D162" s="268" t="s">
        <v>342</v>
      </c>
      <c r="E162" s="260"/>
      <c r="F162" s="208" t="s">
        <v>68</v>
      </c>
      <c r="G162" s="243">
        <v>1</v>
      </c>
      <c r="H162" s="244">
        <v>0</v>
      </c>
      <c r="I162" s="244">
        <f>G162*H162</f>
        <v>0</v>
      </c>
      <c r="K162" s="231"/>
      <c r="Z162" s="243">
        <f>IF(AQ162="5",BJ162,0)</f>
        <v>0</v>
      </c>
      <c r="AB162" s="243">
        <f>IF(AQ162="1",BH162,0)</f>
        <v>0</v>
      </c>
      <c r="AC162" s="243">
        <f>IF(AQ162="1",BI162,0)</f>
        <v>0</v>
      </c>
      <c r="AD162" s="243">
        <f>IF(AQ162="7",BH162,0)</f>
        <v>0</v>
      </c>
      <c r="AE162" s="243">
        <f>IF(AQ162="7",BI162,0)</f>
        <v>0</v>
      </c>
      <c r="AF162" s="243">
        <f>IF(AQ162="2",BH162,0)</f>
        <v>0</v>
      </c>
      <c r="AG162" s="243">
        <f>IF(AQ162="2",BI162,0)</f>
        <v>0</v>
      </c>
      <c r="AH162" s="243">
        <f>IF(AQ162="0",BJ162,0)</f>
        <v>0</v>
      </c>
      <c r="AI162" s="232" t="s">
        <v>663</v>
      </c>
      <c r="AJ162" s="243">
        <f>IF(AN162=0,I162,0)</f>
        <v>0</v>
      </c>
      <c r="AK162" s="243">
        <f>IF(AN162=12,I162,0)</f>
        <v>0</v>
      </c>
      <c r="AL162" s="243">
        <f>IF(AN162=21,I162,0)</f>
        <v>0</v>
      </c>
      <c r="AN162" s="243">
        <v>21</v>
      </c>
      <c r="AO162" s="243">
        <f>H162*0.913480060575467</f>
        <v>0</v>
      </c>
      <c r="AP162" s="243">
        <f>H162*(1-0.913480060575467)</f>
        <v>0</v>
      </c>
      <c r="AQ162" s="245" t="s">
        <v>553</v>
      </c>
      <c r="AV162" s="243">
        <f>AW162+AX162</f>
        <v>0</v>
      </c>
      <c r="AW162" s="243">
        <f>G162*AO162</f>
        <v>0</v>
      </c>
      <c r="AX162" s="243">
        <f>G162*AP162</f>
        <v>0</v>
      </c>
      <c r="AY162" s="245" t="s">
        <v>706</v>
      </c>
      <c r="AZ162" s="245" t="s">
        <v>702</v>
      </c>
      <c r="BA162" s="232" t="s">
        <v>666</v>
      </c>
      <c r="BC162" s="243">
        <f>AW162+AX162</f>
        <v>0</v>
      </c>
      <c r="BD162" s="243">
        <f>H162/(100-BE162)*100</f>
        <v>0</v>
      </c>
      <c r="BE162" s="243">
        <v>0</v>
      </c>
      <c r="BF162" s="243">
        <f>162</f>
        <v>162</v>
      </c>
      <c r="BH162" s="243">
        <f>G162*AO162</f>
        <v>0</v>
      </c>
      <c r="BI162" s="243">
        <f>G162*AP162</f>
        <v>0</v>
      </c>
      <c r="BJ162" s="243">
        <f>G162*H162</f>
        <v>0</v>
      </c>
      <c r="BK162" s="243"/>
      <c r="BL162" s="243">
        <v>89</v>
      </c>
      <c r="BW162" s="243">
        <v>21</v>
      </c>
    </row>
    <row r="163" spans="1:75" ht="13.5" customHeight="1">
      <c r="A163" s="207" t="s">
        <v>708</v>
      </c>
      <c r="B163" s="208" t="s">
        <v>663</v>
      </c>
      <c r="C163" s="208" t="s">
        <v>344</v>
      </c>
      <c r="D163" s="268" t="s">
        <v>345</v>
      </c>
      <c r="E163" s="260"/>
      <c r="F163" s="208" t="s">
        <v>63</v>
      </c>
      <c r="G163" s="243">
        <v>295</v>
      </c>
      <c r="H163" s="244">
        <v>0</v>
      </c>
      <c r="I163" s="244">
        <f>G163*H163</f>
        <v>0</v>
      </c>
      <c r="K163" s="231"/>
      <c r="Z163" s="243">
        <f>IF(AQ163="5",BJ163,0)</f>
        <v>0</v>
      </c>
      <c r="AB163" s="243">
        <f>IF(AQ163="1",BH163,0)</f>
        <v>0</v>
      </c>
      <c r="AC163" s="243">
        <f>IF(AQ163="1",BI163,0)</f>
        <v>0</v>
      </c>
      <c r="AD163" s="243">
        <f>IF(AQ163="7",BH163,0)</f>
        <v>0</v>
      </c>
      <c r="AE163" s="243">
        <f>IF(AQ163="7",BI163,0)</f>
        <v>0</v>
      </c>
      <c r="AF163" s="243">
        <f>IF(AQ163="2",BH163,0)</f>
        <v>0</v>
      </c>
      <c r="AG163" s="243">
        <f>IF(AQ163="2",BI163,0)</f>
        <v>0</v>
      </c>
      <c r="AH163" s="243">
        <f>IF(AQ163="0",BJ163,0)</f>
        <v>0</v>
      </c>
      <c r="AI163" s="232" t="s">
        <v>663</v>
      </c>
      <c r="AJ163" s="243">
        <f>IF(AN163=0,I163,0)</f>
        <v>0</v>
      </c>
      <c r="AK163" s="243">
        <f>IF(AN163=12,I163,0)</f>
        <v>0</v>
      </c>
      <c r="AL163" s="243">
        <f>IF(AN163=21,I163,0)</f>
        <v>0</v>
      </c>
      <c r="AN163" s="243">
        <v>21</v>
      </c>
      <c r="AO163" s="243">
        <f>H163*0.353992183137912</f>
        <v>0</v>
      </c>
      <c r="AP163" s="243">
        <f>H163*(1-0.353992183137912)</f>
        <v>0</v>
      </c>
      <c r="AQ163" s="245" t="s">
        <v>553</v>
      </c>
      <c r="AV163" s="243">
        <f>AW163+AX163</f>
        <v>0</v>
      </c>
      <c r="AW163" s="243">
        <f>G163*AO163</f>
        <v>0</v>
      </c>
      <c r="AX163" s="243">
        <f>G163*AP163</f>
        <v>0</v>
      </c>
      <c r="AY163" s="245" t="s">
        <v>706</v>
      </c>
      <c r="AZ163" s="245" t="s">
        <v>702</v>
      </c>
      <c r="BA163" s="232" t="s">
        <v>666</v>
      </c>
      <c r="BC163" s="243">
        <f>AW163+AX163</f>
        <v>0</v>
      </c>
      <c r="BD163" s="243">
        <f>H163/(100-BE163)*100</f>
        <v>0</v>
      </c>
      <c r="BE163" s="243">
        <v>0</v>
      </c>
      <c r="BF163" s="243">
        <f>163</f>
        <v>163</v>
      </c>
      <c r="BH163" s="243">
        <f>G163*AO163</f>
        <v>0</v>
      </c>
      <c r="BI163" s="243">
        <f>G163*AP163</f>
        <v>0</v>
      </c>
      <c r="BJ163" s="243">
        <f>G163*H163</f>
        <v>0</v>
      </c>
      <c r="BK163" s="243"/>
      <c r="BL163" s="243">
        <v>89</v>
      </c>
      <c r="BW163" s="243">
        <v>21</v>
      </c>
    </row>
    <row r="164" spans="1:75" ht="13.5" customHeight="1">
      <c r="A164" s="207" t="s">
        <v>709</v>
      </c>
      <c r="B164" s="208" t="s">
        <v>663</v>
      </c>
      <c r="C164" s="208" t="s">
        <v>346</v>
      </c>
      <c r="D164" s="268" t="s">
        <v>347</v>
      </c>
      <c r="E164" s="260"/>
      <c r="F164" s="208" t="s">
        <v>63</v>
      </c>
      <c r="G164" s="243">
        <v>295</v>
      </c>
      <c r="H164" s="244">
        <v>0</v>
      </c>
      <c r="I164" s="244">
        <f>G164*H164</f>
        <v>0</v>
      </c>
      <c r="K164" s="231"/>
      <c r="Z164" s="243">
        <f>IF(AQ164="5",BJ164,0)</f>
        <v>0</v>
      </c>
      <c r="AB164" s="243">
        <f>IF(AQ164="1",BH164,0)</f>
        <v>0</v>
      </c>
      <c r="AC164" s="243">
        <f>IF(AQ164="1",BI164,0)</f>
        <v>0</v>
      </c>
      <c r="AD164" s="243">
        <f>IF(AQ164="7",BH164,0)</f>
        <v>0</v>
      </c>
      <c r="AE164" s="243">
        <f>IF(AQ164="7",BI164,0)</f>
        <v>0</v>
      </c>
      <c r="AF164" s="243">
        <f>IF(AQ164="2",BH164,0)</f>
        <v>0</v>
      </c>
      <c r="AG164" s="243">
        <f>IF(AQ164="2",BI164,0)</f>
        <v>0</v>
      </c>
      <c r="AH164" s="243">
        <f>IF(AQ164="0",BJ164,0)</f>
        <v>0</v>
      </c>
      <c r="AI164" s="232" t="s">
        <v>663</v>
      </c>
      <c r="AJ164" s="243">
        <f>IF(AN164=0,I164,0)</f>
        <v>0</v>
      </c>
      <c r="AK164" s="243">
        <f>IF(AN164=12,I164,0)</f>
        <v>0</v>
      </c>
      <c r="AL164" s="243">
        <f>IF(AN164=21,I164,0)</f>
        <v>0</v>
      </c>
      <c r="AN164" s="243">
        <v>21</v>
      </c>
      <c r="AO164" s="243">
        <f>H164*0.568162332094884</f>
        <v>0</v>
      </c>
      <c r="AP164" s="243">
        <f>H164*(1-0.568162332094884)</f>
        <v>0</v>
      </c>
      <c r="AQ164" s="245" t="s">
        <v>553</v>
      </c>
      <c r="AV164" s="243">
        <f>AW164+AX164</f>
        <v>0</v>
      </c>
      <c r="AW164" s="243">
        <f>G164*AO164</f>
        <v>0</v>
      </c>
      <c r="AX164" s="243">
        <f>G164*AP164</f>
        <v>0</v>
      </c>
      <c r="AY164" s="245" t="s">
        <v>706</v>
      </c>
      <c r="AZ164" s="245" t="s">
        <v>702</v>
      </c>
      <c r="BA164" s="232" t="s">
        <v>666</v>
      </c>
      <c r="BC164" s="243">
        <f>AW164+AX164</f>
        <v>0</v>
      </c>
      <c r="BD164" s="243">
        <f>H164/(100-BE164)*100</f>
        <v>0</v>
      </c>
      <c r="BE164" s="243">
        <v>0</v>
      </c>
      <c r="BF164" s="243">
        <f>164</f>
        <v>164</v>
      </c>
      <c r="BH164" s="243">
        <f>G164*AO164</f>
        <v>0</v>
      </c>
      <c r="BI164" s="243">
        <f>G164*AP164</f>
        <v>0</v>
      </c>
      <c r="BJ164" s="243">
        <f>G164*H164</f>
        <v>0</v>
      </c>
      <c r="BK164" s="243"/>
      <c r="BL164" s="243">
        <v>89</v>
      </c>
      <c r="BW164" s="243">
        <v>21</v>
      </c>
    </row>
    <row r="165" spans="1:75" ht="15" customHeight="1">
      <c r="A165" s="238" t="s">
        <v>21</v>
      </c>
      <c r="B165" s="239" t="s">
        <v>663</v>
      </c>
      <c r="C165" s="239" t="s">
        <v>21</v>
      </c>
      <c r="D165" s="309" t="s">
        <v>1310</v>
      </c>
      <c r="E165" s="310"/>
      <c r="F165" s="240" t="s">
        <v>20</v>
      </c>
      <c r="G165" s="240" t="s">
        <v>20</v>
      </c>
      <c r="H165" s="241" t="s">
        <v>20</v>
      </c>
      <c r="I165" s="242">
        <f>I166</f>
        <v>0</v>
      </c>
      <c r="K165" s="231"/>
      <c r="AI165" s="232" t="s">
        <v>663</v>
      </c>
    </row>
    <row r="166" spans="1:75" ht="15" customHeight="1">
      <c r="A166" s="238" t="s">
        <v>21</v>
      </c>
      <c r="B166" s="239" t="s">
        <v>663</v>
      </c>
      <c r="C166" s="239" t="s">
        <v>348</v>
      </c>
      <c r="D166" s="309" t="s">
        <v>349</v>
      </c>
      <c r="E166" s="310"/>
      <c r="F166" s="240" t="s">
        <v>20</v>
      </c>
      <c r="G166" s="240" t="s">
        <v>20</v>
      </c>
      <c r="H166" s="241" t="s">
        <v>20</v>
      </c>
      <c r="I166" s="242">
        <f>SUM(I167:I168)</f>
        <v>0</v>
      </c>
      <c r="K166" s="231"/>
      <c r="AI166" s="232" t="s">
        <v>663</v>
      </c>
      <c r="AS166" s="225">
        <f>SUM(AJ167:AJ168)</f>
        <v>0</v>
      </c>
      <c r="AT166" s="225">
        <f>SUM(AK167:AK168)</f>
        <v>0</v>
      </c>
      <c r="AU166" s="225">
        <f>SUM(AL167:AL168)</f>
        <v>0</v>
      </c>
    </row>
    <row r="167" spans="1:75" ht="13.5" customHeight="1">
      <c r="A167" s="207" t="s">
        <v>710</v>
      </c>
      <c r="B167" s="208" t="s">
        <v>663</v>
      </c>
      <c r="C167" s="208" t="s">
        <v>350</v>
      </c>
      <c r="D167" s="268" t="s">
        <v>351</v>
      </c>
      <c r="E167" s="260"/>
      <c r="F167" s="208" t="s">
        <v>29</v>
      </c>
      <c r="G167" s="243">
        <v>1</v>
      </c>
      <c r="H167" s="244">
        <v>0</v>
      </c>
      <c r="I167" s="244">
        <f>G167*H167</f>
        <v>0</v>
      </c>
      <c r="K167" s="231"/>
      <c r="Z167" s="243">
        <f>IF(AQ167="5",BJ167,0)</f>
        <v>0</v>
      </c>
      <c r="AB167" s="243">
        <f>IF(AQ167="1",BH167,0)</f>
        <v>0</v>
      </c>
      <c r="AC167" s="243">
        <f>IF(AQ167="1",BI167,0)</f>
        <v>0</v>
      </c>
      <c r="AD167" s="243">
        <f>IF(AQ167="7",BH167,0)</f>
        <v>0</v>
      </c>
      <c r="AE167" s="243">
        <f>IF(AQ167="7",BI167,0)</f>
        <v>0</v>
      </c>
      <c r="AF167" s="243">
        <f>IF(AQ167="2",BH167,0)</f>
        <v>0</v>
      </c>
      <c r="AG167" s="243">
        <f>IF(AQ167="2",BI167,0)</f>
        <v>0</v>
      </c>
      <c r="AH167" s="243">
        <f>IF(AQ167="0",BJ167,0)</f>
        <v>0</v>
      </c>
      <c r="AI167" s="232" t="s">
        <v>663</v>
      </c>
      <c r="AJ167" s="243">
        <f>IF(AN167=0,I167,0)</f>
        <v>0</v>
      </c>
      <c r="AK167" s="243">
        <f>IF(AN167=12,I167,0)</f>
        <v>0</v>
      </c>
      <c r="AL167" s="243">
        <f>IF(AN167=21,I167,0)</f>
        <v>0</v>
      </c>
      <c r="AN167" s="243">
        <v>21</v>
      </c>
      <c r="AO167" s="243">
        <f>H167*0</f>
        <v>0</v>
      </c>
      <c r="AP167" s="243">
        <f>H167*(1-0)</f>
        <v>0</v>
      </c>
      <c r="AQ167" s="245" t="s">
        <v>556</v>
      </c>
      <c r="AV167" s="243">
        <f>AW167+AX167</f>
        <v>0</v>
      </c>
      <c r="AW167" s="243">
        <f>G167*AO167</f>
        <v>0</v>
      </c>
      <c r="AX167" s="243">
        <f>G167*AP167</f>
        <v>0</v>
      </c>
      <c r="AY167" s="245" t="s">
        <v>711</v>
      </c>
      <c r="AZ167" s="245" t="s">
        <v>1343</v>
      </c>
      <c r="BA167" s="232" t="s">
        <v>666</v>
      </c>
      <c r="BC167" s="243">
        <f>AW167+AX167</f>
        <v>0</v>
      </c>
      <c r="BD167" s="243">
        <f>H167/(100-BE167)*100</f>
        <v>0</v>
      </c>
      <c r="BE167" s="243">
        <v>0</v>
      </c>
      <c r="BF167" s="243">
        <f>167</f>
        <v>167</v>
      </c>
      <c r="BH167" s="243">
        <f>G167*AO167</f>
        <v>0</v>
      </c>
      <c r="BI167" s="243">
        <f>G167*AP167</f>
        <v>0</v>
      </c>
      <c r="BJ167" s="243">
        <f>G167*H167</f>
        <v>0</v>
      </c>
      <c r="BK167" s="243"/>
      <c r="BL167" s="243"/>
      <c r="BR167" s="243">
        <f>G167*H167</f>
        <v>0</v>
      </c>
      <c r="BW167" s="243">
        <v>21</v>
      </c>
    </row>
    <row r="168" spans="1:75" ht="13.5" customHeight="1">
      <c r="A168" s="207" t="s">
        <v>713</v>
      </c>
      <c r="B168" s="208" t="s">
        <v>663</v>
      </c>
      <c r="C168" s="208" t="s">
        <v>352</v>
      </c>
      <c r="D168" s="268" t="s">
        <v>353</v>
      </c>
      <c r="E168" s="260"/>
      <c r="F168" s="208" t="s">
        <v>123</v>
      </c>
      <c r="G168" s="243">
        <v>1132.8404499999999</v>
      </c>
      <c r="H168" s="244">
        <v>0</v>
      </c>
      <c r="I168" s="244">
        <f>G168*H168</f>
        <v>0</v>
      </c>
      <c r="K168" s="231"/>
      <c r="Z168" s="243">
        <f>IF(AQ168="5",BJ168,0)</f>
        <v>0</v>
      </c>
      <c r="AB168" s="243">
        <f>IF(AQ168="1",BH168,0)</f>
        <v>0</v>
      </c>
      <c r="AC168" s="243">
        <f>IF(AQ168="1",BI168,0)</f>
        <v>0</v>
      </c>
      <c r="AD168" s="243">
        <f>IF(AQ168="7",BH168,0)</f>
        <v>0</v>
      </c>
      <c r="AE168" s="243">
        <f>IF(AQ168="7",BI168,0)</f>
        <v>0</v>
      </c>
      <c r="AF168" s="243">
        <f>IF(AQ168="2",BH168,0)</f>
        <v>0</v>
      </c>
      <c r="AG168" s="243">
        <f>IF(AQ168="2",BI168,0)</f>
        <v>0</v>
      </c>
      <c r="AH168" s="243">
        <f>IF(AQ168="0",BJ168,0)</f>
        <v>0</v>
      </c>
      <c r="AI168" s="232" t="s">
        <v>663</v>
      </c>
      <c r="AJ168" s="243">
        <f>IF(AN168=0,I168,0)</f>
        <v>0</v>
      </c>
      <c r="AK168" s="243">
        <f>IF(AN168=12,I168,0)</f>
        <v>0</v>
      </c>
      <c r="AL168" s="243">
        <f>IF(AN168=21,I168,0)</f>
        <v>0</v>
      </c>
      <c r="AN168" s="243">
        <v>21</v>
      </c>
      <c r="AO168" s="243">
        <f>H168*0</f>
        <v>0</v>
      </c>
      <c r="AP168" s="243">
        <f>H168*(1-0)</f>
        <v>0</v>
      </c>
      <c r="AQ168" s="245" t="s">
        <v>564</v>
      </c>
      <c r="AV168" s="243">
        <f>AW168+AX168</f>
        <v>0</v>
      </c>
      <c r="AW168" s="243">
        <f>G168*AO168</f>
        <v>0</v>
      </c>
      <c r="AX168" s="243">
        <f>G168*AP168</f>
        <v>0</v>
      </c>
      <c r="AY168" s="245" t="s">
        <v>711</v>
      </c>
      <c r="AZ168" s="245" t="s">
        <v>1343</v>
      </c>
      <c r="BA168" s="232" t="s">
        <v>666</v>
      </c>
      <c r="BC168" s="243">
        <f>AW168+AX168</f>
        <v>0</v>
      </c>
      <c r="BD168" s="243">
        <f>H168/(100-BE168)*100</f>
        <v>0</v>
      </c>
      <c r="BE168" s="243">
        <v>0</v>
      </c>
      <c r="BF168" s="243">
        <f>168</f>
        <v>168</v>
      </c>
      <c r="BH168" s="243">
        <f>G168*AO168</f>
        <v>0</v>
      </c>
      <c r="BI168" s="243">
        <f>G168*AP168</f>
        <v>0</v>
      </c>
      <c r="BJ168" s="243">
        <f>G168*H168</f>
        <v>0</v>
      </c>
      <c r="BK168" s="243"/>
      <c r="BL168" s="243"/>
      <c r="BR168" s="243">
        <f>G168*H168</f>
        <v>0</v>
      </c>
      <c r="BW168" s="243">
        <v>21</v>
      </c>
    </row>
    <row r="169" spans="1:75" ht="15" customHeight="1">
      <c r="A169" s="238" t="s">
        <v>21</v>
      </c>
      <c r="B169" s="239" t="s">
        <v>714</v>
      </c>
      <c r="C169" s="239" t="s">
        <v>21</v>
      </c>
      <c r="D169" s="309" t="s">
        <v>355</v>
      </c>
      <c r="E169" s="310"/>
      <c r="F169" s="240" t="s">
        <v>20</v>
      </c>
      <c r="G169" s="240" t="s">
        <v>20</v>
      </c>
      <c r="H169" s="241" t="s">
        <v>20</v>
      </c>
      <c r="I169" s="242">
        <f>I170+I180+I182+I198+I200+I208+I220+I236</f>
        <v>0</v>
      </c>
      <c r="K169" s="231"/>
    </row>
    <row r="170" spans="1:75" ht="15" customHeight="1">
      <c r="A170" s="238" t="s">
        <v>21</v>
      </c>
      <c r="B170" s="239" t="s">
        <v>714</v>
      </c>
      <c r="C170" s="239" t="s">
        <v>54</v>
      </c>
      <c r="D170" s="309" t="s">
        <v>55</v>
      </c>
      <c r="E170" s="310"/>
      <c r="F170" s="240" t="s">
        <v>20</v>
      </c>
      <c r="G170" s="240" t="s">
        <v>20</v>
      </c>
      <c r="H170" s="241" t="s">
        <v>20</v>
      </c>
      <c r="I170" s="242">
        <f>SUM(I171:I179)</f>
        <v>0</v>
      </c>
      <c r="K170" s="231"/>
      <c r="AI170" s="232" t="s">
        <v>714</v>
      </c>
      <c r="AS170" s="225">
        <f>SUM(AJ171:AJ179)</f>
        <v>0</v>
      </c>
      <c r="AT170" s="225">
        <f>SUM(AK171:AK179)</f>
        <v>0</v>
      </c>
      <c r="AU170" s="225">
        <f>SUM(AL171:AL179)</f>
        <v>0</v>
      </c>
    </row>
    <row r="171" spans="1:75" ht="13.5" customHeight="1">
      <c r="A171" s="207" t="s">
        <v>715</v>
      </c>
      <c r="B171" s="208" t="s">
        <v>714</v>
      </c>
      <c r="C171" s="208" t="s">
        <v>69</v>
      </c>
      <c r="D171" s="268" t="s">
        <v>356</v>
      </c>
      <c r="E171" s="260"/>
      <c r="F171" s="208" t="s">
        <v>68</v>
      </c>
      <c r="G171" s="243">
        <v>1</v>
      </c>
      <c r="H171" s="244">
        <v>0</v>
      </c>
      <c r="I171" s="244">
        <f t="shared" ref="I171:I179" si="120">G171*H171</f>
        <v>0</v>
      </c>
      <c r="K171" s="231"/>
      <c r="Z171" s="243">
        <f t="shared" ref="Z171:Z179" si="121">IF(AQ171="5",BJ171,0)</f>
        <v>0</v>
      </c>
      <c r="AB171" s="243">
        <f t="shared" ref="AB171:AB179" si="122">IF(AQ171="1",BH171,0)</f>
        <v>0</v>
      </c>
      <c r="AC171" s="243">
        <f t="shared" ref="AC171:AC179" si="123">IF(AQ171="1",BI171,0)</f>
        <v>0</v>
      </c>
      <c r="AD171" s="243">
        <f t="shared" ref="AD171:AD179" si="124">IF(AQ171="7",BH171,0)</f>
        <v>0</v>
      </c>
      <c r="AE171" s="243">
        <f t="shared" ref="AE171:AE179" si="125">IF(AQ171="7",BI171,0)</f>
        <v>0</v>
      </c>
      <c r="AF171" s="243">
        <f t="shared" ref="AF171:AF179" si="126">IF(AQ171="2",BH171,0)</f>
        <v>0</v>
      </c>
      <c r="AG171" s="243">
        <f t="shared" ref="AG171:AG179" si="127">IF(AQ171="2",BI171,0)</f>
        <v>0</v>
      </c>
      <c r="AH171" s="243">
        <f t="shared" ref="AH171:AH179" si="128">IF(AQ171="0",BJ171,0)</f>
        <v>0</v>
      </c>
      <c r="AI171" s="232" t="s">
        <v>714</v>
      </c>
      <c r="AJ171" s="243">
        <f t="shared" ref="AJ171:AJ179" si="129">IF(AN171=0,I171,0)</f>
        <v>0</v>
      </c>
      <c r="AK171" s="243">
        <f t="shared" ref="AK171:AK179" si="130">IF(AN171=12,I171,0)</f>
        <v>0</v>
      </c>
      <c r="AL171" s="243">
        <f t="shared" ref="AL171:AL179" si="131">IF(AN171=21,I171,0)</f>
        <v>0</v>
      </c>
      <c r="AN171" s="243">
        <v>21</v>
      </c>
      <c r="AO171" s="243">
        <f>H171*0</f>
        <v>0</v>
      </c>
      <c r="AP171" s="243">
        <f>H171*(1-0)</f>
        <v>0</v>
      </c>
      <c r="AQ171" s="245" t="s">
        <v>553</v>
      </c>
      <c r="AV171" s="243">
        <f t="shared" ref="AV171:AV179" si="132">AW171+AX171</f>
        <v>0</v>
      </c>
      <c r="AW171" s="243">
        <f t="shared" ref="AW171:AW179" si="133">G171*AO171</f>
        <v>0</v>
      </c>
      <c r="AX171" s="243">
        <f t="shared" ref="AX171:AX179" si="134">G171*AP171</f>
        <v>0</v>
      </c>
      <c r="AY171" s="245" t="s">
        <v>574</v>
      </c>
      <c r="AZ171" s="245" t="s">
        <v>716</v>
      </c>
      <c r="BA171" s="232" t="s">
        <v>717</v>
      </c>
      <c r="BC171" s="243">
        <f t="shared" ref="BC171:BC179" si="135">AW171+AX171</f>
        <v>0</v>
      </c>
      <c r="BD171" s="243">
        <f t="shared" ref="BD171:BD179" si="136">H171/(100-BE171)*100</f>
        <v>0</v>
      </c>
      <c r="BE171" s="243">
        <v>0</v>
      </c>
      <c r="BF171" s="243">
        <f>171</f>
        <v>171</v>
      </c>
      <c r="BH171" s="243">
        <f t="shared" ref="BH171:BH179" si="137">G171*AO171</f>
        <v>0</v>
      </c>
      <c r="BI171" s="243">
        <f t="shared" ref="BI171:BI179" si="138">G171*AP171</f>
        <v>0</v>
      </c>
      <c r="BJ171" s="243">
        <f t="shared" ref="BJ171:BJ179" si="139">G171*H171</f>
        <v>0</v>
      </c>
      <c r="BK171" s="243"/>
      <c r="BL171" s="243">
        <v>0</v>
      </c>
      <c r="BW171" s="243">
        <v>21</v>
      </c>
    </row>
    <row r="172" spans="1:75" ht="13.5" customHeight="1">
      <c r="A172" s="207" t="s">
        <v>718</v>
      </c>
      <c r="B172" s="208" t="s">
        <v>714</v>
      </c>
      <c r="C172" s="208" t="s">
        <v>107</v>
      </c>
      <c r="D172" s="268" t="s">
        <v>108</v>
      </c>
      <c r="E172" s="260"/>
      <c r="F172" s="208" t="s">
        <v>109</v>
      </c>
      <c r="G172" s="243">
        <v>12</v>
      </c>
      <c r="H172" s="244">
        <v>0</v>
      </c>
      <c r="I172" s="244">
        <f t="shared" si="120"/>
        <v>0</v>
      </c>
      <c r="K172" s="231"/>
      <c r="Z172" s="243">
        <f t="shared" si="121"/>
        <v>0</v>
      </c>
      <c r="AB172" s="243">
        <f t="shared" si="122"/>
        <v>0</v>
      </c>
      <c r="AC172" s="243">
        <f t="shared" si="123"/>
        <v>0</v>
      </c>
      <c r="AD172" s="243">
        <f t="shared" si="124"/>
        <v>0</v>
      </c>
      <c r="AE172" s="243">
        <f t="shared" si="125"/>
        <v>0</v>
      </c>
      <c r="AF172" s="243">
        <f t="shared" si="126"/>
        <v>0</v>
      </c>
      <c r="AG172" s="243">
        <f t="shared" si="127"/>
        <v>0</v>
      </c>
      <c r="AH172" s="243">
        <f t="shared" si="128"/>
        <v>0</v>
      </c>
      <c r="AI172" s="232" t="s">
        <v>714</v>
      </c>
      <c r="AJ172" s="243">
        <f t="shared" si="129"/>
        <v>0</v>
      </c>
      <c r="AK172" s="243">
        <f t="shared" si="130"/>
        <v>0</v>
      </c>
      <c r="AL172" s="243">
        <f t="shared" si="131"/>
        <v>0</v>
      </c>
      <c r="AN172" s="243">
        <v>21</v>
      </c>
      <c r="AO172" s="243">
        <f>H172*0</f>
        <v>0</v>
      </c>
      <c r="AP172" s="243">
        <f>H172*(1-0)</f>
        <v>0</v>
      </c>
      <c r="AQ172" s="245" t="s">
        <v>553</v>
      </c>
      <c r="AV172" s="243">
        <f t="shared" si="132"/>
        <v>0</v>
      </c>
      <c r="AW172" s="243">
        <f t="shared" si="133"/>
        <v>0</v>
      </c>
      <c r="AX172" s="243">
        <f t="shared" si="134"/>
        <v>0</v>
      </c>
      <c r="AY172" s="245" t="s">
        <v>574</v>
      </c>
      <c r="AZ172" s="245" t="s">
        <v>716</v>
      </c>
      <c r="BA172" s="232" t="s">
        <v>717</v>
      </c>
      <c r="BC172" s="243">
        <f t="shared" si="135"/>
        <v>0</v>
      </c>
      <c r="BD172" s="243">
        <f t="shared" si="136"/>
        <v>0</v>
      </c>
      <c r="BE172" s="243">
        <v>0</v>
      </c>
      <c r="BF172" s="243">
        <f>172</f>
        <v>172</v>
      </c>
      <c r="BH172" s="243">
        <f t="shared" si="137"/>
        <v>0</v>
      </c>
      <c r="BI172" s="243">
        <f t="shared" si="138"/>
        <v>0</v>
      </c>
      <c r="BJ172" s="243">
        <f t="shared" si="139"/>
        <v>0</v>
      </c>
      <c r="BK172" s="243"/>
      <c r="BL172" s="243">
        <v>0</v>
      </c>
      <c r="BW172" s="243">
        <v>21</v>
      </c>
    </row>
    <row r="173" spans="1:75" ht="27" customHeight="1">
      <c r="A173" s="207" t="s">
        <v>719</v>
      </c>
      <c r="B173" s="208" t="s">
        <v>714</v>
      </c>
      <c r="C173" s="208" t="s">
        <v>110</v>
      </c>
      <c r="D173" s="268" t="s">
        <v>111</v>
      </c>
      <c r="E173" s="260"/>
      <c r="F173" s="208" t="s">
        <v>112</v>
      </c>
      <c r="G173" s="243">
        <v>12</v>
      </c>
      <c r="H173" s="244">
        <v>0</v>
      </c>
      <c r="I173" s="244">
        <f t="shared" si="120"/>
        <v>0</v>
      </c>
      <c r="K173" s="231"/>
      <c r="Z173" s="243">
        <f t="shared" si="121"/>
        <v>0</v>
      </c>
      <c r="AB173" s="243">
        <f t="shared" si="122"/>
        <v>0</v>
      </c>
      <c r="AC173" s="243">
        <f t="shared" si="123"/>
        <v>0</v>
      </c>
      <c r="AD173" s="243">
        <f t="shared" si="124"/>
        <v>0</v>
      </c>
      <c r="AE173" s="243">
        <f t="shared" si="125"/>
        <v>0</v>
      </c>
      <c r="AF173" s="243">
        <f t="shared" si="126"/>
        <v>0</v>
      </c>
      <c r="AG173" s="243">
        <f t="shared" si="127"/>
        <v>0</v>
      </c>
      <c r="AH173" s="243">
        <f t="shared" si="128"/>
        <v>0</v>
      </c>
      <c r="AI173" s="232" t="s">
        <v>714</v>
      </c>
      <c r="AJ173" s="243">
        <f t="shared" si="129"/>
        <v>0</v>
      </c>
      <c r="AK173" s="243">
        <f t="shared" si="130"/>
        <v>0</v>
      </c>
      <c r="AL173" s="243">
        <f t="shared" si="131"/>
        <v>0</v>
      </c>
      <c r="AN173" s="243">
        <v>21</v>
      </c>
      <c r="AO173" s="243">
        <f>H173*0.298352654057352</f>
        <v>0</v>
      </c>
      <c r="AP173" s="243">
        <f>H173*(1-0.298352654057352)</f>
        <v>0</v>
      </c>
      <c r="AQ173" s="245" t="s">
        <v>553</v>
      </c>
      <c r="AV173" s="243">
        <f t="shared" si="132"/>
        <v>0</v>
      </c>
      <c r="AW173" s="243">
        <f t="shared" si="133"/>
        <v>0</v>
      </c>
      <c r="AX173" s="243">
        <f t="shared" si="134"/>
        <v>0</v>
      </c>
      <c r="AY173" s="245" t="s">
        <v>574</v>
      </c>
      <c r="AZ173" s="245" t="s">
        <v>716</v>
      </c>
      <c r="BA173" s="232" t="s">
        <v>717</v>
      </c>
      <c r="BC173" s="243">
        <f t="shared" si="135"/>
        <v>0</v>
      </c>
      <c r="BD173" s="243">
        <f t="shared" si="136"/>
        <v>0</v>
      </c>
      <c r="BE173" s="243">
        <v>0</v>
      </c>
      <c r="BF173" s="243">
        <f>173</f>
        <v>173</v>
      </c>
      <c r="BH173" s="243">
        <f t="shared" si="137"/>
        <v>0</v>
      </c>
      <c r="BI173" s="243">
        <f t="shared" si="138"/>
        <v>0</v>
      </c>
      <c r="BJ173" s="243">
        <f t="shared" si="139"/>
        <v>0</v>
      </c>
      <c r="BK173" s="243"/>
      <c r="BL173" s="243">
        <v>0</v>
      </c>
      <c r="BW173" s="243">
        <v>21</v>
      </c>
    </row>
    <row r="174" spans="1:75" ht="13.5" customHeight="1">
      <c r="A174" s="207" t="s">
        <v>720</v>
      </c>
      <c r="B174" s="208" t="s">
        <v>714</v>
      </c>
      <c r="C174" s="208" t="s">
        <v>115</v>
      </c>
      <c r="D174" s="268" t="s">
        <v>116</v>
      </c>
      <c r="E174" s="260"/>
      <c r="F174" s="208" t="s">
        <v>58</v>
      </c>
      <c r="G174" s="243">
        <v>1</v>
      </c>
      <c r="H174" s="244">
        <v>0</v>
      </c>
      <c r="I174" s="244">
        <f t="shared" si="120"/>
        <v>0</v>
      </c>
      <c r="K174" s="231"/>
      <c r="Z174" s="243">
        <f t="shared" si="121"/>
        <v>0</v>
      </c>
      <c r="AB174" s="243">
        <f t="shared" si="122"/>
        <v>0</v>
      </c>
      <c r="AC174" s="243">
        <f t="shared" si="123"/>
        <v>0</v>
      </c>
      <c r="AD174" s="243">
        <f t="shared" si="124"/>
        <v>0</v>
      </c>
      <c r="AE174" s="243">
        <f t="shared" si="125"/>
        <v>0</v>
      </c>
      <c r="AF174" s="243">
        <f t="shared" si="126"/>
        <v>0</v>
      </c>
      <c r="AG174" s="243">
        <f t="shared" si="127"/>
        <v>0</v>
      </c>
      <c r="AH174" s="243">
        <f t="shared" si="128"/>
        <v>0</v>
      </c>
      <c r="AI174" s="232" t="s">
        <v>714</v>
      </c>
      <c r="AJ174" s="243">
        <f t="shared" si="129"/>
        <v>0</v>
      </c>
      <c r="AK174" s="243">
        <f t="shared" si="130"/>
        <v>0</v>
      </c>
      <c r="AL174" s="243">
        <f t="shared" si="131"/>
        <v>0</v>
      </c>
      <c r="AN174" s="243">
        <v>21</v>
      </c>
      <c r="AO174" s="243">
        <f>H174*0</f>
        <v>0</v>
      </c>
      <c r="AP174" s="243">
        <f>H174*(1-0)</f>
        <v>0</v>
      </c>
      <c r="AQ174" s="245" t="s">
        <v>553</v>
      </c>
      <c r="AV174" s="243">
        <f t="shared" si="132"/>
        <v>0</v>
      </c>
      <c r="AW174" s="243">
        <f t="shared" si="133"/>
        <v>0</v>
      </c>
      <c r="AX174" s="243">
        <f t="shared" si="134"/>
        <v>0</v>
      </c>
      <c r="AY174" s="245" t="s">
        <v>574</v>
      </c>
      <c r="AZ174" s="245" t="s">
        <v>716</v>
      </c>
      <c r="BA174" s="232" t="s">
        <v>717</v>
      </c>
      <c r="BC174" s="243">
        <f t="shared" si="135"/>
        <v>0</v>
      </c>
      <c r="BD174" s="243">
        <f t="shared" si="136"/>
        <v>0</v>
      </c>
      <c r="BE174" s="243">
        <v>0</v>
      </c>
      <c r="BF174" s="243">
        <f>174</f>
        <v>174</v>
      </c>
      <c r="BH174" s="243">
        <f t="shared" si="137"/>
        <v>0</v>
      </c>
      <c r="BI174" s="243">
        <f t="shared" si="138"/>
        <v>0</v>
      </c>
      <c r="BJ174" s="243">
        <f t="shared" si="139"/>
        <v>0</v>
      </c>
      <c r="BK174" s="243"/>
      <c r="BL174" s="243">
        <v>0</v>
      </c>
      <c r="BW174" s="243">
        <v>21</v>
      </c>
    </row>
    <row r="175" spans="1:75" ht="13.5" customHeight="1">
      <c r="A175" s="207" t="s">
        <v>721</v>
      </c>
      <c r="B175" s="208" t="s">
        <v>714</v>
      </c>
      <c r="C175" s="208" t="s">
        <v>119</v>
      </c>
      <c r="D175" s="268" t="s">
        <v>120</v>
      </c>
      <c r="E175" s="260"/>
      <c r="F175" s="208" t="s">
        <v>58</v>
      </c>
      <c r="G175" s="243">
        <v>1</v>
      </c>
      <c r="H175" s="244">
        <v>0</v>
      </c>
      <c r="I175" s="244">
        <f t="shared" si="120"/>
        <v>0</v>
      </c>
      <c r="K175" s="231"/>
      <c r="Z175" s="243">
        <f t="shared" si="121"/>
        <v>0</v>
      </c>
      <c r="AB175" s="243">
        <f t="shared" si="122"/>
        <v>0</v>
      </c>
      <c r="AC175" s="243">
        <f t="shared" si="123"/>
        <v>0</v>
      </c>
      <c r="AD175" s="243">
        <f t="shared" si="124"/>
        <v>0</v>
      </c>
      <c r="AE175" s="243">
        <f t="shared" si="125"/>
        <v>0</v>
      </c>
      <c r="AF175" s="243">
        <f t="shared" si="126"/>
        <v>0</v>
      </c>
      <c r="AG175" s="243">
        <f t="shared" si="127"/>
        <v>0</v>
      </c>
      <c r="AH175" s="243">
        <f t="shared" si="128"/>
        <v>0</v>
      </c>
      <c r="AI175" s="232" t="s">
        <v>714</v>
      </c>
      <c r="AJ175" s="243">
        <f t="shared" si="129"/>
        <v>0</v>
      </c>
      <c r="AK175" s="243">
        <f t="shared" si="130"/>
        <v>0</v>
      </c>
      <c r="AL175" s="243">
        <f t="shared" si="131"/>
        <v>0</v>
      </c>
      <c r="AN175" s="243">
        <v>21</v>
      </c>
      <c r="AO175" s="243">
        <f>H175*0</f>
        <v>0</v>
      </c>
      <c r="AP175" s="243">
        <f>H175*(1-0)</f>
        <v>0</v>
      </c>
      <c r="AQ175" s="245" t="s">
        <v>553</v>
      </c>
      <c r="AV175" s="243">
        <f t="shared" si="132"/>
        <v>0</v>
      </c>
      <c r="AW175" s="243">
        <f t="shared" si="133"/>
        <v>0</v>
      </c>
      <c r="AX175" s="243">
        <f t="shared" si="134"/>
        <v>0</v>
      </c>
      <c r="AY175" s="245" t="s">
        <v>574</v>
      </c>
      <c r="AZ175" s="245" t="s">
        <v>716</v>
      </c>
      <c r="BA175" s="232" t="s">
        <v>717</v>
      </c>
      <c r="BC175" s="243">
        <f t="shared" si="135"/>
        <v>0</v>
      </c>
      <c r="BD175" s="243">
        <f t="shared" si="136"/>
        <v>0</v>
      </c>
      <c r="BE175" s="243">
        <v>0</v>
      </c>
      <c r="BF175" s="243">
        <f>175</f>
        <v>175</v>
      </c>
      <c r="BH175" s="243">
        <f t="shared" si="137"/>
        <v>0</v>
      </c>
      <c r="BI175" s="243">
        <f t="shared" si="138"/>
        <v>0</v>
      </c>
      <c r="BJ175" s="243">
        <f t="shared" si="139"/>
        <v>0</v>
      </c>
      <c r="BK175" s="243"/>
      <c r="BL175" s="243">
        <v>0</v>
      </c>
      <c r="BW175" s="243">
        <v>21</v>
      </c>
    </row>
    <row r="176" spans="1:75" ht="13.5" customHeight="1">
      <c r="A176" s="207" t="s">
        <v>722</v>
      </c>
      <c r="B176" s="208" t="s">
        <v>714</v>
      </c>
      <c r="C176" s="208" t="s">
        <v>71</v>
      </c>
      <c r="D176" s="268" t="s">
        <v>72</v>
      </c>
      <c r="E176" s="260"/>
      <c r="F176" s="208" t="s">
        <v>58</v>
      </c>
      <c r="G176" s="243">
        <v>1</v>
      </c>
      <c r="H176" s="244">
        <v>0</v>
      </c>
      <c r="I176" s="244">
        <f t="shared" si="120"/>
        <v>0</v>
      </c>
      <c r="K176" s="231"/>
      <c r="Z176" s="243">
        <f t="shared" si="121"/>
        <v>0</v>
      </c>
      <c r="AB176" s="243">
        <f t="shared" si="122"/>
        <v>0</v>
      </c>
      <c r="AC176" s="243">
        <f t="shared" si="123"/>
        <v>0</v>
      </c>
      <c r="AD176" s="243">
        <f t="shared" si="124"/>
        <v>0</v>
      </c>
      <c r="AE176" s="243">
        <f t="shared" si="125"/>
        <v>0</v>
      </c>
      <c r="AF176" s="243">
        <f t="shared" si="126"/>
        <v>0</v>
      </c>
      <c r="AG176" s="243">
        <f t="shared" si="127"/>
        <v>0</v>
      </c>
      <c r="AH176" s="243">
        <f t="shared" si="128"/>
        <v>0</v>
      </c>
      <c r="AI176" s="232" t="s">
        <v>714</v>
      </c>
      <c r="AJ176" s="243">
        <f t="shared" si="129"/>
        <v>0</v>
      </c>
      <c r="AK176" s="243">
        <f t="shared" si="130"/>
        <v>0</v>
      </c>
      <c r="AL176" s="243">
        <f t="shared" si="131"/>
        <v>0</v>
      </c>
      <c r="AN176" s="243">
        <v>21</v>
      </c>
      <c r="AO176" s="243">
        <f>H176*0.632508123680949</f>
        <v>0</v>
      </c>
      <c r="AP176" s="243">
        <f>H176*(1-0.632508123680949)</f>
        <v>0</v>
      </c>
      <c r="AQ176" s="245" t="s">
        <v>553</v>
      </c>
      <c r="AV176" s="243">
        <f t="shared" si="132"/>
        <v>0</v>
      </c>
      <c r="AW176" s="243">
        <f t="shared" si="133"/>
        <v>0</v>
      </c>
      <c r="AX176" s="243">
        <f t="shared" si="134"/>
        <v>0</v>
      </c>
      <c r="AY176" s="245" t="s">
        <v>574</v>
      </c>
      <c r="AZ176" s="245" t="s">
        <v>716</v>
      </c>
      <c r="BA176" s="232" t="s">
        <v>717</v>
      </c>
      <c r="BC176" s="243">
        <f t="shared" si="135"/>
        <v>0</v>
      </c>
      <c r="BD176" s="243">
        <f t="shared" si="136"/>
        <v>0</v>
      </c>
      <c r="BE176" s="243">
        <v>0</v>
      </c>
      <c r="BF176" s="243">
        <f>176</f>
        <v>176</v>
      </c>
      <c r="BH176" s="243">
        <f t="shared" si="137"/>
        <v>0</v>
      </c>
      <c r="BI176" s="243">
        <f t="shared" si="138"/>
        <v>0</v>
      </c>
      <c r="BJ176" s="243">
        <f t="shared" si="139"/>
        <v>0</v>
      </c>
      <c r="BK176" s="243"/>
      <c r="BL176" s="243">
        <v>0</v>
      </c>
      <c r="BW176" s="243">
        <v>21</v>
      </c>
    </row>
    <row r="177" spans="1:75" ht="13.5" customHeight="1">
      <c r="A177" s="207" t="s">
        <v>723</v>
      </c>
      <c r="B177" s="208" t="s">
        <v>714</v>
      </c>
      <c r="C177" s="208" t="s">
        <v>66</v>
      </c>
      <c r="D177" s="268" t="s">
        <v>67</v>
      </c>
      <c r="E177" s="260"/>
      <c r="F177" s="208" t="s">
        <v>68</v>
      </c>
      <c r="G177" s="243">
        <v>1</v>
      </c>
      <c r="H177" s="244">
        <v>0</v>
      </c>
      <c r="I177" s="244">
        <f t="shared" si="120"/>
        <v>0</v>
      </c>
      <c r="K177" s="231"/>
      <c r="Z177" s="243">
        <f t="shared" si="121"/>
        <v>0</v>
      </c>
      <c r="AB177" s="243">
        <f t="shared" si="122"/>
        <v>0</v>
      </c>
      <c r="AC177" s="243">
        <f t="shared" si="123"/>
        <v>0</v>
      </c>
      <c r="AD177" s="243">
        <f t="shared" si="124"/>
        <v>0</v>
      </c>
      <c r="AE177" s="243">
        <f t="shared" si="125"/>
        <v>0</v>
      </c>
      <c r="AF177" s="243">
        <f t="shared" si="126"/>
        <v>0</v>
      </c>
      <c r="AG177" s="243">
        <f t="shared" si="127"/>
        <v>0</v>
      </c>
      <c r="AH177" s="243">
        <f t="shared" si="128"/>
        <v>0</v>
      </c>
      <c r="AI177" s="232" t="s">
        <v>714</v>
      </c>
      <c r="AJ177" s="243">
        <f t="shared" si="129"/>
        <v>0</v>
      </c>
      <c r="AK177" s="243">
        <f t="shared" si="130"/>
        <v>0</v>
      </c>
      <c r="AL177" s="243">
        <f t="shared" si="131"/>
        <v>0</v>
      </c>
      <c r="AN177" s="243">
        <v>21</v>
      </c>
      <c r="AO177" s="243">
        <f>H177*0</f>
        <v>0</v>
      </c>
      <c r="AP177" s="243">
        <f>H177*(1-0)</f>
        <v>0</v>
      </c>
      <c r="AQ177" s="245" t="s">
        <v>553</v>
      </c>
      <c r="AV177" s="243">
        <f t="shared" si="132"/>
        <v>0</v>
      </c>
      <c r="AW177" s="243">
        <f t="shared" si="133"/>
        <v>0</v>
      </c>
      <c r="AX177" s="243">
        <f t="shared" si="134"/>
        <v>0</v>
      </c>
      <c r="AY177" s="245" t="s">
        <v>574</v>
      </c>
      <c r="AZ177" s="245" t="s">
        <v>716</v>
      </c>
      <c r="BA177" s="232" t="s">
        <v>717</v>
      </c>
      <c r="BC177" s="243">
        <f t="shared" si="135"/>
        <v>0</v>
      </c>
      <c r="BD177" s="243">
        <f t="shared" si="136"/>
        <v>0</v>
      </c>
      <c r="BE177" s="243">
        <v>0</v>
      </c>
      <c r="BF177" s="243">
        <f>177</f>
        <v>177</v>
      </c>
      <c r="BH177" s="243">
        <f t="shared" si="137"/>
        <v>0</v>
      </c>
      <c r="BI177" s="243">
        <f t="shared" si="138"/>
        <v>0</v>
      </c>
      <c r="BJ177" s="243">
        <f t="shared" si="139"/>
        <v>0</v>
      </c>
      <c r="BK177" s="243"/>
      <c r="BL177" s="243">
        <v>0</v>
      </c>
      <c r="BW177" s="243">
        <v>21</v>
      </c>
    </row>
    <row r="178" spans="1:75" ht="13.5" customHeight="1">
      <c r="A178" s="207" t="s">
        <v>724</v>
      </c>
      <c r="B178" s="208" t="s">
        <v>714</v>
      </c>
      <c r="C178" s="208" t="s">
        <v>124</v>
      </c>
      <c r="D178" s="268" t="s">
        <v>125</v>
      </c>
      <c r="E178" s="260"/>
      <c r="F178" s="208" t="s">
        <v>123</v>
      </c>
      <c r="G178" s="243">
        <v>1.04924</v>
      </c>
      <c r="H178" s="244">
        <v>0</v>
      </c>
      <c r="I178" s="244">
        <f t="shared" si="120"/>
        <v>0</v>
      </c>
      <c r="K178" s="231"/>
      <c r="Z178" s="243">
        <f t="shared" si="121"/>
        <v>0</v>
      </c>
      <c r="AB178" s="243">
        <f t="shared" si="122"/>
        <v>0</v>
      </c>
      <c r="AC178" s="243">
        <f t="shared" si="123"/>
        <v>0</v>
      </c>
      <c r="AD178" s="243">
        <f t="shared" si="124"/>
        <v>0</v>
      </c>
      <c r="AE178" s="243">
        <f t="shared" si="125"/>
        <v>0</v>
      </c>
      <c r="AF178" s="243">
        <f t="shared" si="126"/>
        <v>0</v>
      </c>
      <c r="AG178" s="243">
        <f t="shared" si="127"/>
        <v>0</v>
      </c>
      <c r="AH178" s="243">
        <f t="shared" si="128"/>
        <v>0</v>
      </c>
      <c r="AI178" s="232" t="s">
        <v>714</v>
      </c>
      <c r="AJ178" s="243">
        <f t="shared" si="129"/>
        <v>0</v>
      </c>
      <c r="AK178" s="243">
        <f t="shared" si="130"/>
        <v>0</v>
      </c>
      <c r="AL178" s="243">
        <f t="shared" si="131"/>
        <v>0</v>
      </c>
      <c r="AN178" s="243">
        <v>21</v>
      </c>
      <c r="AO178" s="243">
        <f>H178*0</f>
        <v>0</v>
      </c>
      <c r="AP178" s="243">
        <f>H178*(1-0)</f>
        <v>0</v>
      </c>
      <c r="AQ178" s="245" t="s">
        <v>564</v>
      </c>
      <c r="AV178" s="243">
        <f t="shared" si="132"/>
        <v>0</v>
      </c>
      <c r="AW178" s="243">
        <f t="shared" si="133"/>
        <v>0</v>
      </c>
      <c r="AX178" s="243">
        <f t="shared" si="134"/>
        <v>0</v>
      </c>
      <c r="AY178" s="245" t="s">
        <v>574</v>
      </c>
      <c r="AZ178" s="245" t="s">
        <v>716</v>
      </c>
      <c r="BA178" s="232" t="s">
        <v>717</v>
      </c>
      <c r="BC178" s="243">
        <f t="shared" si="135"/>
        <v>0</v>
      </c>
      <c r="BD178" s="243">
        <f t="shared" si="136"/>
        <v>0</v>
      </c>
      <c r="BE178" s="243">
        <v>0</v>
      </c>
      <c r="BF178" s="243">
        <f>178</f>
        <v>178</v>
      </c>
      <c r="BH178" s="243">
        <f t="shared" si="137"/>
        <v>0</v>
      </c>
      <c r="BI178" s="243">
        <f t="shared" si="138"/>
        <v>0</v>
      </c>
      <c r="BJ178" s="243">
        <f t="shared" si="139"/>
        <v>0</v>
      </c>
      <c r="BK178" s="243"/>
      <c r="BL178" s="243">
        <v>0</v>
      </c>
      <c r="BW178" s="243">
        <v>21</v>
      </c>
    </row>
    <row r="179" spans="1:75" ht="13.5" customHeight="1">
      <c r="A179" s="207" t="s">
        <v>725</v>
      </c>
      <c r="B179" s="208" t="s">
        <v>714</v>
      </c>
      <c r="C179" s="208" t="s">
        <v>121</v>
      </c>
      <c r="D179" s="268" t="s">
        <v>122</v>
      </c>
      <c r="E179" s="260"/>
      <c r="F179" s="208" t="s">
        <v>123</v>
      </c>
      <c r="G179" s="243">
        <v>1.04925</v>
      </c>
      <c r="H179" s="244">
        <v>0</v>
      </c>
      <c r="I179" s="244">
        <f t="shared" si="120"/>
        <v>0</v>
      </c>
      <c r="K179" s="231"/>
      <c r="Z179" s="243">
        <f t="shared" si="121"/>
        <v>0</v>
      </c>
      <c r="AB179" s="243">
        <f t="shared" si="122"/>
        <v>0</v>
      </c>
      <c r="AC179" s="243">
        <f t="shared" si="123"/>
        <v>0</v>
      </c>
      <c r="AD179" s="243">
        <f t="shared" si="124"/>
        <v>0</v>
      </c>
      <c r="AE179" s="243">
        <f t="shared" si="125"/>
        <v>0</v>
      </c>
      <c r="AF179" s="243">
        <f t="shared" si="126"/>
        <v>0</v>
      </c>
      <c r="AG179" s="243">
        <f t="shared" si="127"/>
        <v>0</v>
      </c>
      <c r="AH179" s="243">
        <f t="shared" si="128"/>
        <v>0</v>
      </c>
      <c r="AI179" s="232" t="s">
        <v>714</v>
      </c>
      <c r="AJ179" s="243">
        <f t="shared" si="129"/>
        <v>0</v>
      </c>
      <c r="AK179" s="243">
        <f t="shared" si="130"/>
        <v>0</v>
      </c>
      <c r="AL179" s="243">
        <f t="shared" si="131"/>
        <v>0</v>
      </c>
      <c r="AN179" s="243">
        <v>21</v>
      </c>
      <c r="AO179" s="243">
        <f>H179*0</f>
        <v>0</v>
      </c>
      <c r="AP179" s="243">
        <f>H179*(1-0)</f>
        <v>0</v>
      </c>
      <c r="AQ179" s="245" t="s">
        <v>564</v>
      </c>
      <c r="AV179" s="243">
        <f t="shared" si="132"/>
        <v>0</v>
      </c>
      <c r="AW179" s="243">
        <f t="shared" si="133"/>
        <v>0</v>
      </c>
      <c r="AX179" s="243">
        <f t="shared" si="134"/>
        <v>0</v>
      </c>
      <c r="AY179" s="245" t="s">
        <v>574</v>
      </c>
      <c r="AZ179" s="245" t="s">
        <v>716</v>
      </c>
      <c r="BA179" s="232" t="s">
        <v>717</v>
      </c>
      <c r="BC179" s="243">
        <f t="shared" si="135"/>
        <v>0</v>
      </c>
      <c r="BD179" s="243">
        <f t="shared" si="136"/>
        <v>0</v>
      </c>
      <c r="BE179" s="243">
        <v>0</v>
      </c>
      <c r="BF179" s="243">
        <f>179</f>
        <v>179</v>
      </c>
      <c r="BH179" s="243">
        <f t="shared" si="137"/>
        <v>0</v>
      </c>
      <c r="BI179" s="243">
        <f t="shared" si="138"/>
        <v>0</v>
      </c>
      <c r="BJ179" s="243">
        <f t="shared" si="139"/>
        <v>0</v>
      </c>
      <c r="BK179" s="243"/>
      <c r="BL179" s="243">
        <v>0</v>
      </c>
      <c r="BW179" s="243">
        <v>21</v>
      </c>
    </row>
    <row r="180" spans="1:75" ht="15" customHeight="1">
      <c r="A180" s="238" t="s">
        <v>21</v>
      </c>
      <c r="B180" s="239" t="s">
        <v>714</v>
      </c>
      <c r="C180" s="239" t="s">
        <v>59</v>
      </c>
      <c r="D180" s="309" t="s">
        <v>60</v>
      </c>
      <c r="E180" s="310"/>
      <c r="F180" s="240" t="s">
        <v>20</v>
      </c>
      <c r="G180" s="240" t="s">
        <v>20</v>
      </c>
      <c r="H180" s="241" t="s">
        <v>20</v>
      </c>
      <c r="I180" s="242">
        <f>SUM(I181:I181)</f>
        <v>0</v>
      </c>
      <c r="K180" s="231"/>
      <c r="AI180" s="232" t="s">
        <v>714</v>
      </c>
      <c r="AS180" s="225">
        <f>SUM(AJ181:AJ181)</f>
        <v>0</v>
      </c>
      <c r="AT180" s="225">
        <f>SUM(AK181:AK181)</f>
        <v>0</v>
      </c>
      <c r="AU180" s="225">
        <f>SUM(AL181:AL181)</f>
        <v>0</v>
      </c>
    </row>
    <row r="181" spans="1:75" ht="13.5" customHeight="1">
      <c r="A181" s="207" t="s">
        <v>726</v>
      </c>
      <c r="B181" s="208" t="s">
        <v>714</v>
      </c>
      <c r="C181" s="208" t="s">
        <v>61</v>
      </c>
      <c r="D181" s="268" t="s">
        <v>62</v>
      </c>
      <c r="E181" s="260"/>
      <c r="F181" s="208" t="s">
        <v>63</v>
      </c>
      <c r="G181" s="243">
        <v>30</v>
      </c>
      <c r="H181" s="244">
        <v>0</v>
      </c>
      <c r="I181" s="244">
        <f>G181*H181</f>
        <v>0</v>
      </c>
      <c r="K181" s="231"/>
      <c r="Z181" s="243">
        <f>IF(AQ181="5",BJ181,0)</f>
        <v>0</v>
      </c>
      <c r="AB181" s="243">
        <f>IF(AQ181="1",BH181,0)</f>
        <v>0</v>
      </c>
      <c r="AC181" s="243">
        <f>IF(AQ181="1",BI181,0)</f>
        <v>0</v>
      </c>
      <c r="AD181" s="243">
        <f>IF(AQ181="7",BH181,0)</f>
        <v>0</v>
      </c>
      <c r="AE181" s="243">
        <f>IF(AQ181="7",BI181,0)</f>
        <v>0</v>
      </c>
      <c r="AF181" s="243">
        <f>IF(AQ181="2",BH181,0)</f>
        <v>0</v>
      </c>
      <c r="AG181" s="243">
        <f>IF(AQ181="2",BI181,0)</f>
        <v>0</v>
      </c>
      <c r="AH181" s="243">
        <f>IF(AQ181="0",BJ181,0)</f>
        <v>0</v>
      </c>
      <c r="AI181" s="232" t="s">
        <v>714</v>
      </c>
      <c r="AJ181" s="243">
        <f>IF(AN181=0,I181,0)</f>
        <v>0</v>
      </c>
      <c r="AK181" s="243">
        <f>IF(AN181=12,I181,0)</f>
        <v>0</v>
      </c>
      <c r="AL181" s="243">
        <f>IF(AN181=21,I181,0)</f>
        <v>0</v>
      </c>
      <c r="AN181" s="243">
        <v>21</v>
      </c>
      <c r="AO181" s="243">
        <f>H181*0</f>
        <v>0</v>
      </c>
      <c r="AP181" s="243">
        <f>H181*(1-0)</f>
        <v>0</v>
      </c>
      <c r="AQ181" s="245" t="s">
        <v>567</v>
      </c>
      <c r="AV181" s="243">
        <f>AW181+AX181</f>
        <v>0</v>
      </c>
      <c r="AW181" s="243">
        <f>G181*AO181</f>
        <v>0</v>
      </c>
      <c r="AX181" s="243">
        <f>G181*AP181</f>
        <v>0</v>
      </c>
      <c r="AY181" s="245" t="s">
        <v>578</v>
      </c>
      <c r="AZ181" s="245" t="s">
        <v>727</v>
      </c>
      <c r="BA181" s="232" t="s">
        <v>717</v>
      </c>
      <c r="BC181" s="243">
        <f>AW181+AX181</f>
        <v>0</v>
      </c>
      <c r="BD181" s="243">
        <f>H181/(100-BE181)*100</f>
        <v>0</v>
      </c>
      <c r="BE181" s="243">
        <v>0</v>
      </c>
      <c r="BF181" s="243">
        <f>181</f>
        <v>181</v>
      </c>
      <c r="BH181" s="243">
        <f>G181*AO181</f>
        <v>0</v>
      </c>
      <c r="BI181" s="243">
        <f>G181*AP181</f>
        <v>0</v>
      </c>
      <c r="BJ181" s="243">
        <f>G181*H181</f>
        <v>0</v>
      </c>
      <c r="BK181" s="243"/>
      <c r="BL181" s="243">
        <v>713</v>
      </c>
      <c r="BW181" s="243">
        <v>21</v>
      </c>
    </row>
    <row r="182" spans="1:75" ht="15" customHeight="1">
      <c r="A182" s="238" t="s">
        <v>21</v>
      </c>
      <c r="B182" s="239" t="s">
        <v>714</v>
      </c>
      <c r="C182" s="239" t="s">
        <v>126</v>
      </c>
      <c r="D182" s="309" t="s">
        <v>127</v>
      </c>
      <c r="E182" s="310"/>
      <c r="F182" s="240" t="s">
        <v>20</v>
      </c>
      <c r="G182" s="240" t="s">
        <v>20</v>
      </c>
      <c r="H182" s="241" t="s">
        <v>20</v>
      </c>
      <c r="I182" s="242">
        <f>SUM(I183:I197)</f>
        <v>0</v>
      </c>
      <c r="K182" s="231"/>
      <c r="AI182" s="232" t="s">
        <v>714</v>
      </c>
      <c r="AS182" s="225">
        <f>SUM(AJ183:AJ197)</f>
        <v>0</v>
      </c>
      <c r="AT182" s="225">
        <f>SUM(AK183:AK197)</f>
        <v>0</v>
      </c>
      <c r="AU182" s="225">
        <f>SUM(AL183:AL197)</f>
        <v>0</v>
      </c>
    </row>
    <row r="183" spans="1:75" ht="13.5" customHeight="1">
      <c r="A183" s="207" t="s">
        <v>728</v>
      </c>
      <c r="B183" s="208" t="s">
        <v>714</v>
      </c>
      <c r="C183" s="208" t="s">
        <v>357</v>
      </c>
      <c r="D183" s="268" t="s">
        <v>358</v>
      </c>
      <c r="E183" s="260"/>
      <c r="F183" s="208" t="s">
        <v>68</v>
      </c>
      <c r="G183" s="243">
        <v>12</v>
      </c>
      <c r="H183" s="244">
        <v>0</v>
      </c>
      <c r="I183" s="244">
        <f t="shared" ref="I183:I197" si="140">G183*H183</f>
        <v>0</v>
      </c>
      <c r="K183" s="231"/>
      <c r="Z183" s="243">
        <f t="shared" ref="Z183:Z197" si="141">IF(AQ183="5",BJ183,0)</f>
        <v>0</v>
      </c>
      <c r="AB183" s="243">
        <f t="shared" ref="AB183:AB197" si="142">IF(AQ183="1",BH183,0)</f>
        <v>0</v>
      </c>
      <c r="AC183" s="243">
        <f t="shared" ref="AC183:AC197" si="143">IF(AQ183="1",BI183,0)</f>
        <v>0</v>
      </c>
      <c r="AD183" s="243">
        <f t="shared" ref="AD183:AD197" si="144">IF(AQ183="7",BH183,0)</f>
        <v>0</v>
      </c>
      <c r="AE183" s="243">
        <f t="shared" ref="AE183:AE197" si="145">IF(AQ183="7",BI183,0)</f>
        <v>0</v>
      </c>
      <c r="AF183" s="243">
        <f t="shared" ref="AF183:AF197" si="146">IF(AQ183="2",BH183,0)</f>
        <v>0</v>
      </c>
      <c r="AG183" s="243">
        <f t="shared" ref="AG183:AG197" si="147">IF(AQ183="2",BI183,0)</f>
        <v>0</v>
      </c>
      <c r="AH183" s="243">
        <f t="shared" ref="AH183:AH197" si="148">IF(AQ183="0",BJ183,0)</f>
        <v>0</v>
      </c>
      <c r="AI183" s="232" t="s">
        <v>714</v>
      </c>
      <c r="AJ183" s="243">
        <f t="shared" ref="AJ183:AJ197" si="149">IF(AN183=0,I183,0)</f>
        <v>0</v>
      </c>
      <c r="AK183" s="243">
        <f t="shared" ref="AK183:AK197" si="150">IF(AN183=12,I183,0)</f>
        <v>0</v>
      </c>
      <c r="AL183" s="243">
        <f t="shared" ref="AL183:AL197" si="151">IF(AN183=21,I183,0)</f>
        <v>0</v>
      </c>
      <c r="AN183" s="243">
        <v>21</v>
      </c>
      <c r="AO183" s="243">
        <f>H183*0</f>
        <v>0</v>
      </c>
      <c r="AP183" s="243">
        <f>H183*(1-0)</f>
        <v>0</v>
      </c>
      <c r="AQ183" s="245" t="s">
        <v>567</v>
      </c>
      <c r="AV183" s="243">
        <f t="shared" ref="AV183:AV197" si="152">AW183+AX183</f>
        <v>0</v>
      </c>
      <c r="AW183" s="243">
        <f t="shared" ref="AW183:AW197" si="153">G183*AO183</f>
        <v>0</v>
      </c>
      <c r="AX183" s="243">
        <f t="shared" ref="AX183:AX197" si="154">G183*AP183</f>
        <v>0</v>
      </c>
      <c r="AY183" s="245" t="s">
        <v>610</v>
      </c>
      <c r="AZ183" s="245" t="s">
        <v>729</v>
      </c>
      <c r="BA183" s="232" t="s">
        <v>717</v>
      </c>
      <c r="BC183" s="243">
        <f t="shared" ref="BC183:BC197" si="155">AW183+AX183</f>
        <v>0</v>
      </c>
      <c r="BD183" s="243">
        <f t="shared" ref="BD183:BD197" si="156">H183/(100-BE183)*100</f>
        <v>0</v>
      </c>
      <c r="BE183" s="243">
        <v>0</v>
      </c>
      <c r="BF183" s="243">
        <f>183</f>
        <v>183</v>
      </c>
      <c r="BH183" s="243">
        <f t="shared" ref="BH183:BH197" si="157">G183*AO183</f>
        <v>0</v>
      </c>
      <c r="BI183" s="243">
        <f t="shared" ref="BI183:BI197" si="158">G183*AP183</f>
        <v>0</v>
      </c>
      <c r="BJ183" s="243">
        <f t="shared" ref="BJ183:BJ197" si="159">G183*H183</f>
        <v>0</v>
      </c>
      <c r="BK183" s="243"/>
      <c r="BL183" s="243">
        <v>722</v>
      </c>
      <c r="BW183" s="243">
        <v>21</v>
      </c>
    </row>
    <row r="184" spans="1:75" ht="13.5" customHeight="1">
      <c r="A184" s="207" t="s">
        <v>730</v>
      </c>
      <c r="B184" s="208" t="s">
        <v>714</v>
      </c>
      <c r="C184" s="208" t="s">
        <v>359</v>
      </c>
      <c r="D184" s="268" t="s">
        <v>360</v>
      </c>
      <c r="E184" s="260"/>
      <c r="F184" s="208" t="s">
        <v>63</v>
      </c>
      <c r="G184" s="243">
        <v>10</v>
      </c>
      <c r="H184" s="244">
        <v>0</v>
      </c>
      <c r="I184" s="244">
        <f t="shared" si="140"/>
        <v>0</v>
      </c>
      <c r="K184" s="231"/>
      <c r="Z184" s="243">
        <f t="shared" si="141"/>
        <v>0</v>
      </c>
      <c r="AB184" s="243">
        <f t="shared" si="142"/>
        <v>0</v>
      </c>
      <c r="AC184" s="243">
        <f t="shared" si="143"/>
        <v>0</v>
      </c>
      <c r="AD184" s="243">
        <f t="shared" si="144"/>
        <v>0</v>
      </c>
      <c r="AE184" s="243">
        <f t="shared" si="145"/>
        <v>0</v>
      </c>
      <c r="AF184" s="243">
        <f t="shared" si="146"/>
        <v>0</v>
      </c>
      <c r="AG184" s="243">
        <f t="shared" si="147"/>
        <v>0</v>
      </c>
      <c r="AH184" s="243">
        <f t="shared" si="148"/>
        <v>0</v>
      </c>
      <c r="AI184" s="232" t="s">
        <v>714</v>
      </c>
      <c r="AJ184" s="243">
        <f t="shared" si="149"/>
        <v>0</v>
      </c>
      <c r="AK184" s="243">
        <f t="shared" si="150"/>
        <v>0</v>
      </c>
      <c r="AL184" s="243">
        <f t="shared" si="151"/>
        <v>0</v>
      </c>
      <c r="AN184" s="243">
        <v>21</v>
      </c>
      <c r="AO184" s="243">
        <f>H184*0</f>
        <v>0</v>
      </c>
      <c r="AP184" s="243">
        <f>H184*(1-0)</f>
        <v>0</v>
      </c>
      <c r="AQ184" s="245" t="s">
        <v>567</v>
      </c>
      <c r="AV184" s="243">
        <f t="shared" si="152"/>
        <v>0</v>
      </c>
      <c r="AW184" s="243">
        <f t="shared" si="153"/>
        <v>0</v>
      </c>
      <c r="AX184" s="243">
        <f t="shared" si="154"/>
        <v>0</v>
      </c>
      <c r="AY184" s="245" t="s">
        <v>610</v>
      </c>
      <c r="AZ184" s="245" t="s">
        <v>729</v>
      </c>
      <c r="BA184" s="232" t="s">
        <v>717</v>
      </c>
      <c r="BC184" s="243">
        <f t="shared" si="155"/>
        <v>0</v>
      </c>
      <c r="BD184" s="243">
        <f t="shared" si="156"/>
        <v>0</v>
      </c>
      <c r="BE184" s="243">
        <v>0</v>
      </c>
      <c r="BF184" s="243">
        <f>184</f>
        <v>184</v>
      </c>
      <c r="BH184" s="243">
        <f t="shared" si="157"/>
        <v>0</v>
      </c>
      <c r="BI184" s="243">
        <f t="shared" si="158"/>
        <v>0</v>
      </c>
      <c r="BJ184" s="243">
        <f t="shared" si="159"/>
        <v>0</v>
      </c>
      <c r="BK184" s="243"/>
      <c r="BL184" s="243">
        <v>722</v>
      </c>
      <c r="BW184" s="243">
        <v>21</v>
      </c>
    </row>
    <row r="185" spans="1:75" ht="13.5" customHeight="1">
      <c r="A185" s="207" t="s">
        <v>731</v>
      </c>
      <c r="B185" s="208" t="s">
        <v>714</v>
      </c>
      <c r="C185" s="208" t="s">
        <v>361</v>
      </c>
      <c r="D185" s="268" t="s">
        <v>362</v>
      </c>
      <c r="E185" s="260"/>
      <c r="F185" s="208" t="s">
        <v>68</v>
      </c>
      <c r="G185" s="243">
        <v>2</v>
      </c>
      <c r="H185" s="244">
        <v>0</v>
      </c>
      <c r="I185" s="244">
        <f t="shared" si="140"/>
        <v>0</v>
      </c>
      <c r="K185" s="231"/>
      <c r="Z185" s="243">
        <f t="shared" si="141"/>
        <v>0</v>
      </c>
      <c r="AB185" s="243">
        <f t="shared" si="142"/>
        <v>0</v>
      </c>
      <c r="AC185" s="243">
        <f t="shared" si="143"/>
        <v>0</v>
      </c>
      <c r="AD185" s="243">
        <f t="shared" si="144"/>
        <v>0</v>
      </c>
      <c r="AE185" s="243">
        <f t="shared" si="145"/>
        <v>0</v>
      </c>
      <c r="AF185" s="243">
        <f t="shared" si="146"/>
        <v>0</v>
      </c>
      <c r="AG185" s="243">
        <f t="shared" si="147"/>
        <v>0</v>
      </c>
      <c r="AH185" s="243">
        <f t="shared" si="148"/>
        <v>0</v>
      </c>
      <c r="AI185" s="232" t="s">
        <v>714</v>
      </c>
      <c r="AJ185" s="243">
        <f t="shared" si="149"/>
        <v>0</v>
      </c>
      <c r="AK185" s="243">
        <f t="shared" si="150"/>
        <v>0</v>
      </c>
      <c r="AL185" s="243">
        <f t="shared" si="151"/>
        <v>0</v>
      </c>
      <c r="AN185" s="243">
        <v>21</v>
      </c>
      <c r="AO185" s="243">
        <f>H185*0.635584415584416</f>
        <v>0</v>
      </c>
      <c r="AP185" s="243">
        <f>H185*(1-0.635584415584416)</f>
        <v>0</v>
      </c>
      <c r="AQ185" s="245" t="s">
        <v>567</v>
      </c>
      <c r="AV185" s="243">
        <f t="shared" si="152"/>
        <v>0</v>
      </c>
      <c r="AW185" s="243">
        <f t="shared" si="153"/>
        <v>0</v>
      </c>
      <c r="AX185" s="243">
        <f t="shared" si="154"/>
        <v>0</v>
      </c>
      <c r="AY185" s="245" t="s">
        <v>610</v>
      </c>
      <c r="AZ185" s="245" t="s">
        <v>729</v>
      </c>
      <c r="BA185" s="232" t="s">
        <v>717</v>
      </c>
      <c r="BC185" s="243">
        <f t="shared" si="155"/>
        <v>0</v>
      </c>
      <c r="BD185" s="243">
        <f t="shared" si="156"/>
        <v>0</v>
      </c>
      <c r="BE185" s="243">
        <v>0</v>
      </c>
      <c r="BF185" s="243">
        <f>185</f>
        <v>185</v>
      </c>
      <c r="BH185" s="243">
        <f t="shared" si="157"/>
        <v>0</v>
      </c>
      <c r="BI185" s="243">
        <f t="shared" si="158"/>
        <v>0</v>
      </c>
      <c r="BJ185" s="243">
        <f t="shared" si="159"/>
        <v>0</v>
      </c>
      <c r="BK185" s="243"/>
      <c r="BL185" s="243">
        <v>722</v>
      </c>
      <c r="BW185" s="243">
        <v>21</v>
      </c>
    </row>
    <row r="186" spans="1:75" ht="13.5" customHeight="1">
      <c r="A186" s="207" t="s">
        <v>732</v>
      </c>
      <c r="B186" s="208" t="s">
        <v>714</v>
      </c>
      <c r="C186" s="208" t="s">
        <v>136</v>
      </c>
      <c r="D186" s="268" t="s">
        <v>1314</v>
      </c>
      <c r="E186" s="260"/>
      <c r="F186" s="208" t="s">
        <v>63</v>
      </c>
      <c r="G186" s="243">
        <v>12</v>
      </c>
      <c r="H186" s="244">
        <v>0</v>
      </c>
      <c r="I186" s="244">
        <f t="shared" si="140"/>
        <v>0</v>
      </c>
      <c r="K186" s="231"/>
      <c r="Z186" s="243">
        <f t="shared" si="141"/>
        <v>0</v>
      </c>
      <c r="AB186" s="243">
        <f t="shared" si="142"/>
        <v>0</v>
      </c>
      <c r="AC186" s="243">
        <f t="shared" si="143"/>
        <v>0</v>
      </c>
      <c r="AD186" s="243">
        <f t="shared" si="144"/>
        <v>0</v>
      </c>
      <c r="AE186" s="243">
        <f t="shared" si="145"/>
        <v>0</v>
      </c>
      <c r="AF186" s="243">
        <f t="shared" si="146"/>
        <v>0</v>
      </c>
      <c r="AG186" s="243">
        <f t="shared" si="147"/>
        <v>0</v>
      </c>
      <c r="AH186" s="243">
        <f t="shared" si="148"/>
        <v>0</v>
      </c>
      <c r="AI186" s="232" t="s">
        <v>714</v>
      </c>
      <c r="AJ186" s="243">
        <f t="shared" si="149"/>
        <v>0</v>
      </c>
      <c r="AK186" s="243">
        <f t="shared" si="150"/>
        <v>0</v>
      </c>
      <c r="AL186" s="243">
        <f t="shared" si="151"/>
        <v>0</v>
      </c>
      <c r="AN186" s="243">
        <v>21</v>
      </c>
      <c r="AO186" s="243">
        <f>H186*0.388270254929131</f>
        <v>0</v>
      </c>
      <c r="AP186" s="243">
        <f>H186*(1-0.388270254929131)</f>
        <v>0</v>
      </c>
      <c r="AQ186" s="245" t="s">
        <v>567</v>
      </c>
      <c r="AV186" s="243">
        <f t="shared" si="152"/>
        <v>0</v>
      </c>
      <c r="AW186" s="243">
        <f t="shared" si="153"/>
        <v>0</v>
      </c>
      <c r="AX186" s="243">
        <f t="shared" si="154"/>
        <v>0</v>
      </c>
      <c r="AY186" s="245" t="s">
        <v>610</v>
      </c>
      <c r="AZ186" s="245" t="s">
        <v>729</v>
      </c>
      <c r="BA186" s="232" t="s">
        <v>717</v>
      </c>
      <c r="BC186" s="243">
        <f t="shared" si="155"/>
        <v>0</v>
      </c>
      <c r="BD186" s="243">
        <f t="shared" si="156"/>
        <v>0</v>
      </c>
      <c r="BE186" s="243">
        <v>0</v>
      </c>
      <c r="BF186" s="243">
        <f>186</f>
        <v>186</v>
      </c>
      <c r="BH186" s="243">
        <f t="shared" si="157"/>
        <v>0</v>
      </c>
      <c r="BI186" s="243">
        <f t="shared" si="158"/>
        <v>0</v>
      </c>
      <c r="BJ186" s="243">
        <f t="shared" si="159"/>
        <v>0</v>
      </c>
      <c r="BK186" s="243"/>
      <c r="BL186" s="243">
        <v>722</v>
      </c>
      <c r="BW186" s="243">
        <v>21</v>
      </c>
    </row>
    <row r="187" spans="1:75" ht="13.5" customHeight="1">
      <c r="A187" s="207" t="s">
        <v>733</v>
      </c>
      <c r="B187" s="208" t="s">
        <v>714</v>
      </c>
      <c r="C187" s="208" t="s">
        <v>143</v>
      </c>
      <c r="D187" s="268" t="s">
        <v>1344</v>
      </c>
      <c r="E187" s="260"/>
      <c r="F187" s="208" t="s">
        <v>63</v>
      </c>
      <c r="G187" s="243">
        <v>8</v>
      </c>
      <c r="H187" s="244">
        <v>0</v>
      </c>
      <c r="I187" s="244">
        <f t="shared" si="140"/>
        <v>0</v>
      </c>
      <c r="K187" s="231"/>
      <c r="Z187" s="243">
        <f t="shared" si="141"/>
        <v>0</v>
      </c>
      <c r="AB187" s="243">
        <f t="shared" si="142"/>
        <v>0</v>
      </c>
      <c r="AC187" s="243">
        <f t="shared" si="143"/>
        <v>0</v>
      </c>
      <c r="AD187" s="243">
        <f t="shared" si="144"/>
        <v>0</v>
      </c>
      <c r="AE187" s="243">
        <f t="shared" si="145"/>
        <v>0</v>
      </c>
      <c r="AF187" s="243">
        <f t="shared" si="146"/>
        <v>0</v>
      </c>
      <c r="AG187" s="243">
        <f t="shared" si="147"/>
        <v>0</v>
      </c>
      <c r="AH187" s="243">
        <f t="shared" si="148"/>
        <v>0</v>
      </c>
      <c r="AI187" s="232" t="s">
        <v>714</v>
      </c>
      <c r="AJ187" s="243">
        <f t="shared" si="149"/>
        <v>0</v>
      </c>
      <c r="AK187" s="243">
        <f t="shared" si="150"/>
        <v>0</v>
      </c>
      <c r="AL187" s="243">
        <f t="shared" si="151"/>
        <v>0</v>
      </c>
      <c r="AN187" s="243">
        <v>21</v>
      </c>
      <c r="AO187" s="243">
        <f>H187*0.628405063291139</f>
        <v>0</v>
      </c>
      <c r="AP187" s="243">
        <f>H187*(1-0.628405063291139)</f>
        <v>0</v>
      </c>
      <c r="AQ187" s="245" t="s">
        <v>567</v>
      </c>
      <c r="AV187" s="243">
        <f t="shared" si="152"/>
        <v>0</v>
      </c>
      <c r="AW187" s="243">
        <f t="shared" si="153"/>
        <v>0</v>
      </c>
      <c r="AX187" s="243">
        <f t="shared" si="154"/>
        <v>0</v>
      </c>
      <c r="AY187" s="245" t="s">
        <v>610</v>
      </c>
      <c r="AZ187" s="245" t="s">
        <v>729</v>
      </c>
      <c r="BA187" s="232" t="s">
        <v>717</v>
      </c>
      <c r="BC187" s="243">
        <f t="shared" si="155"/>
        <v>0</v>
      </c>
      <c r="BD187" s="243">
        <f t="shared" si="156"/>
        <v>0</v>
      </c>
      <c r="BE187" s="243">
        <v>0</v>
      </c>
      <c r="BF187" s="243">
        <f>187</f>
        <v>187</v>
      </c>
      <c r="BH187" s="243">
        <f t="shared" si="157"/>
        <v>0</v>
      </c>
      <c r="BI187" s="243">
        <f t="shared" si="158"/>
        <v>0</v>
      </c>
      <c r="BJ187" s="243">
        <f t="shared" si="159"/>
        <v>0</v>
      </c>
      <c r="BK187" s="243"/>
      <c r="BL187" s="243">
        <v>722</v>
      </c>
      <c r="BW187" s="243">
        <v>21</v>
      </c>
    </row>
    <row r="188" spans="1:75" ht="13.5" customHeight="1">
      <c r="A188" s="207" t="s">
        <v>734</v>
      </c>
      <c r="B188" s="208" t="s">
        <v>714</v>
      </c>
      <c r="C188" s="208" t="s">
        <v>364</v>
      </c>
      <c r="D188" s="268" t="s">
        <v>1345</v>
      </c>
      <c r="E188" s="260"/>
      <c r="F188" s="208" t="s">
        <v>63</v>
      </c>
      <c r="G188" s="243">
        <v>4</v>
      </c>
      <c r="H188" s="244">
        <v>0</v>
      </c>
      <c r="I188" s="244">
        <f t="shared" si="140"/>
        <v>0</v>
      </c>
      <c r="K188" s="231"/>
      <c r="Z188" s="243">
        <f t="shared" si="141"/>
        <v>0</v>
      </c>
      <c r="AB188" s="243">
        <f t="shared" si="142"/>
        <v>0</v>
      </c>
      <c r="AC188" s="243">
        <f t="shared" si="143"/>
        <v>0</v>
      </c>
      <c r="AD188" s="243">
        <f t="shared" si="144"/>
        <v>0</v>
      </c>
      <c r="AE188" s="243">
        <f t="shared" si="145"/>
        <v>0</v>
      </c>
      <c r="AF188" s="243">
        <f t="shared" si="146"/>
        <v>0</v>
      </c>
      <c r="AG188" s="243">
        <f t="shared" si="147"/>
        <v>0</v>
      </c>
      <c r="AH188" s="243">
        <f t="shared" si="148"/>
        <v>0</v>
      </c>
      <c r="AI188" s="232" t="s">
        <v>714</v>
      </c>
      <c r="AJ188" s="243">
        <f t="shared" si="149"/>
        <v>0</v>
      </c>
      <c r="AK188" s="243">
        <f t="shared" si="150"/>
        <v>0</v>
      </c>
      <c r="AL188" s="243">
        <f t="shared" si="151"/>
        <v>0</v>
      </c>
      <c r="AN188" s="243">
        <v>21</v>
      </c>
      <c r="AO188" s="243">
        <f>H188*0.373931824584468</f>
        <v>0</v>
      </c>
      <c r="AP188" s="243">
        <f>H188*(1-0.373931824584468)</f>
        <v>0</v>
      </c>
      <c r="AQ188" s="245" t="s">
        <v>567</v>
      </c>
      <c r="AV188" s="243">
        <f t="shared" si="152"/>
        <v>0</v>
      </c>
      <c r="AW188" s="243">
        <f t="shared" si="153"/>
        <v>0</v>
      </c>
      <c r="AX188" s="243">
        <f t="shared" si="154"/>
        <v>0</v>
      </c>
      <c r="AY188" s="245" t="s">
        <v>610</v>
      </c>
      <c r="AZ188" s="245" t="s">
        <v>729</v>
      </c>
      <c r="BA188" s="232" t="s">
        <v>717</v>
      </c>
      <c r="BC188" s="243">
        <f t="shared" si="155"/>
        <v>0</v>
      </c>
      <c r="BD188" s="243">
        <f t="shared" si="156"/>
        <v>0</v>
      </c>
      <c r="BE188" s="243">
        <v>0</v>
      </c>
      <c r="BF188" s="243">
        <f>188</f>
        <v>188</v>
      </c>
      <c r="BH188" s="243">
        <f t="shared" si="157"/>
        <v>0</v>
      </c>
      <c r="BI188" s="243">
        <f t="shared" si="158"/>
        <v>0</v>
      </c>
      <c r="BJ188" s="243">
        <f t="shared" si="159"/>
        <v>0</v>
      </c>
      <c r="BK188" s="243"/>
      <c r="BL188" s="243">
        <v>722</v>
      </c>
      <c r="BW188" s="243">
        <v>21</v>
      </c>
    </row>
    <row r="189" spans="1:75" ht="13.5" customHeight="1">
      <c r="A189" s="207" t="s">
        <v>735</v>
      </c>
      <c r="B189" s="208" t="s">
        <v>714</v>
      </c>
      <c r="C189" s="208" t="s">
        <v>366</v>
      </c>
      <c r="D189" s="268" t="s">
        <v>367</v>
      </c>
      <c r="E189" s="260"/>
      <c r="F189" s="208" t="s">
        <v>68</v>
      </c>
      <c r="G189" s="243">
        <v>1</v>
      </c>
      <c r="H189" s="244">
        <v>0</v>
      </c>
      <c r="I189" s="244">
        <f t="shared" si="140"/>
        <v>0</v>
      </c>
      <c r="K189" s="231"/>
      <c r="Z189" s="243">
        <f t="shared" si="141"/>
        <v>0</v>
      </c>
      <c r="AB189" s="243">
        <f t="shared" si="142"/>
        <v>0</v>
      </c>
      <c r="AC189" s="243">
        <f t="shared" si="143"/>
        <v>0</v>
      </c>
      <c r="AD189" s="243">
        <f t="shared" si="144"/>
        <v>0</v>
      </c>
      <c r="AE189" s="243">
        <f t="shared" si="145"/>
        <v>0</v>
      </c>
      <c r="AF189" s="243">
        <f t="shared" si="146"/>
        <v>0</v>
      </c>
      <c r="AG189" s="243">
        <f t="shared" si="147"/>
        <v>0</v>
      </c>
      <c r="AH189" s="243">
        <f t="shared" si="148"/>
        <v>0</v>
      </c>
      <c r="AI189" s="232" t="s">
        <v>714</v>
      </c>
      <c r="AJ189" s="243">
        <f t="shared" si="149"/>
        <v>0</v>
      </c>
      <c r="AK189" s="243">
        <f t="shared" si="150"/>
        <v>0</v>
      </c>
      <c r="AL189" s="243">
        <f t="shared" si="151"/>
        <v>0</v>
      </c>
      <c r="AN189" s="243">
        <v>21</v>
      </c>
      <c r="AO189" s="243">
        <f>H189*0.945809322033898</f>
        <v>0</v>
      </c>
      <c r="AP189" s="243">
        <f>H189*(1-0.945809322033898)</f>
        <v>0</v>
      </c>
      <c r="AQ189" s="245" t="s">
        <v>567</v>
      </c>
      <c r="AV189" s="243">
        <f t="shared" si="152"/>
        <v>0</v>
      </c>
      <c r="AW189" s="243">
        <f t="shared" si="153"/>
        <v>0</v>
      </c>
      <c r="AX189" s="243">
        <f t="shared" si="154"/>
        <v>0</v>
      </c>
      <c r="AY189" s="245" t="s">
        <v>610</v>
      </c>
      <c r="AZ189" s="245" t="s">
        <v>729</v>
      </c>
      <c r="BA189" s="232" t="s">
        <v>717</v>
      </c>
      <c r="BC189" s="243">
        <f t="shared" si="155"/>
        <v>0</v>
      </c>
      <c r="BD189" s="243">
        <f t="shared" si="156"/>
        <v>0</v>
      </c>
      <c r="BE189" s="243">
        <v>0</v>
      </c>
      <c r="BF189" s="243">
        <f>189</f>
        <v>189</v>
      </c>
      <c r="BH189" s="243">
        <f t="shared" si="157"/>
        <v>0</v>
      </c>
      <c r="BI189" s="243">
        <f t="shared" si="158"/>
        <v>0</v>
      </c>
      <c r="BJ189" s="243">
        <f t="shared" si="159"/>
        <v>0</v>
      </c>
      <c r="BK189" s="243"/>
      <c r="BL189" s="243">
        <v>722</v>
      </c>
      <c r="BW189" s="243">
        <v>21</v>
      </c>
    </row>
    <row r="190" spans="1:75" ht="13.5" customHeight="1">
      <c r="A190" s="207" t="s">
        <v>736</v>
      </c>
      <c r="B190" s="208" t="s">
        <v>714</v>
      </c>
      <c r="C190" s="208" t="s">
        <v>368</v>
      </c>
      <c r="D190" s="268" t="s">
        <v>369</v>
      </c>
      <c r="E190" s="260"/>
      <c r="F190" s="208" t="s">
        <v>68</v>
      </c>
      <c r="G190" s="243">
        <v>1</v>
      </c>
      <c r="H190" s="244">
        <v>0</v>
      </c>
      <c r="I190" s="244">
        <f t="shared" si="140"/>
        <v>0</v>
      </c>
      <c r="K190" s="231"/>
      <c r="Z190" s="243">
        <f t="shared" si="141"/>
        <v>0</v>
      </c>
      <c r="AB190" s="243">
        <f t="shared" si="142"/>
        <v>0</v>
      </c>
      <c r="AC190" s="243">
        <f t="shared" si="143"/>
        <v>0</v>
      </c>
      <c r="AD190" s="243">
        <f t="shared" si="144"/>
        <v>0</v>
      </c>
      <c r="AE190" s="243">
        <f t="shared" si="145"/>
        <v>0</v>
      </c>
      <c r="AF190" s="243">
        <f t="shared" si="146"/>
        <v>0</v>
      </c>
      <c r="AG190" s="243">
        <f t="shared" si="147"/>
        <v>0</v>
      </c>
      <c r="AH190" s="243">
        <f t="shared" si="148"/>
        <v>0</v>
      </c>
      <c r="AI190" s="232" t="s">
        <v>714</v>
      </c>
      <c r="AJ190" s="243">
        <f t="shared" si="149"/>
        <v>0</v>
      </c>
      <c r="AK190" s="243">
        <f t="shared" si="150"/>
        <v>0</v>
      </c>
      <c r="AL190" s="243">
        <f t="shared" si="151"/>
        <v>0</v>
      </c>
      <c r="AN190" s="243">
        <v>21</v>
      </c>
      <c r="AO190" s="243">
        <f>H190*0.963329388560158</f>
        <v>0</v>
      </c>
      <c r="AP190" s="243">
        <f>H190*(1-0.963329388560158)</f>
        <v>0</v>
      </c>
      <c r="AQ190" s="245" t="s">
        <v>567</v>
      </c>
      <c r="AV190" s="243">
        <f t="shared" si="152"/>
        <v>0</v>
      </c>
      <c r="AW190" s="243">
        <f t="shared" si="153"/>
        <v>0</v>
      </c>
      <c r="AX190" s="243">
        <f t="shared" si="154"/>
        <v>0</v>
      </c>
      <c r="AY190" s="245" t="s">
        <v>610</v>
      </c>
      <c r="AZ190" s="245" t="s">
        <v>729</v>
      </c>
      <c r="BA190" s="232" t="s">
        <v>717</v>
      </c>
      <c r="BC190" s="243">
        <f t="shared" si="155"/>
        <v>0</v>
      </c>
      <c r="BD190" s="243">
        <f t="shared" si="156"/>
        <v>0</v>
      </c>
      <c r="BE190" s="243">
        <v>0</v>
      </c>
      <c r="BF190" s="243">
        <f>190</f>
        <v>190</v>
      </c>
      <c r="BH190" s="243">
        <f t="shared" si="157"/>
        <v>0</v>
      </c>
      <c r="BI190" s="243">
        <f t="shared" si="158"/>
        <v>0</v>
      </c>
      <c r="BJ190" s="243">
        <f t="shared" si="159"/>
        <v>0</v>
      </c>
      <c r="BK190" s="243"/>
      <c r="BL190" s="243">
        <v>722</v>
      </c>
      <c r="BW190" s="243">
        <v>21</v>
      </c>
    </row>
    <row r="191" spans="1:75" ht="13.5" customHeight="1">
      <c r="A191" s="207" t="s">
        <v>737</v>
      </c>
      <c r="B191" s="208" t="s">
        <v>714</v>
      </c>
      <c r="C191" s="208" t="s">
        <v>149</v>
      </c>
      <c r="D191" s="268" t="s">
        <v>1320</v>
      </c>
      <c r="E191" s="260"/>
      <c r="F191" s="208" t="s">
        <v>68</v>
      </c>
      <c r="G191" s="243">
        <v>6</v>
      </c>
      <c r="H191" s="244">
        <v>0</v>
      </c>
      <c r="I191" s="244">
        <f t="shared" si="140"/>
        <v>0</v>
      </c>
      <c r="K191" s="231"/>
      <c r="Z191" s="243">
        <f t="shared" si="141"/>
        <v>0</v>
      </c>
      <c r="AB191" s="243">
        <f t="shared" si="142"/>
        <v>0</v>
      </c>
      <c r="AC191" s="243">
        <f t="shared" si="143"/>
        <v>0</v>
      </c>
      <c r="AD191" s="243">
        <f t="shared" si="144"/>
        <v>0</v>
      </c>
      <c r="AE191" s="243">
        <f t="shared" si="145"/>
        <v>0</v>
      </c>
      <c r="AF191" s="243">
        <f t="shared" si="146"/>
        <v>0</v>
      </c>
      <c r="AG191" s="243">
        <f t="shared" si="147"/>
        <v>0</v>
      </c>
      <c r="AH191" s="243">
        <f t="shared" si="148"/>
        <v>0</v>
      </c>
      <c r="AI191" s="232" t="s">
        <v>714</v>
      </c>
      <c r="AJ191" s="243">
        <f t="shared" si="149"/>
        <v>0</v>
      </c>
      <c r="AK191" s="243">
        <f t="shared" si="150"/>
        <v>0</v>
      </c>
      <c r="AL191" s="243">
        <f t="shared" si="151"/>
        <v>0</v>
      </c>
      <c r="AN191" s="243">
        <v>21</v>
      </c>
      <c r="AO191" s="243">
        <f>H191*0.767472727272727</f>
        <v>0</v>
      </c>
      <c r="AP191" s="243">
        <f>H191*(1-0.767472727272727)</f>
        <v>0</v>
      </c>
      <c r="AQ191" s="245" t="s">
        <v>567</v>
      </c>
      <c r="AV191" s="243">
        <f t="shared" si="152"/>
        <v>0</v>
      </c>
      <c r="AW191" s="243">
        <f t="shared" si="153"/>
        <v>0</v>
      </c>
      <c r="AX191" s="243">
        <f t="shared" si="154"/>
        <v>0</v>
      </c>
      <c r="AY191" s="245" t="s">
        <v>610</v>
      </c>
      <c r="AZ191" s="245" t="s">
        <v>729</v>
      </c>
      <c r="BA191" s="232" t="s">
        <v>717</v>
      </c>
      <c r="BC191" s="243">
        <f t="shared" si="155"/>
        <v>0</v>
      </c>
      <c r="BD191" s="243">
        <f t="shared" si="156"/>
        <v>0</v>
      </c>
      <c r="BE191" s="243">
        <v>0</v>
      </c>
      <c r="BF191" s="243">
        <f>191</f>
        <v>191</v>
      </c>
      <c r="BH191" s="243">
        <f t="shared" si="157"/>
        <v>0</v>
      </c>
      <c r="BI191" s="243">
        <f t="shared" si="158"/>
        <v>0</v>
      </c>
      <c r="BJ191" s="243">
        <f t="shared" si="159"/>
        <v>0</v>
      </c>
      <c r="BK191" s="243"/>
      <c r="BL191" s="243">
        <v>722</v>
      </c>
      <c r="BW191" s="243">
        <v>21</v>
      </c>
    </row>
    <row r="192" spans="1:75" ht="13.5" customHeight="1">
      <c r="A192" s="207" t="s">
        <v>738</v>
      </c>
      <c r="B192" s="208" t="s">
        <v>714</v>
      </c>
      <c r="C192" s="208" t="s">
        <v>370</v>
      </c>
      <c r="D192" s="268" t="s">
        <v>1346</v>
      </c>
      <c r="E192" s="260"/>
      <c r="F192" s="208" t="s">
        <v>68</v>
      </c>
      <c r="G192" s="243">
        <v>2</v>
      </c>
      <c r="H192" s="244">
        <v>0</v>
      </c>
      <c r="I192" s="244">
        <f t="shared" si="140"/>
        <v>0</v>
      </c>
      <c r="K192" s="231"/>
      <c r="Z192" s="243">
        <f t="shared" si="141"/>
        <v>0</v>
      </c>
      <c r="AB192" s="243">
        <f t="shared" si="142"/>
        <v>0</v>
      </c>
      <c r="AC192" s="243">
        <f t="shared" si="143"/>
        <v>0</v>
      </c>
      <c r="AD192" s="243">
        <f t="shared" si="144"/>
        <v>0</v>
      </c>
      <c r="AE192" s="243">
        <f t="shared" si="145"/>
        <v>0</v>
      </c>
      <c r="AF192" s="243">
        <f t="shared" si="146"/>
        <v>0</v>
      </c>
      <c r="AG192" s="243">
        <f t="shared" si="147"/>
        <v>0</v>
      </c>
      <c r="AH192" s="243">
        <f t="shared" si="148"/>
        <v>0</v>
      </c>
      <c r="AI192" s="232" t="s">
        <v>714</v>
      </c>
      <c r="AJ192" s="243">
        <f t="shared" si="149"/>
        <v>0</v>
      </c>
      <c r="AK192" s="243">
        <f t="shared" si="150"/>
        <v>0</v>
      </c>
      <c r="AL192" s="243">
        <f t="shared" si="151"/>
        <v>0</v>
      </c>
      <c r="AN192" s="243">
        <v>21</v>
      </c>
      <c r="AO192" s="243">
        <f>H192*0.869366700715015</f>
        <v>0</v>
      </c>
      <c r="AP192" s="243">
        <f>H192*(1-0.869366700715015)</f>
        <v>0</v>
      </c>
      <c r="AQ192" s="245" t="s">
        <v>567</v>
      </c>
      <c r="AV192" s="243">
        <f t="shared" si="152"/>
        <v>0</v>
      </c>
      <c r="AW192" s="243">
        <f t="shared" si="153"/>
        <v>0</v>
      </c>
      <c r="AX192" s="243">
        <f t="shared" si="154"/>
        <v>0</v>
      </c>
      <c r="AY192" s="245" t="s">
        <v>610</v>
      </c>
      <c r="AZ192" s="245" t="s">
        <v>729</v>
      </c>
      <c r="BA192" s="232" t="s">
        <v>717</v>
      </c>
      <c r="BC192" s="243">
        <f t="shared" si="155"/>
        <v>0</v>
      </c>
      <c r="BD192" s="243">
        <f t="shared" si="156"/>
        <v>0</v>
      </c>
      <c r="BE192" s="243">
        <v>0</v>
      </c>
      <c r="BF192" s="243">
        <f>192</f>
        <v>192</v>
      </c>
      <c r="BH192" s="243">
        <f t="shared" si="157"/>
        <v>0</v>
      </c>
      <c r="BI192" s="243">
        <f t="shared" si="158"/>
        <v>0</v>
      </c>
      <c r="BJ192" s="243">
        <f t="shared" si="159"/>
        <v>0</v>
      </c>
      <c r="BK192" s="243"/>
      <c r="BL192" s="243">
        <v>722</v>
      </c>
      <c r="BW192" s="243">
        <v>21</v>
      </c>
    </row>
    <row r="193" spans="1:75" ht="13.5" customHeight="1">
      <c r="A193" s="207" t="s">
        <v>739</v>
      </c>
      <c r="B193" s="208" t="s">
        <v>714</v>
      </c>
      <c r="C193" s="208" t="s">
        <v>372</v>
      </c>
      <c r="D193" s="268" t="s">
        <v>1347</v>
      </c>
      <c r="E193" s="260"/>
      <c r="F193" s="208" t="s">
        <v>68</v>
      </c>
      <c r="G193" s="243">
        <v>1</v>
      </c>
      <c r="H193" s="244">
        <v>0</v>
      </c>
      <c r="I193" s="244">
        <f t="shared" si="140"/>
        <v>0</v>
      </c>
      <c r="K193" s="231"/>
      <c r="Z193" s="243">
        <f t="shared" si="141"/>
        <v>0</v>
      </c>
      <c r="AB193" s="243">
        <f t="shared" si="142"/>
        <v>0</v>
      </c>
      <c r="AC193" s="243">
        <f t="shared" si="143"/>
        <v>0</v>
      </c>
      <c r="AD193" s="243">
        <f t="shared" si="144"/>
        <v>0</v>
      </c>
      <c r="AE193" s="243">
        <f t="shared" si="145"/>
        <v>0</v>
      </c>
      <c r="AF193" s="243">
        <f t="shared" si="146"/>
        <v>0</v>
      </c>
      <c r="AG193" s="243">
        <f t="shared" si="147"/>
        <v>0</v>
      </c>
      <c r="AH193" s="243">
        <f t="shared" si="148"/>
        <v>0</v>
      </c>
      <c r="AI193" s="232" t="s">
        <v>714</v>
      </c>
      <c r="AJ193" s="243">
        <f t="shared" si="149"/>
        <v>0</v>
      </c>
      <c r="AK193" s="243">
        <f t="shared" si="150"/>
        <v>0</v>
      </c>
      <c r="AL193" s="243">
        <f t="shared" si="151"/>
        <v>0</v>
      </c>
      <c r="AN193" s="243">
        <v>21</v>
      </c>
      <c r="AO193" s="243">
        <f>H193*0.767894736842105</f>
        <v>0</v>
      </c>
      <c r="AP193" s="243">
        <f>H193*(1-0.767894736842105)</f>
        <v>0</v>
      </c>
      <c r="AQ193" s="245" t="s">
        <v>567</v>
      </c>
      <c r="AV193" s="243">
        <f t="shared" si="152"/>
        <v>0</v>
      </c>
      <c r="AW193" s="243">
        <f t="shared" si="153"/>
        <v>0</v>
      </c>
      <c r="AX193" s="243">
        <f t="shared" si="154"/>
        <v>0</v>
      </c>
      <c r="AY193" s="245" t="s">
        <v>610</v>
      </c>
      <c r="AZ193" s="245" t="s">
        <v>729</v>
      </c>
      <c r="BA193" s="232" t="s">
        <v>717</v>
      </c>
      <c r="BC193" s="243">
        <f t="shared" si="155"/>
        <v>0</v>
      </c>
      <c r="BD193" s="243">
        <f t="shared" si="156"/>
        <v>0</v>
      </c>
      <c r="BE193" s="243">
        <v>0</v>
      </c>
      <c r="BF193" s="243">
        <f>193</f>
        <v>193</v>
      </c>
      <c r="BH193" s="243">
        <f t="shared" si="157"/>
        <v>0</v>
      </c>
      <c r="BI193" s="243">
        <f t="shared" si="158"/>
        <v>0</v>
      </c>
      <c r="BJ193" s="243">
        <f t="shared" si="159"/>
        <v>0</v>
      </c>
      <c r="BK193" s="243"/>
      <c r="BL193" s="243">
        <v>722</v>
      </c>
      <c r="BW193" s="243">
        <v>21</v>
      </c>
    </row>
    <row r="194" spans="1:75" ht="13.5" customHeight="1">
      <c r="A194" s="207" t="s">
        <v>740</v>
      </c>
      <c r="B194" s="208" t="s">
        <v>714</v>
      </c>
      <c r="C194" s="208" t="s">
        <v>156</v>
      </c>
      <c r="D194" s="268" t="s">
        <v>1348</v>
      </c>
      <c r="E194" s="260"/>
      <c r="F194" s="208" t="s">
        <v>68</v>
      </c>
      <c r="G194" s="243">
        <v>2</v>
      </c>
      <c r="H194" s="244">
        <v>0</v>
      </c>
      <c r="I194" s="244">
        <f t="shared" si="140"/>
        <v>0</v>
      </c>
      <c r="K194" s="231"/>
      <c r="Z194" s="243">
        <f t="shared" si="141"/>
        <v>0</v>
      </c>
      <c r="AB194" s="243">
        <f t="shared" si="142"/>
        <v>0</v>
      </c>
      <c r="AC194" s="243">
        <f t="shared" si="143"/>
        <v>0</v>
      </c>
      <c r="AD194" s="243">
        <f t="shared" si="144"/>
        <v>0</v>
      </c>
      <c r="AE194" s="243">
        <f t="shared" si="145"/>
        <v>0</v>
      </c>
      <c r="AF194" s="243">
        <f t="shared" si="146"/>
        <v>0</v>
      </c>
      <c r="AG194" s="243">
        <f t="shared" si="147"/>
        <v>0</v>
      </c>
      <c r="AH194" s="243">
        <f t="shared" si="148"/>
        <v>0</v>
      </c>
      <c r="AI194" s="232" t="s">
        <v>714</v>
      </c>
      <c r="AJ194" s="243">
        <f t="shared" si="149"/>
        <v>0</v>
      </c>
      <c r="AK194" s="243">
        <f t="shared" si="150"/>
        <v>0</v>
      </c>
      <c r="AL194" s="243">
        <f t="shared" si="151"/>
        <v>0</v>
      </c>
      <c r="AN194" s="243">
        <v>21</v>
      </c>
      <c r="AO194" s="243">
        <f>H194*0.901698693312836</f>
        <v>0</v>
      </c>
      <c r="AP194" s="243">
        <f>H194*(1-0.901698693312836)</f>
        <v>0</v>
      </c>
      <c r="AQ194" s="245" t="s">
        <v>567</v>
      </c>
      <c r="AV194" s="243">
        <f t="shared" si="152"/>
        <v>0</v>
      </c>
      <c r="AW194" s="243">
        <f t="shared" si="153"/>
        <v>0</v>
      </c>
      <c r="AX194" s="243">
        <f t="shared" si="154"/>
        <v>0</v>
      </c>
      <c r="AY194" s="245" t="s">
        <v>610</v>
      </c>
      <c r="AZ194" s="245" t="s">
        <v>729</v>
      </c>
      <c r="BA194" s="232" t="s">
        <v>717</v>
      </c>
      <c r="BC194" s="243">
        <f t="shared" si="155"/>
        <v>0</v>
      </c>
      <c r="BD194" s="243">
        <f t="shared" si="156"/>
        <v>0</v>
      </c>
      <c r="BE194" s="243">
        <v>0</v>
      </c>
      <c r="BF194" s="243">
        <f>194</f>
        <v>194</v>
      </c>
      <c r="BH194" s="243">
        <f t="shared" si="157"/>
        <v>0</v>
      </c>
      <c r="BI194" s="243">
        <f t="shared" si="158"/>
        <v>0</v>
      </c>
      <c r="BJ194" s="243">
        <f t="shared" si="159"/>
        <v>0</v>
      </c>
      <c r="BK194" s="243"/>
      <c r="BL194" s="243">
        <v>722</v>
      </c>
      <c r="BW194" s="243">
        <v>21</v>
      </c>
    </row>
    <row r="195" spans="1:75" ht="13.5" customHeight="1">
      <c r="A195" s="207" t="s">
        <v>741</v>
      </c>
      <c r="B195" s="208" t="s">
        <v>714</v>
      </c>
      <c r="C195" s="208" t="s">
        <v>162</v>
      </c>
      <c r="D195" s="268" t="s">
        <v>1349</v>
      </c>
      <c r="E195" s="260"/>
      <c r="F195" s="208" t="s">
        <v>68</v>
      </c>
      <c r="G195" s="243">
        <v>1</v>
      </c>
      <c r="H195" s="244">
        <v>0</v>
      </c>
      <c r="I195" s="244">
        <f t="shared" si="140"/>
        <v>0</v>
      </c>
      <c r="K195" s="231"/>
      <c r="Z195" s="243">
        <f t="shared" si="141"/>
        <v>0</v>
      </c>
      <c r="AB195" s="243">
        <f t="shared" si="142"/>
        <v>0</v>
      </c>
      <c r="AC195" s="243">
        <f t="shared" si="143"/>
        <v>0</v>
      </c>
      <c r="AD195" s="243">
        <f t="shared" si="144"/>
        <v>0</v>
      </c>
      <c r="AE195" s="243">
        <f t="shared" si="145"/>
        <v>0</v>
      </c>
      <c r="AF195" s="243">
        <f t="shared" si="146"/>
        <v>0</v>
      </c>
      <c r="AG195" s="243">
        <f t="shared" si="147"/>
        <v>0</v>
      </c>
      <c r="AH195" s="243">
        <f t="shared" si="148"/>
        <v>0</v>
      </c>
      <c r="AI195" s="232" t="s">
        <v>714</v>
      </c>
      <c r="AJ195" s="243">
        <f t="shared" si="149"/>
        <v>0</v>
      </c>
      <c r="AK195" s="243">
        <f t="shared" si="150"/>
        <v>0</v>
      </c>
      <c r="AL195" s="243">
        <f t="shared" si="151"/>
        <v>0</v>
      </c>
      <c r="AN195" s="243">
        <v>21</v>
      </c>
      <c r="AO195" s="243">
        <f>H195*0.930503731343284</f>
        <v>0</v>
      </c>
      <c r="AP195" s="243">
        <f>H195*(1-0.930503731343284)</f>
        <v>0</v>
      </c>
      <c r="AQ195" s="245" t="s">
        <v>567</v>
      </c>
      <c r="AV195" s="243">
        <f t="shared" si="152"/>
        <v>0</v>
      </c>
      <c r="AW195" s="243">
        <f t="shared" si="153"/>
        <v>0</v>
      </c>
      <c r="AX195" s="243">
        <f t="shared" si="154"/>
        <v>0</v>
      </c>
      <c r="AY195" s="245" t="s">
        <v>610</v>
      </c>
      <c r="AZ195" s="245" t="s">
        <v>729</v>
      </c>
      <c r="BA195" s="232" t="s">
        <v>717</v>
      </c>
      <c r="BC195" s="243">
        <f t="shared" si="155"/>
        <v>0</v>
      </c>
      <c r="BD195" s="243">
        <f t="shared" si="156"/>
        <v>0</v>
      </c>
      <c r="BE195" s="243">
        <v>0</v>
      </c>
      <c r="BF195" s="243">
        <f>195</f>
        <v>195</v>
      </c>
      <c r="BH195" s="243">
        <f t="shared" si="157"/>
        <v>0</v>
      </c>
      <c r="BI195" s="243">
        <f t="shared" si="158"/>
        <v>0</v>
      </c>
      <c r="BJ195" s="243">
        <f t="shared" si="159"/>
        <v>0</v>
      </c>
      <c r="BK195" s="243"/>
      <c r="BL195" s="243">
        <v>722</v>
      </c>
      <c r="BW195" s="243">
        <v>21</v>
      </c>
    </row>
    <row r="196" spans="1:75" ht="13.5" customHeight="1">
      <c r="A196" s="207" t="s">
        <v>742</v>
      </c>
      <c r="B196" s="208" t="s">
        <v>714</v>
      </c>
      <c r="C196" s="208" t="s">
        <v>375</v>
      </c>
      <c r="D196" s="268" t="s">
        <v>376</v>
      </c>
      <c r="E196" s="260"/>
      <c r="F196" s="208" t="s">
        <v>68</v>
      </c>
      <c r="G196" s="243">
        <v>1</v>
      </c>
      <c r="H196" s="244">
        <v>0</v>
      </c>
      <c r="I196" s="244">
        <f t="shared" si="140"/>
        <v>0</v>
      </c>
      <c r="K196" s="231"/>
      <c r="Z196" s="243">
        <f t="shared" si="141"/>
        <v>0</v>
      </c>
      <c r="AB196" s="243">
        <f t="shared" si="142"/>
        <v>0</v>
      </c>
      <c r="AC196" s="243">
        <f t="shared" si="143"/>
        <v>0</v>
      </c>
      <c r="AD196" s="243">
        <f t="shared" si="144"/>
        <v>0</v>
      </c>
      <c r="AE196" s="243">
        <f t="shared" si="145"/>
        <v>0</v>
      </c>
      <c r="AF196" s="243">
        <f t="shared" si="146"/>
        <v>0</v>
      </c>
      <c r="AG196" s="243">
        <f t="shared" si="147"/>
        <v>0</v>
      </c>
      <c r="AH196" s="243">
        <f t="shared" si="148"/>
        <v>0</v>
      </c>
      <c r="AI196" s="232" t="s">
        <v>714</v>
      </c>
      <c r="AJ196" s="243">
        <f t="shared" si="149"/>
        <v>0</v>
      </c>
      <c r="AK196" s="243">
        <f t="shared" si="150"/>
        <v>0</v>
      </c>
      <c r="AL196" s="243">
        <f t="shared" si="151"/>
        <v>0</v>
      </c>
      <c r="AN196" s="243">
        <v>21</v>
      </c>
      <c r="AO196" s="243">
        <f>H196*1</f>
        <v>0</v>
      </c>
      <c r="AP196" s="243">
        <f>H196*(1-1)</f>
        <v>0</v>
      </c>
      <c r="AQ196" s="245" t="s">
        <v>567</v>
      </c>
      <c r="AV196" s="243">
        <f t="shared" si="152"/>
        <v>0</v>
      </c>
      <c r="AW196" s="243">
        <f t="shared" si="153"/>
        <v>0</v>
      </c>
      <c r="AX196" s="243">
        <f t="shared" si="154"/>
        <v>0</v>
      </c>
      <c r="AY196" s="245" t="s">
        <v>610</v>
      </c>
      <c r="AZ196" s="245" t="s">
        <v>729</v>
      </c>
      <c r="BA196" s="232" t="s">
        <v>717</v>
      </c>
      <c r="BC196" s="243">
        <f t="shared" si="155"/>
        <v>0</v>
      </c>
      <c r="BD196" s="243">
        <f t="shared" si="156"/>
        <v>0</v>
      </c>
      <c r="BE196" s="243">
        <v>0</v>
      </c>
      <c r="BF196" s="243">
        <f>196</f>
        <v>196</v>
      </c>
      <c r="BH196" s="243">
        <f t="shared" si="157"/>
        <v>0</v>
      </c>
      <c r="BI196" s="243">
        <f t="shared" si="158"/>
        <v>0</v>
      </c>
      <c r="BJ196" s="243">
        <f t="shared" si="159"/>
        <v>0</v>
      </c>
      <c r="BK196" s="243"/>
      <c r="BL196" s="243">
        <v>722</v>
      </c>
      <c r="BW196" s="243">
        <v>21</v>
      </c>
    </row>
    <row r="197" spans="1:75" ht="13.5" customHeight="1">
      <c r="A197" s="207" t="s">
        <v>743</v>
      </c>
      <c r="B197" s="208" t="s">
        <v>714</v>
      </c>
      <c r="C197" s="208" t="s">
        <v>378</v>
      </c>
      <c r="D197" s="268" t="s">
        <v>379</v>
      </c>
      <c r="E197" s="260"/>
      <c r="F197" s="208" t="s">
        <v>68</v>
      </c>
      <c r="G197" s="243">
        <v>1</v>
      </c>
      <c r="H197" s="244">
        <v>0</v>
      </c>
      <c r="I197" s="244">
        <f t="shared" si="140"/>
        <v>0</v>
      </c>
      <c r="K197" s="231"/>
      <c r="Z197" s="243">
        <f t="shared" si="141"/>
        <v>0</v>
      </c>
      <c r="AB197" s="243">
        <f t="shared" si="142"/>
        <v>0</v>
      </c>
      <c r="AC197" s="243">
        <f t="shared" si="143"/>
        <v>0</v>
      </c>
      <c r="AD197" s="243">
        <f t="shared" si="144"/>
        <v>0</v>
      </c>
      <c r="AE197" s="243">
        <f t="shared" si="145"/>
        <v>0</v>
      </c>
      <c r="AF197" s="243">
        <f t="shared" si="146"/>
        <v>0</v>
      </c>
      <c r="AG197" s="243">
        <f t="shared" si="147"/>
        <v>0</v>
      </c>
      <c r="AH197" s="243">
        <f t="shared" si="148"/>
        <v>0</v>
      </c>
      <c r="AI197" s="232" t="s">
        <v>714</v>
      </c>
      <c r="AJ197" s="243">
        <f t="shared" si="149"/>
        <v>0</v>
      </c>
      <c r="AK197" s="243">
        <f t="shared" si="150"/>
        <v>0</v>
      </c>
      <c r="AL197" s="243">
        <f t="shared" si="151"/>
        <v>0</v>
      </c>
      <c r="AN197" s="243">
        <v>21</v>
      </c>
      <c r="AO197" s="243">
        <f>H197*0</f>
        <v>0</v>
      </c>
      <c r="AP197" s="243">
        <f>H197*(1-0)</f>
        <v>0</v>
      </c>
      <c r="AQ197" s="245" t="s">
        <v>567</v>
      </c>
      <c r="AV197" s="243">
        <f t="shared" si="152"/>
        <v>0</v>
      </c>
      <c r="AW197" s="243">
        <f t="shared" si="153"/>
        <v>0</v>
      </c>
      <c r="AX197" s="243">
        <f t="shared" si="154"/>
        <v>0</v>
      </c>
      <c r="AY197" s="245" t="s">
        <v>610</v>
      </c>
      <c r="AZ197" s="245" t="s">
        <v>729</v>
      </c>
      <c r="BA197" s="232" t="s">
        <v>717</v>
      </c>
      <c r="BC197" s="243">
        <f t="shared" si="155"/>
        <v>0</v>
      </c>
      <c r="BD197" s="243">
        <f t="shared" si="156"/>
        <v>0</v>
      </c>
      <c r="BE197" s="243">
        <v>0</v>
      </c>
      <c r="BF197" s="243">
        <f>197</f>
        <v>197</v>
      </c>
      <c r="BH197" s="243">
        <f t="shared" si="157"/>
        <v>0</v>
      </c>
      <c r="BI197" s="243">
        <f t="shared" si="158"/>
        <v>0</v>
      </c>
      <c r="BJ197" s="243">
        <f t="shared" si="159"/>
        <v>0</v>
      </c>
      <c r="BK197" s="243"/>
      <c r="BL197" s="243">
        <v>722</v>
      </c>
      <c r="BW197" s="243">
        <v>21</v>
      </c>
    </row>
    <row r="198" spans="1:75" ht="15" customHeight="1">
      <c r="A198" s="238" t="s">
        <v>21</v>
      </c>
      <c r="B198" s="239" t="s">
        <v>714</v>
      </c>
      <c r="C198" s="239" t="s">
        <v>380</v>
      </c>
      <c r="D198" s="309" t="s">
        <v>381</v>
      </c>
      <c r="E198" s="310"/>
      <c r="F198" s="240" t="s">
        <v>20</v>
      </c>
      <c r="G198" s="240" t="s">
        <v>20</v>
      </c>
      <c r="H198" s="241" t="s">
        <v>20</v>
      </c>
      <c r="I198" s="242">
        <f>SUM(I199:I199)</f>
        <v>0</v>
      </c>
      <c r="K198" s="231"/>
      <c r="AI198" s="232" t="s">
        <v>714</v>
      </c>
      <c r="AS198" s="225">
        <f>SUM(AJ199:AJ199)</f>
        <v>0</v>
      </c>
      <c r="AT198" s="225">
        <f>SUM(AK199:AK199)</f>
        <v>0</v>
      </c>
      <c r="AU198" s="225">
        <f>SUM(AL199:AL199)</f>
        <v>0</v>
      </c>
    </row>
    <row r="199" spans="1:75" ht="13.5" customHeight="1">
      <c r="A199" s="207" t="s">
        <v>744</v>
      </c>
      <c r="B199" s="208" t="s">
        <v>714</v>
      </c>
      <c r="C199" s="208" t="s">
        <v>83</v>
      </c>
      <c r="D199" s="268" t="s">
        <v>255</v>
      </c>
      <c r="E199" s="260"/>
      <c r="F199" s="208" t="s">
        <v>58</v>
      </c>
      <c r="G199" s="243">
        <v>1</v>
      </c>
      <c r="H199" s="244">
        <v>0</v>
      </c>
      <c r="I199" s="244">
        <f>G199*H199</f>
        <v>0</v>
      </c>
      <c r="K199" s="231"/>
      <c r="Z199" s="243">
        <f>IF(AQ199="5",BJ199,0)</f>
        <v>0</v>
      </c>
      <c r="AB199" s="243">
        <f>IF(AQ199="1",BH199,0)</f>
        <v>0</v>
      </c>
      <c r="AC199" s="243">
        <f>IF(AQ199="1",BI199,0)</f>
        <v>0</v>
      </c>
      <c r="AD199" s="243">
        <f>IF(AQ199="7",BH199,0)</f>
        <v>0</v>
      </c>
      <c r="AE199" s="243">
        <f>IF(AQ199="7",BI199,0)</f>
        <v>0</v>
      </c>
      <c r="AF199" s="243">
        <f>IF(AQ199="2",BH199,0)</f>
        <v>0</v>
      </c>
      <c r="AG199" s="243">
        <f>IF(AQ199="2",BI199,0)</f>
        <v>0</v>
      </c>
      <c r="AH199" s="243">
        <f>IF(AQ199="0",BJ199,0)</f>
        <v>0</v>
      </c>
      <c r="AI199" s="232" t="s">
        <v>714</v>
      </c>
      <c r="AJ199" s="243">
        <f>IF(AN199=0,I199,0)</f>
        <v>0</v>
      </c>
      <c r="AK199" s="243">
        <f>IF(AN199=12,I199,0)</f>
        <v>0</v>
      </c>
      <c r="AL199" s="243">
        <f>IF(AN199=21,I199,0)</f>
        <v>0</v>
      </c>
      <c r="AN199" s="243">
        <v>21</v>
      </c>
      <c r="AO199" s="243">
        <f>H199*0.346020761245675</f>
        <v>0</v>
      </c>
      <c r="AP199" s="243">
        <f>H199*(1-0.346020761245675)</f>
        <v>0</v>
      </c>
      <c r="AQ199" s="245" t="s">
        <v>567</v>
      </c>
      <c r="AV199" s="243">
        <f>AW199+AX199</f>
        <v>0</v>
      </c>
      <c r="AW199" s="243">
        <f>G199*AO199</f>
        <v>0</v>
      </c>
      <c r="AX199" s="243">
        <f>G199*AP199</f>
        <v>0</v>
      </c>
      <c r="AY199" s="245" t="s">
        <v>745</v>
      </c>
      <c r="AZ199" s="245" t="s">
        <v>746</v>
      </c>
      <c r="BA199" s="232" t="s">
        <v>717</v>
      </c>
      <c r="BC199" s="243">
        <f>AW199+AX199</f>
        <v>0</v>
      </c>
      <c r="BD199" s="243">
        <f>H199/(100-BE199)*100</f>
        <v>0</v>
      </c>
      <c r="BE199" s="243">
        <v>0</v>
      </c>
      <c r="BF199" s="243">
        <f>199</f>
        <v>199</v>
      </c>
      <c r="BH199" s="243">
        <f>G199*AO199</f>
        <v>0</v>
      </c>
      <c r="BI199" s="243">
        <f>G199*AP199</f>
        <v>0</v>
      </c>
      <c r="BJ199" s="243">
        <f>G199*H199</f>
        <v>0</v>
      </c>
      <c r="BK199" s="243"/>
      <c r="BL199" s="243">
        <v>73</v>
      </c>
      <c r="BW199" s="243">
        <v>21</v>
      </c>
    </row>
    <row r="200" spans="1:75" ht="15" customHeight="1">
      <c r="A200" s="238" t="s">
        <v>21</v>
      </c>
      <c r="B200" s="239" t="s">
        <v>714</v>
      </c>
      <c r="C200" s="239" t="s">
        <v>64</v>
      </c>
      <c r="D200" s="309" t="s">
        <v>65</v>
      </c>
      <c r="E200" s="310"/>
      <c r="F200" s="240" t="s">
        <v>20</v>
      </c>
      <c r="G200" s="240" t="s">
        <v>20</v>
      </c>
      <c r="H200" s="241" t="s">
        <v>20</v>
      </c>
      <c r="I200" s="242">
        <f>SUM(I201:I207)</f>
        <v>0</v>
      </c>
      <c r="K200" s="231"/>
      <c r="AI200" s="232" t="s">
        <v>714</v>
      </c>
      <c r="AS200" s="225">
        <f>SUM(AJ201:AJ207)</f>
        <v>0</v>
      </c>
      <c r="AT200" s="225">
        <f>SUM(AK201:AK207)</f>
        <v>0</v>
      </c>
      <c r="AU200" s="225">
        <f>SUM(AL201:AL207)</f>
        <v>0</v>
      </c>
    </row>
    <row r="201" spans="1:75" ht="13.5" customHeight="1">
      <c r="A201" s="207" t="s">
        <v>747</v>
      </c>
      <c r="B201" s="208" t="s">
        <v>714</v>
      </c>
      <c r="C201" s="208" t="s">
        <v>382</v>
      </c>
      <c r="D201" s="268" t="s">
        <v>114</v>
      </c>
      <c r="E201" s="260"/>
      <c r="F201" s="208" t="s">
        <v>58</v>
      </c>
      <c r="G201" s="243">
        <v>14</v>
      </c>
      <c r="H201" s="244">
        <v>0</v>
      </c>
      <c r="I201" s="244">
        <f t="shared" ref="I201:I207" si="160">G201*H201</f>
        <v>0</v>
      </c>
      <c r="K201" s="231"/>
      <c r="Z201" s="243">
        <f t="shared" ref="Z201:Z207" si="161">IF(AQ201="5",BJ201,0)</f>
        <v>0</v>
      </c>
      <c r="AB201" s="243">
        <f t="shared" ref="AB201:AB207" si="162">IF(AQ201="1",BH201,0)</f>
        <v>0</v>
      </c>
      <c r="AC201" s="243">
        <f t="shared" ref="AC201:AC207" si="163">IF(AQ201="1",BI201,0)</f>
        <v>0</v>
      </c>
      <c r="AD201" s="243">
        <f t="shared" ref="AD201:AD207" si="164">IF(AQ201="7",BH201,0)</f>
        <v>0</v>
      </c>
      <c r="AE201" s="243">
        <f t="shared" ref="AE201:AE207" si="165">IF(AQ201="7",BI201,0)</f>
        <v>0</v>
      </c>
      <c r="AF201" s="243">
        <f t="shared" ref="AF201:AF207" si="166">IF(AQ201="2",BH201,0)</f>
        <v>0</v>
      </c>
      <c r="AG201" s="243">
        <f t="shared" ref="AG201:AG207" si="167">IF(AQ201="2",BI201,0)</f>
        <v>0</v>
      </c>
      <c r="AH201" s="243">
        <f t="shared" ref="AH201:AH207" si="168">IF(AQ201="0",BJ201,0)</f>
        <v>0</v>
      </c>
      <c r="AI201" s="232" t="s">
        <v>714</v>
      </c>
      <c r="AJ201" s="243">
        <f t="shared" ref="AJ201:AJ207" si="169">IF(AN201=0,I201,0)</f>
        <v>0</v>
      </c>
      <c r="AK201" s="243">
        <f t="shared" ref="AK201:AK207" si="170">IF(AN201=12,I201,0)</f>
        <v>0</v>
      </c>
      <c r="AL201" s="243">
        <f t="shared" ref="AL201:AL207" si="171">IF(AN201=21,I201,0)</f>
        <v>0</v>
      </c>
      <c r="AN201" s="243">
        <v>21</v>
      </c>
      <c r="AO201" s="243">
        <f>H201*0.658518518518519</f>
        <v>0</v>
      </c>
      <c r="AP201" s="243">
        <f>H201*(1-0.658518518518519)</f>
        <v>0</v>
      </c>
      <c r="AQ201" s="245" t="s">
        <v>567</v>
      </c>
      <c r="AV201" s="243">
        <f t="shared" ref="AV201:AV207" si="172">AW201+AX201</f>
        <v>0</v>
      </c>
      <c r="AW201" s="243">
        <f t="shared" ref="AW201:AW207" si="173">G201*AO201</f>
        <v>0</v>
      </c>
      <c r="AX201" s="243">
        <f t="shared" ref="AX201:AX207" si="174">G201*AP201</f>
        <v>0</v>
      </c>
      <c r="AY201" s="245" t="s">
        <v>580</v>
      </c>
      <c r="AZ201" s="245" t="s">
        <v>746</v>
      </c>
      <c r="BA201" s="232" t="s">
        <v>717</v>
      </c>
      <c r="BC201" s="243">
        <f t="shared" ref="BC201:BC207" si="175">AW201+AX201</f>
        <v>0</v>
      </c>
      <c r="BD201" s="243">
        <f t="shared" ref="BD201:BD207" si="176">H201/(100-BE201)*100</f>
        <v>0</v>
      </c>
      <c r="BE201" s="243">
        <v>0</v>
      </c>
      <c r="BF201" s="243">
        <f>201</f>
        <v>201</v>
      </c>
      <c r="BH201" s="243">
        <f t="shared" ref="BH201:BH207" si="177">G201*AO201</f>
        <v>0</v>
      </c>
      <c r="BI201" s="243">
        <f t="shared" ref="BI201:BI207" si="178">G201*AP201</f>
        <v>0</v>
      </c>
      <c r="BJ201" s="243">
        <f t="shared" ref="BJ201:BJ207" si="179">G201*H201</f>
        <v>0</v>
      </c>
      <c r="BK201" s="243"/>
      <c r="BL201" s="243">
        <v>732</v>
      </c>
      <c r="BW201" s="243">
        <v>21</v>
      </c>
    </row>
    <row r="202" spans="1:75" ht="13.5" customHeight="1">
      <c r="A202" s="207" t="s">
        <v>748</v>
      </c>
      <c r="B202" s="208" t="s">
        <v>714</v>
      </c>
      <c r="C202" s="208" t="s">
        <v>383</v>
      </c>
      <c r="D202" s="268" t="s">
        <v>384</v>
      </c>
      <c r="E202" s="260"/>
      <c r="F202" s="208" t="s">
        <v>63</v>
      </c>
      <c r="G202" s="243">
        <v>3</v>
      </c>
      <c r="H202" s="244">
        <v>0</v>
      </c>
      <c r="I202" s="244">
        <f t="shared" si="160"/>
        <v>0</v>
      </c>
      <c r="K202" s="231"/>
      <c r="Z202" s="243">
        <f t="shared" si="161"/>
        <v>0</v>
      </c>
      <c r="AB202" s="243">
        <f t="shared" si="162"/>
        <v>0</v>
      </c>
      <c r="AC202" s="243">
        <f t="shared" si="163"/>
        <v>0</v>
      </c>
      <c r="AD202" s="243">
        <f t="shared" si="164"/>
        <v>0</v>
      </c>
      <c r="AE202" s="243">
        <f t="shared" si="165"/>
        <v>0</v>
      </c>
      <c r="AF202" s="243">
        <f t="shared" si="166"/>
        <v>0</v>
      </c>
      <c r="AG202" s="243">
        <f t="shared" si="167"/>
        <v>0</v>
      </c>
      <c r="AH202" s="243">
        <f t="shared" si="168"/>
        <v>0</v>
      </c>
      <c r="AI202" s="232" t="s">
        <v>714</v>
      </c>
      <c r="AJ202" s="243">
        <f t="shared" si="169"/>
        <v>0</v>
      </c>
      <c r="AK202" s="243">
        <f t="shared" si="170"/>
        <v>0</v>
      </c>
      <c r="AL202" s="243">
        <f t="shared" si="171"/>
        <v>0</v>
      </c>
      <c r="AN202" s="243">
        <v>21</v>
      </c>
      <c r="AO202" s="243">
        <f>H202*0</f>
        <v>0</v>
      </c>
      <c r="AP202" s="243">
        <f>H202*(1-0)</f>
        <v>0</v>
      </c>
      <c r="AQ202" s="245" t="s">
        <v>567</v>
      </c>
      <c r="AV202" s="243">
        <f t="shared" si="172"/>
        <v>0</v>
      </c>
      <c r="AW202" s="243">
        <f t="shared" si="173"/>
        <v>0</v>
      </c>
      <c r="AX202" s="243">
        <f t="shared" si="174"/>
        <v>0</v>
      </c>
      <c r="AY202" s="245" t="s">
        <v>580</v>
      </c>
      <c r="AZ202" s="245" t="s">
        <v>746</v>
      </c>
      <c r="BA202" s="232" t="s">
        <v>717</v>
      </c>
      <c r="BC202" s="243">
        <f t="shared" si="175"/>
        <v>0</v>
      </c>
      <c r="BD202" s="243">
        <f t="shared" si="176"/>
        <v>0</v>
      </c>
      <c r="BE202" s="243">
        <v>0</v>
      </c>
      <c r="BF202" s="243">
        <f>202</f>
        <v>202</v>
      </c>
      <c r="BH202" s="243">
        <f t="shared" si="177"/>
        <v>0</v>
      </c>
      <c r="BI202" s="243">
        <f t="shared" si="178"/>
        <v>0</v>
      </c>
      <c r="BJ202" s="243">
        <f t="shared" si="179"/>
        <v>0</v>
      </c>
      <c r="BK202" s="243"/>
      <c r="BL202" s="243">
        <v>732</v>
      </c>
      <c r="BW202" s="243">
        <v>21</v>
      </c>
    </row>
    <row r="203" spans="1:75" ht="13.5" customHeight="1">
      <c r="A203" s="207" t="s">
        <v>749</v>
      </c>
      <c r="B203" s="208" t="s">
        <v>714</v>
      </c>
      <c r="C203" s="208" t="s">
        <v>385</v>
      </c>
      <c r="D203" s="268" t="s">
        <v>386</v>
      </c>
      <c r="E203" s="260"/>
      <c r="F203" s="208" t="s">
        <v>68</v>
      </c>
      <c r="G203" s="243">
        <v>1</v>
      </c>
      <c r="H203" s="244">
        <v>0</v>
      </c>
      <c r="I203" s="244">
        <f t="shared" si="160"/>
        <v>0</v>
      </c>
      <c r="K203" s="231"/>
      <c r="Z203" s="243">
        <f t="shared" si="161"/>
        <v>0</v>
      </c>
      <c r="AB203" s="243">
        <f t="shared" si="162"/>
        <v>0</v>
      </c>
      <c r="AC203" s="243">
        <f t="shared" si="163"/>
        <v>0</v>
      </c>
      <c r="AD203" s="243">
        <f t="shared" si="164"/>
        <v>0</v>
      </c>
      <c r="AE203" s="243">
        <f t="shared" si="165"/>
        <v>0</v>
      </c>
      <c r="AF203" s="243">
        <f t="shared" si="166"/>
        <v>0</v>
      </c>
      <c r="AG203" s="243">
        <f t="shared" si="167"/>
        <v>0</v>
      </c>
      <c r="AH203" s="243">
        <f t="shared" si="168"/>
        <v>0</v>
      </c>
      <c r="AI203" s="232" t="s">
        <v>714</v>
      </c>
      <c r="AJ203" s="243">
        <f t="shared" si="169"/>
        <v>0</v>
      </c>
      <c r="AK203" s="243">
        <f t="shared" si="170"/>
        <v>0</v>
      </c>
      <c r="AL203" s="243">
        <f t="shared" si="171"/>
        <v>0</v>
      </c>
      <c r="AN203" s="243">
        <v>21</v>
      </c>
      <c r="AO203" s="243">
        <f>H203*0.674383346425766</f>
        <v>0</v>
      </c>
      <c r="AP203" s="243">
        <f>H203*(1-0.674383346425766)</f>
        <v>0</v>
      </c>
      <c r="AQ203" s="245" t="s">
        <v>567</v>
      </c>
      <c r="AV203" s="243">
        <f t="shared" si="172"/>
        <v>0</v>
      </c>
      <c r="AW203" s="243">
        <f t="shared" si="173"/>
        <v>0</v>
      </c>
      <c r="AX203" s="243">
        <f t="shared" si="174"/>
        <v>0</v>
      </c>
      <c r="AY203" s="245" t="s">
        <v>580</v>
      </c>
      <c r="AZ203" s="245" t="s">
        <v>746</v>
      </c>
      <c r="BA203" s="232" t="s">
        <v>717</v>
      </c>
      <c r="BC203" s="243">
        <f t="shared" si="175"/>
        <v>0</v>
      </c>
      <c r="BD203" s="243">
        <f t="shared" si="176"/>
        <v>0</v>
      </c>
      <c r="BE203" s="243">
        <v>0</v>
      </c>
      <c r="BF203" s="243">
        <f>203</f>
        <v>203</v>
      </c>
      <c r="BH203" s="243">
        <f t="shared" si="177"/>
        <v>0</v>
      </c>
      <c r="BI203" s="243">
        <f t="shared" si="178"/>
        <v>0</v>
      </c>
      <c r="BJ203" s="243">
        <f t="shared" si="179"/>
        <v>0</v>
      </c>
      <c r="BK203" s="243"/>
      <c r="BL203" s="243">
        <v>732</v>
      </c>
      <c r="BW203" s="243">
        <v>21</v>
      </c>
    </row>
    <row r="204" spans="1:75" ht="13.5" customHeight="1">
      <c r="A204" s="207" t="s">
        <v>750</v>
      </c>
      <c r="B204" s="208" t="s">
        <v>714</v>
      </c>
      <c r="C204" s="208" t="s">
        <v>387</v>
      </c>
      <c r="D204" s="268" t="s">
        <v>388</v>
      </c>
      <c r="E204" s="260"/>
      <c r="F204" s="208" t="s">
        <v>68</v>
      </c>
      <c r="G204" s="243">
        <v>3</v>
      </c>
      <c r="H204" s="244">
        <v>0</v>
      </c>
      <c r="I204" s="244">
        <f t="shared" si="160"/>
        <v>0</v>
      </c>
      <c r="K204" s="231"/>
      <c r="Z204" s="243">
        <f t="shared" si="161"/>
        <v>0</v>
      </c>
      <c r="AB204" s="243">
        <f t="shared" si="162"/>
        <v>0</v>
      </c>
      <c r="AC204" s="243">
        <f t="shared" si="163"/>
        <v>0</v>
      </c>
      <c r="AD204" s="243">
        <f t="shared" si="164"/>
        <v>0</v>
      </c>
      <c r="AE204" s="243">
        <f t="shared" si="165"/>
        <v>0</v>
      </c>
      <c r="AF204" s="243">
        <f t="shared" si="166"/>
        <v>0</v>
      </c>
      <c r="AG204" s="243">
        <f t="shared" si="167"/>
        <v>0</v>
      </c>
      <c r="AH204" s="243">
        <f t="shared" si="168"/>
        <v>0</v>
      </c>
      <c r="AI204" s="232" t="s">
        <v>714</v>
      </c>
      <c r="AJ204" s="243">
        <f t="shared" si="169"/>
        <v>0</v>
      </c>
      <c r="AK204" s="243">
        <f t="shared" si="170"/>
        <v>0</v>
      </c>
      <c r="AL204" s="243">
        <f t="shared" si="171"/>
        <v>0</v>
      </c>
      <c r="AN204" s="243">
        <v>21</v>
      </c>
      <c r="AO204" s="243">
        <f>H204*0.532435331230284</f>
        <v>0</v>
      </c>
      <c r="AP204" s="243">
        <f>H204*(1-0.532435331230284)</f>
        <v>0</v>
      </c>
      <c r="AQ204" s="245" t="s">
        <v>567</v>
      </c>
      <c r="AV204" s="243">
        <f t="shared" si="172"/>
        <v>0</v>
      </c>
      <c r="AW204" s="243">
        <f t="shared" si="173"/>
        <v>0</v>
      </c>
      <c r="AX204" s="243">
        <f t="shared" si="174"/>
        <v>0</v>
      </c>
      <c r="AY204" s="245" t="s">
        <v>580</v>
      </c>
      <c r="AZ204" s="245" t="s">
        <v>746</v>
      </c>
      <c r="BA204" s="232" t="s">
        <v>717</v>
      </c>
      <c r="BC204" s="243">
        <f t="shared" si="175"/>
        <v>0</v>
      </c>
      <c r="BD204" s="243">
        <f t="shared" si="176"/>
        <v>0</v>
      </c>
      <c r="BE204" s="243">
        <v>0</v>
      </c>
      <c r="BF204" s="243">
        <f>204</f>
        <v>204</v>
      </c>
      <c r="BH204" s="243">
        <f t="shared" si="177"/>
        <v>0</v>
      </c>
      <c r="BI204" s="243">
        <f t="shared" si="178"/>
        <v>0</v>
      </c>
      <c r="BJ204" s="243">
        <f t="shared" si="179"/>
        <v>0</v>
      </c>
      <c r="BK204" s="243"/>
      <c r="BL204" s="243">
        <v>732</v>
      </c>
      <c r="BW204" s="243">
        <v>21</v>
      </c>
    </row>
    <row r="205" spans="1:75" ht="13.5" customHeight="1">
      <c r="A205" s="207" t="s">
        <v>751</v>
      </c>
      <c r="B205" s="208" t="s">
        <v>714</v>
      </c>
      <c r="C205" s="208" t="s">
        <v>179</v>
      </c>
      <c r="D205" s="268" t="s">
        <v>1330</v>
      </c>
      <c r="E205" s="260"/>
      <c r="F205" s="208" t="s">
        <v>21</v>
      </c>
      <c r="G205" s="243">
        <v>1</v>
      </c>
      <c r="H205" s="244">
        <v>0</v>
      </c>
      <c r="I205" s="244">
        <f t="shared" si="160"/>
        <v>0</v>
      </c>
      <c r="K205" s="231"/>
      <c r="Z205" s="243">
        <f t="shared" si="161"/>
        <v>0</v>
      </c>
      <c r="AB205" s="243">
        <f t="shared" si="162"/>
        <v>0</v>
      </c>
      <c r="AC205" s="243">
        <f t="shared" si="163"/>
        <v>0</v>
      </c>
      <c r="AD205" s="243">
        <f t="shared" si="164"/>
        <v>0</v>
      </c>
      <c r="AE205" s="243">
        <f t="shared" si="165"/>
        <v>0</v>
      </c>
      <c r="AF205" s="243">
        <f t="shared" si="166"/>
        <v>0</v>
      </c>
      <c r="AG205" s="243">
        <f t="shared" si="167"/>
        <v>0</v>
      </c>
      <c r="AH205" s="243">
        <f t="shared" si="168"/>
        <v>0</v>
      </c>
      <c r="AI205" s="232" t="s">
        <v>714</v>
      </c>
      <c r="AJ205" s="243">
        <f t="shared" si="169"/>
        <v>0</v>
      </c>
      <c r="AK205" s="243">
        <f t="shared" si="170"/>
        <v>0</v>
      </c>
      <c r="AL205" s="243">
        <f t="shared" si="171"/>
        <v>0</v>
      </c>
      <c r="AN205" s="243">
        <v>21</v>
      </c>
      <c r="AO205" s="243">
        <f>H205*0.974240082431736</f>
        <v>0</v>
      </c>
      <c r="AP205" s="243">
        <f>H205*(1-0.974240082431736)</f>
        <v>0</v>
      </c>
      <c r="AQ205" s="245" t="s">
        <v>567</v>
      </c>
      <c r="AV205" s="243">
        <f t="shared" si="172"/>
        <v>0</v>
      </c>
      <c r="AW205" s="243">
        <f t="shared" si="173"/>
        <v>0</v>
      </c>
      <c r="AX205" s="243">
        <f t="shared" si="174"/>
        <v>0</v>
      </c>
      <c r="AY205" s="245" t="s">
        <v>580</v>
      </c>
      <c r="AZ205" s="245" t="s">
        <v>746</v>
      </c>
      <c r="BA205" s="232" t="s">
        <v>717</v>
      </c>
      <c r="BC205" s="243">
        <f t="shared" si="175"/>
        <v>0</v>
      </c>
      <c r="BD205" s="243">
        <f t="shared" si="176"/>
        <v>0</v>
      </c>
      <c r="BE205" s="243">
        <v>0</v>
      </c>
      <c r="BF205" s="243">
        <f>205</f>
        <v>205</v>
      </c>
      <c r="BH205" s="243">
        <f t="shared" si="177"/>
        <v>0</v>
      </c>
      <c r="BI205" s="243">
        <f t="shared" si="178"/>
        <v>0</v>
      </c>
      <c r="BJ205" s="243">
        <f t="shared" si="179"/>
        <v>0</v>
      </c>
      <c r="BK205" s="243"/>
      <c r="BL205" s="243">
        <v>732</v>
      </c>
      <c r="BW205" s="243">
        <v>21</v>
      </c>
    </row>
    <row r="206" spans="1:75" ht="13.5" customHeight="1">
      <c r="A206" s="207" t="s">
        <v>752</v>
      </c>
      <c r="B206" s="208" t="s">
        <v>714</v>
      </c>
      <c r="C206" s="208" t="s">
        <v>390</v>
      </c>
      <c r="D206" s="268" t="s">
        <v>391</v>
      </c>
      <c r="E206" s="260"/>
      <c r="F206" s="208" t="s">
        <v>58</v>
      </c>
      <c r="G206" s="243">
        <v>1</v>
      </c>
      <c r="H206" s="244">
        <v>0</v>
      </c>
      <c r="I206" s="244">
        <f t="shared" si="160"/>
        <v>0</v>
      </c>
      <c r="K206" s="231"/>
      <c r="Z206" s="243">
        <f t="shared" si="161"/>
        <v>0</v>
      </c>
      <c r="AB206" s="243">
        <f t="shared" si="162"/>
        <v>0</v>
      </c>
      <c r="AC206" s="243">
        <f t="shared" si="163"/>
        <v>0</v>
      </c>
      <c r="AD206" s="243">
        <f t="shared" si="164"/>
        <v>0</v>
      </c>
      <c r="AE206" s="243">
        <f t="shared" si="165"/>
        <v>0</v>
      </c>
      <c r="AF206" s="243">
        <f t="shared" si="166"/>
        <v>0</v>
      </c>
      <c r="AG206" s="243">
        <f t="shared" si="167"/>
        <v>0</v>
      </c>
      <c r="AH206" s="243">
        <f t="shared" si="168"/>
        <v>0</v>
      </c>
      <c r="AI206" s="232" t="s">
        <v>714</v>
      </c>
      <c r="AJ206" s="243">
        <f t="shared" si="169"/>
        <v>0</v>
      </c>
      <c r="AK206" s="243">
        <f t="shared" si="170"/>
        <v>0</v>
      </c>
      <c r="AL206" s="243">
        <f t="shared" si="171"/>
        <v>0</v>
      </c>
      <c r="AN206" s="243">
        <v>21</v>
      </c>
      <c r="AO206" s="243">
        <f>H206*0.642985041792658</f>
        <v>0</v>
      </c>
      <c r="AP206" s="243">
        <f>H206*(1-0.642985041792658)</f>
        <v>0</v>
      </c>
      <c r="AQ206" s="245" t="s">
        <v>567</v>
      </c>
      <c r="AV206" s="243">
        <f t="shared" si="172"/>
        <v>0</v>
      </c>
      <c r="AW206" s="243">
        <f t="shared" si="173"/>
        <v>0</v>
      </c>
      <c r="AX206" s="243">
        <f t="shared" si="174"/>
        <v>0</v>
      </c>
      <c r="AY206" s="245" t="s">
        <v>580</v>
      </c>
      <c r="AZ206" s="245" t="s">
        <v>746</v>
      </c>
      <c r="BA206" s="232" t="s">
        <v>717</v>
      </c>
      <c r="BC206" s="243">
        <f t="shared" si="175"/>
        <v>0</v>
      </c>
      <c r="BD206" s="243">
        <f t="shared" si="176"/>
        <v>0</v>
      </c>
      <c r="BE206" s="243">
        <v>0</v>
      </c>
      <c r="BF206" s="243">
        <f>206</f>
        <v>206</v>
      </c>
      <c r="BH206" s="243">
        <f t="shared" si="177"/>
        <v>0</v>
      </c>
      <c r="BI206" s="243">
        <f t="shared" si="178"/>
        <v>0</v>
      </c>
      <c r="BJ206" s="243">
        <f t="shared" si="179"/>
        <v>0</v>
      </c>
      <c r="BK206" s="243"/>
      <c r="BL206" s="243">
        <v>732</v>
      </c>
      <c r="BW206" s="243">
        <v>21</v>
      </c>
    </row>
    <row r="207" spans="1:75" ht="13.5" customHeight="1">
      <c r="A207" s="207" t="s">
        <v>753</v>
      </c>
      <c r="B207" s="208" t="s">
        <v>714</v>
      </c>
      <c r="C207" s="208" t="s">
        <v>392</v>
      </c>
      <c r="D207" s="268" t="s">
        <v>1350</v>
      </c>
      <c r="E207" s="260"/>
      <c r="F207" s="208" t="s">
        <v>68</v>
      </c>
      <c r="G207" s="243">
        <v>1</v>
      </c>
      <c r="H207" s="244">
        <v>0</v>
      </c>
      <c r="I207" s="244">
        <f t="shared" si="160"/>
        <v>0</v>
      </c>
      <c r="K207" s="231"/>
      <c r="Z207" s="243">
        <f t="shared" si="161"/>
        <v>0</v>
      </c>
      <c r="AB207" s="243">
        <f t="shared" si="162"/>
        <v>0</v>
      </c>
      <c r="AC207" s="243">
        <f t="shared" si="163"/>
        <v>0</v>
      </c>
      <c r="AD207" s="243">
        <f t="shared" si="164"/>
        <v>0</v>
      </c>
      <c r="AE207" s="243">
        <f t="shared" si="165"/>
        <v>0</v>
      </c>
      <c r="AF207" s="243">
        <f t="shared" si="166"/>
        <v>0</v>
      </c>
      <c r="AG207" s="243">
        <f t="shared" si="167"/>
        <v>0</v>
      </c>
      <c r="AH207" s="243">
        <f t="shared" si="168"/>
        <v>0</v>
      </c>
      <c r="AI207" s="232" t="s">
        <v>714</v>
      </c>
      <c r="AJ207" s="243">
        <f t="shared" si="169"/>
        <v>0</v>
      </c>
      <c r="AK207" s="243">
        <f t="shared" si="170"/>
        <v>0</v>
      </c>
      <c r="AL207" s="243">
        <f t="shared" si="171"/>
        <v>0</v>
      </c>
      <c r="AN207" s="243">
        <v>21</v>
      </c>
      <c r="AO207" s="243">
        <f>H207*1</f>
        <v>0</v>
      </c>
      <c r="AP207" s="243">
        <f>H207*(1-1)</f>
        <v>0</v>
      </c>
      <c r="AQ207" s="245" t="s">
        <v>567</v>
      </c>
      <c r="AV207" s="243">
        <f t="shared" si="172"/>
        <v>0</v>
      </c>
      <c r="AW207" s="243">
        <f t="shared" si="173"/>
        <v>0</v>
      </c>
      <c r="AX207" s="243">
        <f t="shared" si="174"/>
        <v>0</v>
      </c>
      <c r="AY207" s="245" t="s">
        <v>580</v>
      </c>
      <c r="AZ207" s="245" t="s">
        <v>746</v>
      </c>
      <c r="BA207" s="232" t="s">
        <v>717</v>
      </c>
      <c r="BC207" s="243">
        <f t="shared" si="175"/>
        <v>0</v>
      </c>
      <c r="BD207" s="243">
        <f t="shared" si="176"/>
        <v>0</v>
      </c>
      <c r="BE207" s="243">
        <v>0</v>
      </c>
      <c r="BF207" s="243">
        <f>207</f>
        <v>207</v>
      </c>
      <c r="BH207" s="243">
        <f t="shared" si="177"/>
        <v>0</v>
      </c>
      <c r="BI207" s="243">
        <f t="shared" si="178"/>
        <v>0</v>
      </c>
      <c r="BJ207" s="243">
        <f t="shared" si="179"/>
        <v>0</v>
      </c>
      <c r="BK207" s="243"/>
      <c r="BL207" s="243">
        <v>732</v>
      </c>
      <c r="BW207" s="243">
        <v>21</v>
      </c>
    </row>
    <row r="208" spans="1:75" ht="15" customHeight="1">
      <c r="A208" s="238" t="s">
        <v>21</v>
      </c>
      <c r="B208" s="239" t="s">
        <v>714</v>
      </c>
      <c r="C208" s="239" t="s">
        <v>85</v>
      </c>
      <c r="D208" s="309" t="s">
        <v>86</v>
      </c>
      <c r="E208" s="310"/>
      <c r="F208" s="240" t="s">
        <v>20</v>
      </c>
      <c r="G208" s="240" t="s">
        <v>20</v>
      </c>
      <c r="H208" s="241" t="s">
        <v>20</v>
      </c>
      <c r="I208" s="242">
        <f>SUM(I209:I219)</f>
        <v>0</v>
      </c>
      <c r="K208" s="231"/>
      <c r="AI208" s="232" t="s">
        <v>714</v>
      </c>
      <c r="AS208" s="225">
        <f>SUM(AJ209:AJ219)</f>
        <v>0</v>
      </c>
      <c r="AT208" s="225">
        <f>SUM(AK209:AK219)</f>
        <v>0</v>
      </c>
      <c r="AU208" s="225">
        <f>SUM(AL209:AL219)</f>
        <v>0</v>
      </c>
    </row>
    <row r="209" spans="1:75" ht="13.5" customHeight="1">
      <c r="A209" s="207" t="s">
        <v>754</v>
      </c>
      <c r="B209" s="208" t="s">
        <v>714</v>
      </c>
      <c r="C209" s="208" t="s">
        <v>394</v>
      </c>
      <c r="D209" s="268" t="s">
        <v>395</v>
      </c>
      <c r="E209" s="260"/>
      <c r="F209" s="208" t="s">
        <v>68</v>
      </c>
      <c r="G209" s="243">
        <v>8</v>
      </c>
      <c r="H209" s="244">
        <v>0</v>
      </c>
      <c r="I209" s="244">
        <f t="shared" ref="I209:I219" si="180">G209*H209</f>
        <v>0</v>
      </c>
      <c r="K209" s="231"/>
      <c r="Z209" s="243">
        <f t="shared" ref="Z209:Z219" si="181">IF(AQ209="5",BJ209,0)</f>
        <v>0</v>
      </c>
      <c r="AB209" s="243">
        <f t="shared" ref="AB209:AB219" si="182">IF(AQ209="1",BH209,0)</f>
        <v>0</v>
      </c>
      <c r="AC209" s="243">
        <f t="shared" ref="AC209:AC219" si="183">IF(AQ209="1",BI209,0)</f>
        <v>0</v>
      </c>
      <c r="AD209" s="243">
        <f t="shared" ref="AD209:AD219" si="184">IF(AQ209="7",BH209,0)</f>
        <v>0</v>
      </c>
      <c r="AE209" s="243">
        <f t="shared" ref="AE209:AE219" si="185">IF(AQ209="7",BI209,0)</f>
        <v>0</v>
      </c>
      <c r="AF209" s="243">
        <f t="shared" ref="AF209:AF219" si="186">IF(AQ209="2",BH209,0)</f>
        <v>0</v>
      </c>
      <c r="AG209" s="243">
        <f t="shared" ref="AG209:AG219" si="187">IF(AQ209="2",BI209,0)</f>
        <v>0</v>
      </c>
      <c r="AH209" s="243">
        <f t="shared" ref="AH209:AH219" si="188">IF(AQ209="0",BJ209,0)</f>
        <v>0</v>
      </c>
      <c r="AI209" s="232" t="s">
        <v>714</v>
      </c>
      <c r="AJ209" s="243">
        <f t="shared" ref="AJ209:AJ219" si="189">IF(AN209=0,I209,0)</f>
        <v>0</v>
      </c>
      <c r="AK209" s="243">
        <f t="shared" ref="AK209:AK219" si="190">IF(AN209=12,I209,0)</f>
        <v>0</v>
      </c>
      <c r="AL209" s="243">
        <f t="shared" ref="AL209:AL219" si="191">IF(AN209=21,I209,0)</f>
        <v>0</v>
      </c>
      <c r="AN209" s="243">
        <v>21</v>
      </c>
      <c r="AO209" s="243">
        <f>H209*0.620309050772627</f>
        <v>0</v>
      </c>
      <c r="AP209" s="243">
        <f>H209*(1-0.620309050772627)</f>
        <v>0</v>
      </c>
      <c r="AQ209" s="245" t="s">
        <v>567</v>
      </c>
      <c r="AV209" s="243">
        <f t="shared" ref="AV209:AV219" si="192">AW209+AX209</f>
        <v>0</v>
      </c>
      <c r="AW209" s="243">
        <f t="shared" ref="AW209:AW219" si="193">G209*AO209</f>
        <v>0</v>
      </c>
      <c r="AX209" s="243">
        <f t="shared" ref="AX209:AX219" si="194">G209*AP209</f>
        <v>0</v>
      </c>
      <c r="AY209" s="245" t="s">
        <v>588</v>
      </c>
      <c r="AZ209" s="245" t="s">
        <v>746</v>
      </c>
      <c r="BA209" s="232" t="s">
        <v>717</v>
      </c>
      <c r="BC209" s="243">
        <f t="shared" ref="BC209:BC219" si="195">AW209+AX209</f>
        <v>0</v>
      </c>
      <c r="BD209" s="243">
        <f t="shared" ref="BD209:BD219" si="196">H209/(100-BE209)*100</f>
        <v>0</v>
      </c>
      <c r="BE209" s="243">
        <v>0</v>
      </c>
      <c r="BF209" s="243">
        <f>209</f>
        <v>209</v>
      </c>
      <c r="BH209" s="243">
        <f t="shared" ref="BH209:BH219" si="197">G209*AO209</f>
        <v>0</v>
      </c>
      <c r="BI209" s="243">
        <f t="shared" ref="BI209:BI219" si="198">G209*AP209</f>
        <v>0</v>
      </c>
      <c r="BJ209" s="243">
        <f t="shared" ref="BJ209:BJ219" si="199">G209*H209</f>
        <v>0</v>
      </c>
      <c r="BK209" s="243"/>
      <c r="BL209" s="243">
        <v>733</v>
      </c>
      <c r="BW209" s="243">
        <v>21</v>
      </c>
    </row>
    <row r="210" spans="1:75" ht="13.5" customHeight="1">
      <c r="A210" s="207" t="s">
        <v>755</v>
      </c>
      <c r="B210" s="208" t="s">
        <v>714</v>
      </c>
      <c r="C210" s="208" t="s">
        <v>396</v>
      </c>
      <c r="D210" s="268" t="s">
        <v>397</v>
      </c>
      <c r="E210" s="260"/>
      <c r="F210" s="208" t="s">
        <v>68</v>
      </c>
      <c r="G210" s="243">
        <v>6</v>
      </c>
      <c r="H210" s="244">
        <v>0</v>
      </c>
      <c r="I210" s="244">
        <f t="shared" si="180"/>
        <v>0</v>
      </c>
      <c r="K210" s="231"/>
      <c r="Z210" s="243">
        <f t="shared" si="181"/>
        <v>0</v>
      </c>
      <c r="AB210" s="243">
        <f t="shared" si="182"/>
        <v>0</v>
      </c>
      <c r="AC210" s="243">
        <f t="shared" si="183"/>
        <v>0</v>
      </c>
      <c r="AD210" s="243">
        <f t="shared" si="184"/>
        <v>0</v>
      </c>
      <c r="AE210" s="243">
        <f t="shared" si="185"/>
        <v>0</v>
      </c>
      <c r="AF210" s="243">
        <f t="shared" si="186"/>
        <v>0</v>
      </c>
      <c r="AG210" s="243">
        <f t="shared" si="187"/>
        <v>0</v>
      </c>
      <c r="AH210" s="243">
        <f t="shared" si="188"/>
        <v>0</v>
      </c>
      <c r="AI210" s="232" t="s">
        <v>714</v>
      </c>
      <c r="AJ210" s="243">
        <f t="shared" si="189"/>
        <v>0</v>
      </c>
      <c r="AK210" s="243">
        <f t="shared" si="190"/>
        <v>0</v>
      </c>
      <c r="AL210" s="243">
        <f t="shared" si="191"/>
        <v>0</v>
      </c>
      <c r="AN210" s="243">
        <v>21</v>
      </c>
      <c r="AO210" s="243">
        <f>H210*0.259191290824261</f>
        <v>0</v>
      </c>
      <c r="AP210" s="243">
        <f>H210*(1-0.259191290824261)</f>
        <v>0</v>
      </c>
      <c r="AQ210" s="245" t="s">
        <v>567</v>
      </c>
      <c r="AV210" s="243">
        <f t="shared" si="192"/>
        <v>0</v>
      </c>
      <c r="AW210" s="243">
        <f t="shared" si="193"/>
        <v>0</v>
      </c>
      <c r="AX210" s="243">
        <f t="shared" si="194"/>
        <v>0</v>
      </c>
      <c r="AY210" s="245" t="s">
        <v>588</v>
      </c>
      <c r="AZ210" s="245" t="s">
        <v>746</v>
      </c>
      <c r="BA210" s="232" t="s">
        <v>717</v>
      </c>
      <c r="BC210" s="243">
        <f t="shared" si="195"/>
        <v>0</v>
      </c>
      <c r="BD210" s="243">
        <f t="shared" si="196"/>
        <v>0</v>
      </c>
      <c r="BE210" s="243">
        <v>0</v>
      </c>
      <c r="BF210" s="243">
        <f>210</f>
        <v>210</v>
      </c>
      <c r="BH210" s="243">
        <f t="shared" si="197"/>
        <v>0</v>
      </c>
      <c r="BI210" s="243">
        <f t="shared" si="198"/>
        <v>0</v>
      </c>
      <c r="BJ210" s="243">
        <f t="shared" si="199"/>
        <v>0</v>
      </c>
      <c r="BK210" s="243"/>
      <c r="BL210" s="243">
        <v>733</v>
      </c>
      <c r="BW210" s="243">
        <v>21</v>
      </c>
    </row>
    <row r="211" spans="1:75" ht="13.5" customHeight="1">
      <c r="A211" s="207" t="s">
        <v>756</v>
      </c>
      <c r="B211" s="208" t="s">
        <v>714</v>
      </c>
      <c r="C211" s="208" t="s">
        <v>398</v>
      </c>
      <c r="D211" s="268" t="s">
        <v>399</v>
      </c>
      <c r="E211" s="260"/>
      <c r="F211" s="208" t="s">
        <v>68</v>
      </c>
      <c r="G211" s="243">
        <v>6</v>
      </c>
      <c r="H211" s="244">
        <v>0</v>
      </c>
      <c r="I211" s="244">
        <f t="shared" si="180"/>
        <v>0</v>
      </c>
      <c r="K211" s="231"/>
      <c r="Z211" s="243">
        <f t="shared" si="181"/>
        <v>0</v>
      </c>
      <c r="AB211" s="243">
        <f t="shared" si="182"/>
        <v>0</v>
      </c>
      <c r="AC211" s="243">
        <f t="shared" si="183"/>
        <v>0</v>
      </c>
      <c r="AD211" s="243">
        <f t="shared" si="184"/>
        <v>0</v>
      </c>
      <c r="AE211" s="243">
        <f t="shared" si="185"/>
        <v>0</v>
      </c>
      <c r="AF211" s="243">
        <f t="shared" si="186"/>
        <v>0</v>
      </c>
      <c r="AG211" s="243">
        <f t="shared" si="187"/>
        <v>0</v>
      </c>
      <c r="AH211" s="243">
        <f t="shared" si="188"/>
        <v>0</v>
      </c>
      <c r="AI211" s="232" t="s">
        <v>714</v>
      </c>
      <c r="AJ211" s="243">
        <f t="shared" si="189"/>
        <v>0</v>
      </c>
      <c r="AK211" s="243">
        <f t="shared" si="190"/>
        <v>0</v>
      </c>
      <c r="AL211" s="243">
        <f t="shared" si="191"/>
        <v>0</v>
      </c>
      <c r="AN211" s="243">
        <v>21</v>
      </c>
      <c r="AO211" s="243">
        <f>H211*0.345851428571429</f>
        <v>0</v>
      </c>
      <c r="AP211" s="243">
        <f>H211*(1-0.345851428571429)</f>
        <v>0</v>
      </c>
      <c r="AQ211" s="245" t="s">
        <v>567</v>
      </c>
      <c r="AV211" s="243">
        <f t="shared" si="192"/>
        <v>0</v>
      </c>
      <c r="AW211" s="243">
        <f t="shared" si="193"/>
        <v>0</v>
      </c>
      <c r="AX211" s="243">
        <f t="shared" si="194"/>
        <v>0</v>
      </c>
      <c r="AY211" s="245" t="s">
        <v>588</v>
      </c>
      <c r="AZ211" s="245" t="s">
        <v>746</v>
      </c>
      <c r="BA211" s="232" t="s">
        <v>717</v>
      </c>
      <c r="BC211" s="243">
        <f t="shared" si="195"/>
        <v>0</v>
      </c>
      <c r="BD211" s="243">
        <f t="shared" si="196"/>
        <v>0</v>
      </c>
      <c r="BE211" s="243">
        <v>0</v>
      </c>
      <c r="BF211" s="243">
        <f>211</f>
        <v>211</v>
      </c>
      <c r="BH211" s="243">
        <f t="shared" si="197"/>
        <v>0</v>
      </c>
      <c r="BI211" s="243">
        <f t="shared" si="198"/>
        <v>0</v>
      </c>
      <c r="BJ211" s="243">
        <f t="shared" si="199"/>
        <v>0</v>
      </c>
      <c r="BK211" s="243"/>
      <c r="BL211" s="243">
        <v>733</v>
      </c>
      <c r="BW211" s="243">
        <v>21</v>
      </c>
    </row>
    <row r="212" spans="1:75" ht="13.5" customHeight="1">
      <c r="A212" s="207" t="s">
        <v>757</v>
      </c>
      <c r="B212" s="208" t="s">
        <v>714</v>
      </c>
      <c r="C212" s="208" t="s">
        <v>400</v>
      </c>
      <c r="D212" s="268" t="s">
        <v>401</v>
      </c>
      <c r="E212" s="260"/>
      <c r="F212" s="208" t="s">
        <v>63</v>
      </c>
      <c r="G212" s="243">
        <v>16</v>
      </c>
      <c r="H212" s="244">
        <v>0</v>
      </c>
      <c r="I212" s="244">
        <f t="shared" si="180"/>
        <v>0</v>
      </c>
      <c r="K212" s="231"/>
      <c r="Z212" s="243">
        <f t="shared" si="181"/>
        <v>0</v>
      </c>
      <c r="AB212" s="243">
        <f t="shared" si="182"/>
        <v>0</v>
      </c>
      <c r="AC212" s="243">
        <f t="shared" si="183"/>
        <v>0</v>
      </c>
      <c r="AD212" s="243">
        <f t="shared" si="184"/>
        <v>0</v>
      </c>
      <c r="AE212" s="243">
        <f t="shared" si="185"/>
        <v>0</v>
      </c>
      <c r="AF212" s="243">
        <f t="shared" si="186"/>
        <v>0</v>
      </c>
      <c r="AG212" s="243">
        <f t="shared" si="187"/>
        <v>0</v>
      </c>
      <c r="AH212" s="243">
        <f t="shared" si="188"/>
        <v>0</v>
      </c>
      <c r="AI212" s="232" t="s">
        <v>714</v>
      </c>
      <c r="AJ212" s="243">
        <f t="shared" si="189"/>
        <v>0</v>
      </c>
      <c r="AK212" s="243">
        <f t="shared" si="190"/>
        <v>0</v>
      </c>
      <c r="AL212" s="243">
        <f t="shared" si="191"/>
        <v>0</v>
      </c>
      <c r="AN212" s="243">
        <v>21</v>
      </c>
      <c r="AO212" s="243">
        <f>H212*0.212764227642276</f>
        <v>0</v>
      </c>
      <c r="AP212" s="243">
        <f>H212*(1-0.212764227642276)</f>
        <v>0</v>
      </c>
      <c r="AQ212" s="245" t="s">
        <v>567</v>
      </c>
      <c r="AV212" s="243">
        <f t="shared" si="192"/>
        <v>0</v>
      </c>
      <c r="AW212" s="243">
        <f t="shared" si="193"/>
        <v>0</v>
      </c>
      <c r="AX212" s="243">
        <f t="shared" si="194"/>
        <v>0</v>
      </c>
      <c r="AY212" s="245" t="s">
        <v>588</v>
      </c>
      <c r="AZ212" s="245" t="s">
        <v>746</v>
      </c>
      <c r="BA212" s="232" t="s">
        <v>717</v>
      </c>
      <c r="BC212" s="243">
        <f t="shared" si="195"/>
        <v>0</v>
      </c>
      <c r="BD212" s="243">
        <f t="shared" si="196"/>
        <v>0</v>
      </c>
      <c r="BE212" s="243">
        <v>0</v>
      </c>
      <c r="BF212" s="243">
        <f>212</f>
        <v>212</v>
      </c>
      <c r="BH212" s="243">
        <f t="shared" si="197"/>
        <v>0</v>
      </c>
      <c r="BI212" s="243">
        <f t="shared" si="198"/>
        <v>0</v>
      </c>
      <c r="BJ212" s="243">
        <f t="shared" si="199"/>
        <v>0</v>
      </c>
      <c r="BK212" s="243"/>
      <c r="BL212" s="243">
        <v>733</v>
      </c>
      <c r="BW212" s="243">
        <v>21</v>
      </c>
    </row>
    <row r="213" spans="1:75" ht="13.5" customHeight="1">
      <c r="A213" s="207" t="s">
        <v>758</v>
      </c>
      <c r="B213" s="208" t="s">
        <v>714</v>
      </c>
      <c r="C213" s="208" t="s">
        <v>402</v>
      </c>
      <c r="D213" s="268" t="s">
        <v>403</v>
      </c>
      <c r="E213" s="260"/>
      <c r="F213" s="208" t="s">
        <v>63</v>
      </c>
      <c r="G213" s="243">
        <v>6</v>
      </c>
      <c r="H213" s="244">
        <v>0</v>
      </c>
      <c r="I213" s="244">
        <f t="shared" si="180"/>
        <v>0</v>
      </c>
      <c r="K213" s="231"/>
      <c r="Z213" s="243">
        <f t="shared" si="181"/>
        <v>0</v>
      </c>
      <c r="AB213" s="243">
        <f t="shared" si="182"/>
        <v>0</v>
      </c>
      <c r="AC213" s="243">
        <f t="shared" si="183"/>
        <v>0</v>
      </c>
      <c r="AD213" s="243">
        <f t="shared" si="184"/>
        <v>0</v>
      </c>
      <c r="AE213" s="243">
        <f t="shared" si="185"/>
        <v>0</v>
      </c>
      <c r="AF213" s="243">
        <f t="shared" si="186"/>
        <v>0</v>
      </c>
      <c r="AG213" s="243">
        <f t="shared" si="187"/>
        <v>0</v>
      </c>
      <c r="AH213" s="243">
        <f t="shared" si="188"/>
        <v>0</v>
      </c>
      <c r="AI213" s="232" t="s">
        <v>714</v>
      </c>
      <c r="AJ213" s="243">
        <f t="shared" si="189"/>
        <v>0</v>
      </c>
      <c r="AK213" s="243">
        <f t="shared" si="190"/>
        <v>0</v>
      </c>
      <c r="AL213" s="243">
        <f t="shared" si="191"/>
        <v>0</v>
      </c>
      <c r="AN213" s="243">
        <v>21</v>
      </c>
      <c r="AO213" s="243">
        <f>H213*0.58344860710855</f>
        <v>0</v>
      </c>
      <c r="AP213" s="243">
        <f>H213*(1-0.58344860710855)</f>
        <v>0</v>
      </c>
      <c r="AQ213" s="245" t="s">
        <v>567</v>
      </c>
      <c r="AV213" s="243">
        <f t="shared" si="192"/>
        <v>0</v>
      </c>
      <c r="AW213" s="243">
        <f t="shared" si="193"/>
        <v>0</v>
      </c>
      <c r="AX213" s="243">
        <f t="shared" si="194"/>
        <v>0</v>
      </c>
      <c r="AY213" s="245" t="s">
        <v>588</v>
      </c>
      <c r="AZ213" s="245" t="s">
        <v>746</v>
      </c>
      <c r="BA213" s="232" t="s">
        <v>717</v>
      </c>
      <c r="BC213" s="243">
        <f t="shared" si="195"/>
        <v>0</v>
      </c>
      <c r="BD213" s="243">
        <f t="shared" si="196"/>
        <v>0</v>
      </c>
      <c r="BE213" s="243">
        <v>0</v>
      </c>
      <c r="BF213" s="243">
        <f>213</f>
        <v>213</v>
      </c>
      <c r="BH213" s="243">
        <f t="shared" si="197"/>
        <v>0</v>
      </c>
      <c r="BI213" s="243">
        <f t="shared" si="198"/>
        <v>0</v>
      </c>
      <c r="BJ213" s="243">
        <f t="shared" si="199"/>
        <v>0</v>
      </c>
      <c r="BK213" s="243"/>
      <c r="BL213" s="243">
        <v>733</v>
      </c>
      <c r="BW213" s="243">
        <v>21</v>
      </c>
    </row>
    <row r="214" spans="1:75" ht="13.5" customHeight="1">
      <c r="A214" s="207" t="s">
        <v>759</v>
      </c>
      <c r="B214" s="208" t="s">
        <v>714</v>
      </c>
      <c r="C214" s="208" t="s">
        <v>404</v>
      </c>
      <c r="D214" s="268" t="s">
        <v>405</v>
      </c>
      <c r="E214" s="260"/>
      <c r="F214" s="208" t="s">
        <v>63</v>
      </c>
      <c r="G214" s="243">
        <v>10</v>
      </c>
      <c r="H214" s="244">
        <v>0</v>
      </c>
      <c r="I214" s="244">
        <f t="shared" si="180"/>
        <v>0</v>
      </c>
      <c r="K214" s="231"/>
      <c r="Z214" s="243">
        <f t="shared" si="181"/>
        <v>0</v>
      </c>
      <c r="AB214" s="243">
        <f t="shared" si="182"/>
        <v>0</v>
      </c>
      <c r="AC214" s="243">
        <f t="shared" si="183"/>
        <v>0</v>
      </c>
      <c r="AD214" s="243">
        <f t="shared" si="184"/>
        <v>0</v>
      </c>
      <c r="AE214" s="243">
        <f t="shared" si="185"/>
        <v>0</v>
      </c>
      <c r="AF214" s="243">
        <f t="shared" si="186"/>
        <v>0</v>
      </c>
      <c r="AG214" s="243">
        <f t="shared" si="187"/>
        <v>0</v>
      </c>
      <c r="AH214" s="243">
        <f t="shared" si="188"/>
        <v>0</v>
      </c>
      <c r="AI214" s="232" t="s">
        <v>714</v>
      </c>
      <c r="AJ214" s="243">
        <f t="shared" si="189"/>
        <v>0</v>
      </c>
      <c r="AK214" s="243">
        <f t="shared" si="190"/>
        <v>0</v>
      </c>
      <c r="AL214" s="243">
        <f t="shared" si="191"/>
        <v>0</v>
      </c>
      <c r="AN214" s="243">
        <v>21</v>
      </c>
      <c r="AO214" s="243">
        <f>H214*0.144233333333333</f>
        <v>0</v>
      </c>
      <c r="AP214" s="243">
        <f>H214*(1-0.144233333333333)</f>
        <v>0</v>
      </c>
      <c r="AQ214" s="245" t="s">
        <v>567</v>
      </c>
      <c r="AV214" s="243">
        <f t="shared" si="192"/>
        <v>0</v>
      </c>
      <c r="AW214" s="243">
        <f t="shared" si="193"/>
        <v>0</v>
      </c>
      <c r="AX214" s="243">
        <f t="shared" si="194"/>
        <v>0</v>
      </c>
      <c r="AY214" s="245" t="s">
        <v>588</v>
      </c>
      <c r="AZ214" s="245" t="s">
        <v>746</v>
      </c>
      <c r="BA214" s="232" t="s">
        <v>717</v>
      </c>
      <c r="BC214" s="243">
        <f t="shared" si="195"/>
        <v>0</v>
      </c>
      <c r="BD214" s="243">
        <f t="shared" si="196"/>
        <v>0</v>
      </c>
      <c r="BE214" s="243">
        <v>0</v>
      </c>
      <c r="BF214" s="243">
        <f>214</f>
        <v>214</v>
      </c>
      <c r="BH214" s="243">
        <f t="shared" si="197"/>
        <v>0</v>
      </c>
      <c r="BI214" s="243">
        <f t="shared" si="198"/>
        <v>0</v>
      </c>
      <c r="BJ214" s="243">
        <f t="shared" si="199"/>
        <v>0</v>
      </c>
      <c r="BK214" s="243"/>
      <c r="BL214" s="243">
        <v>733</v>
      </c>
      <c r="BW214" s="243">
        <v>21</v>
      </c>
    </row>
    <row r="215" spans="1:75" ht="13.5" customHeight="1">
      <c r="A215" s="207" t="s">
        <v>760</v>
      </c>
      <c r="B215" s="208" t="s">
        <v>714</v>
      </c>
      <c r="C215" s="208" t="s">
        <v>406</v>
      </c>
      <c r="D215" s="268" t="s">
        <v>407</v>
      </c>
      <c r="E215" s="260"/>
      <c r="F215" s="208" t="s">
        <v>63</v>
      </c>
      <c r="G215" s="243">
        <v>0.5</v>
      </c>
      <c r="H215" s="244">
        <v>0</v>
      </c>
      <c r="I215" s="244">
        <f t="shared" si="180"/>
        <v>0</v>
      </c>
      <c r="K215" s="231"/>
      <c r="Z215" s="243">
        <f t="shared" si="181"/>
        <v>0</v>
      </c>
      <c r="AB215" s="243">
        <f t="shared" si="182"/>
        <v>0</v>
      </c>
      <c r="AC215" s="243">
        <f t="shared" si="183"/>
        <v>0</v>
      </c>
      <c r="AD215" s="243">
        <f t="shared" si="184"/>
        <v>0</v>
      </c>
      <c r="AE215" s="243">
        <f t="shared" si="185"/>
        <v>0</v>
      </c>
      <c r="AF215" s="243">
        <f t="shared" si="186"/>
        <v>0</v>
      </c>
      <c r="AG215" s="243">
        <f t="shared" si="187"/>
        <v>0</v>
      </c>
      <c r="AH215" s="243">
        <f t="shared" si="188"/>
        <v>0</v>
      </c>
      <c r="AI215" s="232" t="s">
        <v>714</v>
      </c>
      <c r="AJ215" s="243">
        <f t="shared" si="189"/>
        <v>0</v>
      </c>
      <c r="AK215" s="243">
        <f t="shared" si="190"/>
        <v>0</v>
      </c>
      <c r="AL215" s="243">
        <f t="shared" si="191"/>
        <v>0</v>
      </c>
      <c r="AN215" s="243">
        <v>21</v>
      </c>
      <c r="AO215" s="243">
        <f>H215*0.0775828460038986</f>
        <v>0</v>
      </c>
      <c r="AP215" s="243">
        <f>H215*(1-0.0775828460038986)</f>
        <v>0</v>
      </c>
      <c r="AQ215" s="245" t="s">
        <v>567</v>
      </c>
      <c r="AV215" s="243">
        <f t="shared" si="192"/>
        <v>0</v>
      </c>
      <c r="AW215" s="243">
        <f t="shared" si="193"/>
        <v>0</v>
      </c>
      <c r="AX215" s="243">
        <f t="shared" si="194"/>
        <v>0</v>
      </c>
      <c r="AY215" s="245" t="s">
        <v>588</v>
      </c>
      <c r="AZ215" s="245" t="s">
        <v>746</v>
      </c>
      <c r="BA215" s="232" t="s">
        <v>717</v>
      </c>
      <c r="BC215" s="243">
        <f t="shared" si="195"/>
        <v>0</v>
      </c>
      <c r="BD215" s="243">
        <f t="shared" si="196"/>
        <v>0</v>
      </c>
      <c r="BE215" s="243">
        <v>0</v>
      </c>
      <c r="BF215" s="243">
        <f>215</f>
        <v>215</v>
      </c>
      <c r="BH215" s="243">
        <f t="shared" si="197"/>
        <v>0</v>
      </c>
      <c r="BI215" s="243">
        <f t="shared" si="198"/>
        <v>0</v>
      </c>
      <c r="BJ215" s="243">
        <f t="shared" si="199"/>
        <v>0</v>
      </c>
      <c r="BK215" s="243"/>
      <c r="BL215" s="243">
        <v>733</v>
      </c>
      <c r="BW215" s="243">
        <v>21</v>
      </c>
    </row>
    <row r="216" spans="1:75" ht="13.5" customHeight="1">
      <c r="A216" s="207" t="s">
        <v>761</v>
      </c>
      <c r="B216" s="208" t="s">
        <v>714</v>
      </c>
      <c r="C216" s="208" t="s">
        <v>189</v>
      </c>
      <c r="D216" s="268" t="s">
        <v>190</v>
      </c>
      <c r="E216" s="260"/>
      <c r="F216" s="208" t="s">
        <v>63</v>
      </c>
      <c r="G216" s="243">
        <v>16.5</v>
      </c>
      <c r="H216" s="244">
        <v>0</v>
      </c>
      <c r="I216" s="244">
        <f t="shared" si="180"/>
        <v>0</v>
      </c>
      <c r="K216" s="231"/>
      <c r="Z216" s="243">
        <f t="shared" si="181"/>
        <v>0</v>
      </c>
      <c r="AB216" s="243">
        <f t="shared" si="182"/>
        <v>0</v>
      </c>
      <c r="AC216" s="243">
        <f t="shared" si="183"/>
        <v>0</v>
      </c>
      <c r="AD216" s="243">
        <f t="shared" si="184"/>
        <v>0</v>
      </c>
      <c r="AE216" s="243">
        <f t="shared" si="185"/>
        <v>0</v>
      </c>
      <c r="AF216" s="243">
        <f t="shared" si="186"/>
        <v>0</v>
      </c>
      <c r="AG216" s="243">
        <f t="shared" si="187"/>
        <v>0</v>
      </c>
      <c r="AH216" s="243">
        <f t="shared" si="188"/>
        <v>0</v>
      </c>
      <c r="AI216" s="232" t="s">
        <v>714</v>
      </c>
      <c r="AJ216" s="243">
        <f t="shared" si="189"/>
        <v>0</v>
      </c>
      <c r="AK216" s="243">
        <f t="shared" si="190"/>
        <v>0</v>
      </c>
      <c r="AL216" s="243">
        <f t="shared" si="191"/>
        <v>0</v>
      </c>
      <c r="AN216" s="243">
        <v>21</v>
      </c>
      <c r="AO216" s="243">
        <f>H216*0</f>
        <v>0</v>
      </c>
      <c r="AP216" s="243">
        <f>H216*(1-0)</f>
        <v>0</v>
      </c>
      <c r="AQ216" s="245" t="s">
        <v>567</v>
      </c>
      <c r="AV216" s="243">
        <f t="shared" si="192"/>
        <v>0</v>
      </c>
      <c r="AW216" s="243">
        <f t="shared" si="193"/>
        <v>0</v>
      </c>
      <c r="AX216" s="243">
        <f t="shared" si="194"/>
        <v>0</v>
      </c>
      <c r="AY216" s="245" t="s">
        <v>588</v>
      </c>
      <c r="AZ216" s="245" t="s">
        <v>746</v>
      </c>
      <c r="BA216" s="232" t="s">
        <v>717</v>
      </c>
      <c r="BC216" s="243">
        <f t="shared" si="195"/>
        <v>0</v>
      </c>
      <c r="BD216" s="243">
        <f t="shared" si="196"/>
        <v>0</v>
      </c>
      <c r="BE216" s="243">
        <v>0</v>
      </c>
      <c r="BF216" s="243">
        <f>216</f>
        <v>216</v>
      </c>
      <c r="BH216" s="243">
        <f t="shared" si="197"/>
        <v>0</v>
      </c>
      <c r="BI216" s="243">
        <f t="shared" si="198"/>
        <v>0</v>
      </c>
      <c r="BJ216" s="243">
        <f t="shared" si="199"/>
        <v>0</v>
      </c>
      <c r="BK216" s="243"/>
      <c r="BL216" s="243">
        <v>733</v>
      </c>
      <c r="BW216" s="243">
        <v>21</v>
      </c>
    </row>
    <row r="217" spans="1:75" ht="13.5" customHeight="1">
      <c r="A217" s="207" t="s">
        <v>762</v>
      </c>
      <c r="B217" s="208" t="s">
        <v>714</v>
      </c>
      <c r="C217" s="208" t="s">
        <v>408</v>
      </c>
      <c r="D217" s="268" t="s">
        <v>1351</v>
      </c>
      <c r="E217" s="260"/>
      <c r="F217" s="208" t="s">
        <v>63</v>
      </c>
      <c r="G217" s="243">
        <v>6</v>
      </c>
      <c r="H217" s="244">
        <v>0</v>
      </c>
      <c r="I217" s="244">
        <f t="shared" si="180"/>
        <v>0</v>
      </c>
      <c r="K217" s="231"/>
      <c r="Z217" s="243">
        <f t="shared" si="181"/>
        <v>0</v>
      </c>
      <c r="AB217" s="243">
        <f t="shared" si="182"/>
        <v>0</v>
      </c>
      <c r="AC217" s="243">
        <f t="shared" si="183"/>
        <v>0</v>
      </c>
      <c r="AD217" s="243">
        <f t="shared" si="184"/>
        <v>0</v>
      </c>
      <c r="AE217" s="243">
        <f t="shared" si="185"/>
        <v>0</v>
      </c>
      <c r="AF217" s="243">
        <f t="shared" si="186"/>
        <v>0</v>
      </c>
      <c r="AG217" s="243">
        <f t="shared" si="187"/>
        <v>0</v>
      </c>
      <c r="AH217" s="243">
        <f t="shared" si="188"/>
        <v>0</v>
      </c>
      <c r="AI217" s="232" t="s">
        <v>714</v>
      </c>
      <c r="AJ217" s="243">
        <f t="shared" si="189"/>
        <v>0</v>
      </c>
      <c r="AK217" s="243">
        <f t="shared" si="190"/>
        <v>0</v>
      </c>
      <c r="AL217" s="243">
        <f t="shared" si="191"/>
        <v>0</v>
      </c>
      <c r="AN217" s="243">
        <v>21</v>
      </c>
      <c r="AO217" s="243">
        <f>H217*1</f>
        <v>0</v>
      </c>
      <c r="AP217" s="243">
        <f>H217*(1-1)</f>
        <v>0</v>
      </c>
      <c r="AQ217" s="245" t="s">
        <v>567</v>
      </c>
      <c r="AV217" s="243">
        <f t="shared" si="192"/>
        <v>0</v>
      </c>
      <c r="AW217" s="243">
        <f t="shared" si="193"/>
        <v>0</v>
      </c>
      <c r="AX217" s="243">
        <f t="shared" si="194"/>
        <v>0</v>
      </c>
      <c r="AY217" s="245" t="s">
        <v>588</v>
      </c>
      <c r="AZ217" s="245" t="s">
        <v>746</v>
      </c>
      <c r="BA217" s="232" t="s">
        <v>717</v>
      </c>
      <c r="BC217" s="243">
        <f t="shared" si="195"/>
        <v>0</v>
      </c>
      <c r="BD217" s="243">
        <f t="shared" si="196"/>
        <v>0</v>
      </c>
      <c r="BE217" s="243">
        <v>0</v>
      </c>
      <c r="BF217" s="243">
        <f>217</f>
        <v>217</v>
      </c>
      <c r="BH217" s="243">
        <f t="shared" si="197"/>
        <v>0</v>
      </c>
      <c r="BI217" s="243">
        <f t="shared" si="198"/>
        <v>0</v>
      </c>
      <c r="BJ217" s="243">
        <f t="shared" si="199"/>
        <v>0</v>
      </c>
      <c r="BK217" s="243"/>
      <c r="BL217" s="243">
        <v>733</v>
      </c>
      <c r="BW217" s="243">
        <v>21</v>
      </c>
    </row>
    <row r="218" spans="1:75" ht="13.5" customHeight="1">
      <c r="A218" s="207" t="s">
        <v>763</v>
      </c>
      <c r="B218" s="208" t="s">
        <v>714</v>
      </c>
      <c r="C218" s="208" t="s">
        <v>410</v>
      </c>
      <c r="D218" s="268" t="s">
        <v>1352</v>
      </c>
      <c r="E218" s="260"/>
      <c r="F218" s="208" t="s">
        <v>63</v>
      </c>
      <c r="G218" s="243">
        <v>10</v>
      </c>
      <c r="H218" s="244">
        <v>0</v>
      </c>
      <c r="I218" s="244">
        <f t="shared" si="180"/>
        <v>0</v>
      </c>
      <c r="K218" s="231"/>
      <c r="Z218" s="243">
        <f t="shared" si="181"/>
        <v>0</v>
      </c>
      <c r="AB218" s="243">
        <f t="shared" si="182"/>
        <v>0</v>
      </c>
      <c r="AC218" s="243">
        <f t="shared" si="183"/>
        <v>0</v>
      </c>
      <c r="AD218" s="243">
        <f t="shared" si="184"/>
        <v>0</v>
      </c>
      <c r="AE218" s="243">
        <f t="shared" si="185"/>
        <v>0</v>
      </c>
      <c r="AF218" s="243">
        <f t="shared" si="186"/>
        <v>0</v>
      </c>
      <c r="AG218" s="243">
        <f t="shared" si="187"/>
        <v>0</v>
      </c>
      <c r="AH218" s="243">
        <f t="shared" si="188"/>
        <v>0</v>
      </c>
      <c r="AI218" s="232" t="s">
        <v>714</v>
      </c>
      <c r="AJ218" s="243">
        <f t="shared" si="189"/>
        <v>0</v>
      </c>
      <c r="AK218" s="243">
        <f t="shared" si="190"/>
        <v>0</v>
      </c>
      <c r="AL218" s="243">
        <f t="shared" si="191"/>
        <v>0</v>
      </c>
      <c r="AN218" s="243">
        <v>21</v>
      </c>
      <c r="AO218" s="243">
        <f>H218*1</f>
        <v>0</v>
      </c>
      <c r="AP218" s="243">
        <f>H218*(1-1)</f>
        <v>0</v>
      </c>
      <c r="AQ218" s="245" t="s">
        <v>567</v>
      </c>
      <c r="AV218" s="243">
        <f t="shared" si="192"/>
        <v>0</v>
      </c>
      <c r="AW218" s="243">
        <f t="shared" si="193"/>
        <v>0</v>
      </c>
      <c r="AX218" s="243">
        <f t="shared" si="194"/>
        <v>0</v>
      </c>
      <c r="AY218" s="245" t="s">
        <v>588</v>
      </c>
      <c r="AZ218" s="245" t="s">
        <v>746</v>
      </c>
      <c r="BA218" s="232" t="s">
        <v>717</v>
      </c>
      <c r="BC218" s="243">
        <f t="shared" si="195"/>
        <v>0</v>
      </c>
      <c r="BD218" s="243">
        <f t="shared" si="196"/>
        <v>0</v>
      </c>
      <c r="BE218" s="243">
        <v>0</v>
      </c>
      <c r="BF218" s="243">
        <f>218</f>
        <v>218</v>
      </c>
      <c r="BH218" s="243">
        <f t="shared" si="197"/>
        <v>0</v>
      </c>
      <c r="BI218" s="243">
        <f t="shared" si="198"/>
        <v>0</v>
      </c>
      <c r="BJ218" s="243">
        <f t="shared" si="199"/>
        <v>0</v>
      </c>
      <c r="BK218" s="243"/>
      <c r="BL218" s="243">
        <v>733</v>
      </c>
      <c r="BW218" s="243">
        <v>21</v>
      </c>
    </row>
    <row r="219" spans="1:75" ht="13.5" customHeight="1">
      <c r="A219" s="207" t="s">
        <v>764</v>
      </c>
      <c r="B219" s="208" t="s">
        <v>714</v>
      </c>
      <c r="C219" s="208" t="s">
        <v>412</v>
      </c>
      <c r="D219" s="268" t="s">
        <v>1353</v>
      </c>
      <c r="E219" s="260"/>
      <c r="F219" s="208" t="s">
        <v>63</v>
      </c>
      <c r="G219" s="243">
        <v>0.5</v>
      </c>
      <c r="H219" s="244">
        <v>0</v>
      </c>
      <c r="I219" s="244">
        <f t="shared" si="180"/>
        <v>0</v>
      </c>
      <c r="K219" s="231"/>
      <c r="Z219" s="243">
        <f t="shared" si="181"/>
        <v>0</v>
      </c>
      <c r="AB219" s="243">
        <f t="shared" si="182"/>
        <v>0</v>
      </c>
      <c r="AC219" s="243">
        <f t="shared" si="183"/>
        <v>0</v>
      </c>
      <c r="AD219" s="243">
        <f t="shared" si="184"/>
        <v>0</v>
      </c>
      <c r="AE219" s="243">
        <f t="shared" si="185"/>
        <v>0</v>
      </c>
      <c r="AF219" s="243">
        <f t="shared" si="186"/>
        <v>0</v>
      </c>
      <c r="AG219" s="243">
        <f t="shared" si="187"/>
        <v>0</v>
      </c>
      <c r="AH219" s="243">
        <f t="shared" si="188"/>
        <v>0</v>
      </c>
      <c r="AI219" s="232" t="s">
        <v>714</v>
      </c>
      <c r="AJ219" s="243">
        <f t="shared" si="189"/>
        <v>0</v>
      </c>
      <c r="AK219" s="243">
        <f t="shared" si="190"/>
        <v>0</v>
      </c>
      <c r="AL219" s="243">
        <f t="shared" si="191"/>
        <v>0</v>
      </c>
      <c r="AN219" s="243">
        <v>21</v>
      </c>
      <c r="AO219" s="243">
        <f>H219*1</f>
        <v>0</v>
      </c>
      <c r="AP219" s="243">
        <f>H219*(1-1)</f>
        <v>0</v>
      </c>
      <c r="AQ219" s="245" t="s">
        <v>567</v>
      </c>
      <c r="AV219" s="243">
        <f t="shared" si="192"/>
        <v>0</v>
      </c>
      <c r="AW219" s="243">
        <f t="shared" si="193"/>
        <v>0</v>
      </c>
      <c r="AX219" s="243">
        <f t="shared" si="194"/>
        <v>0</v>
      </c>
      <c r="AY219" s="245" t="s">
        <v>588</v>
      </c>
      <c r="AZ219" s="245" t="s">
        <v>746</v>
      </c>
      <c r="BA219" s="232" t="s">
        <v>717</v>
      </c>
      <c r="BC219" s="243">
        <f t="shared" si="195"/>
        <v>0</v>
      </c>
      <c r="BD219" s="243">
        <f t="shared" si="196"/>
        <v>0</v>
      </c>
      <c r="BE219" s="243">
        <v>0</v>
      </c>
      <c r="BF219" s="243">
        <f>219</f>
        <v>219</v>
      </c>
      <c r="BH219" s="243">
        <f t="shared" si="197"/>
        <v>0</v>
      </c>
      <c r="BI219" s="243">
        <f t="shared" si="198"/>
        <v>0</v>
      </c>
      <c r="BJ219" s="243">
        <f t="shared" si="199"/>
        <v>0</v>
      </c>
      <c r="BK219" s="243"/>
      <c r="BL219" s="243">
        <v>733</v>
      </c>
      <c r="BW219" s="243">
        <v>21</v>
      </c>
    </row>
    <row r="220" spans="1:75" ht="15" customHeight="1">
      <c r="A220" s="238" t="s">
        <v>21</v>
      </c>
      <c r="B220" s="239" t="s">
        <v>714</v>
      </c>
      <c r="C220" s="239" t="s">
        <v>95</v>
      </c>
      <c r="D220" s="309" t="s">
        <v>96</v>
      </c>
      <c r="E220" s="310"/>
      <c r="F220" s="240" t="s">
        <v>20</v>
      </c>
      <c r="G220" s="240" t="s">
        <v>20</v>
      </c>
      <c r="H220" s="241" t="s">
        <v>20</v>
      </c>
      <c r="I220" s="242">
        <f>SUM(I221:I235)</f>
        <v>0</v>
      </c>
      <c r="K220" s="231"/>
      <c r="AI220" s="232" t="s">
        <v>714</v>
      </c>
      <c r="AS220" s="225">
        <f>SUM(AJ221:AJ235)</f>
        <v>0</v>
      </c>
      <c r="AT220" s="225">
        <f>SUM(AK221:AK235)</f>
        <v>0</v>
      </c>
      <c r="AU220" s="225">
        <f>SUM(AL221:AL235)</f>
        <v>0</v>
      </c>
    </row>
    <row r="221" spans="1:75" ht="13.5" customHeight="1">
      <c r="A221" s="207" t="s">
        <v>765</v>
      </c>
      <c r="B221" s="208" t="s">
        <v>714</v>
      </c>
      <c r="C221" s="208" t="s">
        <v>99</v>
      </c>
      <c r="D221" s="268" t="s">
        <v>100</v>
      </c>
      <c r="E221" s="260"/>
      <c r="F221" s="208" t="s">
        <v>68</v>
      </c>
      <c r="G221" s="243">
        <v>8</v>
      </c>
      <c r="H221" s="244">
        <v>0</v>
      </c>
      <c r="I221" s="244">
        <f t="shared" ref="I221:I235" si="200">G221*H221</f>
        <v>0</v>
      </c>
      <c r="K221" s="231"/>
      <c r="Z221" s="243">
        <f t="shared" ref="Z221:Z235" si="201">IF(AQ221="5",BJ221,0)</f>
        <v>0</v>
      </c>
      <c r="AB221" s="243">
        <f t="shared" ref="AB221:AB235" si="202">IF(AQ221="1",BH221,0)</f>
        <v>0</v>
      </c>
      <c r="AC221" s="243">
        <f t="shared" ref="AC221:AC235" si="203">IF(AQ221="1",BI221,0)</f>
        <v>0</v>
      </c>
      <c r="AD221" s="243">
        <f t="shared" ref="AD221:AD235" si="204">IF(AQ221="7",BH221,0)</f>
        <v>0</v>
      </c>
      <c r="AE221" s="243">
        <f t="shared" ref="AE221:AE235" si="205">IF(AQ221="7",BI221,0)</f>
        <v>0</v>
      </c>
      <c r="AF221" s="243">
        <f t="shared" ref="AF221:AF235" si="206">IF(AQ221="2",BH221,0)</f>
        <v>0</v>
      </c>
      <c r="AG221" s="243">
        <f t="shared" ref="AG221:AG235" si="207">IF(AQ221="2",BI221,0)</f>
        <v>0</v>
      </c>
      <c r="AH221" s="243">
        <f t="shared" ref="AH221:AH235" si="208">IF(AQ221="0",BJ221,0)</f>
        <v>0</v>
      </c>
      <c r="AI221" s="232" t="s">
        <v>714</v>
      </c>
      <c r="AJ221" s="243">
        <f t="shared" ref="AJ221:AJ235" si="209">IF(AN221=0,I221,0)</f>
        <v>0</v>
      </c>
      <c r="AK221" s="243">
        <f t="shared" ref="AK221:AK235" si="210">IF(AN221=12,I221,0)</f>
        <v>0</v>
      </c>
      <c r="AL221" s="243">
        <f t="shared" ref="AL221:AL235" si="211">IF(AN221=21,I221,0)</f>
        <v>0</v>
      </c>
      <c r="AN221" s="243">
        <v>21</v>
      </c>
      <c r="AO221" s="243">
        <f>H221*0.289347179920003</f>
        <v>0</v>
      </c>
      <c r="AP221" s="243">
        <f>H221*(1-0.289347179920003)</f>
        <v>0</v>
      </c>
      <c r="AQ221" s="245" t="s">
        <v>567</v>
      </c>
      <c r="AV221" s="243">
        <f t="shared" ref="AV221:AV235" si="212">AW221+AX221</f>
        <v>0</v>
      </c>
      <c r="AW221" s="243">
        <f t="shared" ref="AW221:AW235" si="213">G221*AO221</f>
        <v>0</v>
      </c>
      <c r="AX221" s="243">
        <f t="shared" ref="AX221:AX235" si="214">G221*AP221</f>
        <v>0</v>
      </c>
      <c r="AY221" s="245" t="s">
        <v>593</v>
      </c>
      <c r="AZ221" s="245" t="s">
        <v>746</v>
      </c>
      <c r="BA221" s="232" t="s">
        <v>717</v>
      </c>
      <c r="BC221" s="243">
        <f t="shared" ref="BC221:BC235" si="215">AW221+AX221</f>
        <v>0</v>
      </c>
      <c r="BD221" s="243">
        <f t="shared" ref="BD221:BD235" si="216">H221/(100-BE221)*100</f>
        <v>0</v>
      </c>
      <c r="BE221" s="243">
        <v>0</v>
      </c>
      <c r="BF221" s="243">
        <f>221</f>
        <v>221</v>
      </c>
      <c r="BH221" s="243">
        <f t="shared" ref="BH221:BH235" si="217">G221*AO221</f>
        <v>0</v>
      </c>
      <c r="BI221" s="243">
        <f t="shared" ref="BI221:BI235" si="218">G221*AP221</f>
        <v>0</v>
      </c>
      <c r="BJ221" s="243">
        <f t="shared" ref="BJ221:BJ235" si="219">G221*H221</f>
        <v>0</v>
      </c>
      <c r="BK221" s="243"/>
      <c r="BL221" s="243">
        <v>734</v>
      </c>
      <c r="BW221" s="243">
        <v>21</v>
      </c>
    </row>
    <row r="222" spans="1:75" ht="13.5" customHeight="1">
      <c r="A222" s="207" t="s">
        <v>766</v>
      </c>
      <c r="B222" s="208" t="s">
        <v>714</v>
      </c>
      <c r="C222" s="208" t="s">
        <v>97</v>
      </c>
      <c r="D222" s="268" t="s">
        <v>98</v>
      </c>
      <c r="E222" s="260"/>
      <c r="F222" s="208" t="s">
        <v>68</v>
      </c>
      <c r="G222" s="243">
        <v>6</v>
      </c>
      <c r="H222" s="244">
        <v>0</v>
      </c>
      <c r="I222" s="244">
        <f t="shared" si="200"/>
        <v>0</v>
      </c>
      <c r="K222" s="231"/>
      <c r="Z222" s="243">
        <f t="shared" si="201"/>
        <v>0</v>
      </c>
      <c r="AB222" s="243">
        <f t="shared" si="202"/>
        <v>0</v>
      </c>
      <c r="AC222" s="243">
        <f t="shared" si="203"/>
        <v>0</v>
      </c>
      <c r="AD222" s="243">
        <f t="shared" si="204"/>
        <v>0</v>
      </c>
      <c r="AE222" s="243">
        <f t="shared" si="205"/>
        <v>0</v>
      </c>
      <c r="AF222" s="243">
        <f t="shared" si="206"/>
        <v>0</v>
      </c>
      <c r="AG222" s="243">
        <f t="shared" si="207"/>
        <v>0</v>
      </c>
      <c r="AH222" s="243">
        <f t="shared" si="208"/>
        <v>0</v>
      </c>
      <c r="AI222" s="232" t="s">
        <v>714</v>
      </c>
      <c r="AJ222" s="243">
        <f t="shared" si="209"/>
        <v>0</v>
      </c>
      <c r="AK222" s="243">
        <f t="shared" si="210"/>
        <v>0</v>
      </c>
      <c r="AL222" s="243">
        <f t="shared" si="211"/>
        <v>0</v>
      </c>
      <c r="AN222" s="243">
        <v>21</v>
      </c>
      <c r="AO222" s="243">
        <f>H222*0.0054421768707483</f>
        <v>0</v>
      </c>
      <c r="AP222" s="243">
        <f>H222*(1-0.0054421768707483)</f>
        <v>0</v>
      </c>
      <c r="AQ222" s="245" t="s">
        <v>567</v>
      </c>
      <c r="AV222" s="243">
        <f t="shared" si="212"/>
        <v>0</v>
      </c>
      <c r="AW222" s="243">
        <f t="shared" si="213"/>
        <v>0</v>
      </c>
      <c r="AX222" s="243">
        <f t="shared" si="214"/>
        <v>0</v>
      </c>
      <c r="AY222" s="245" t="s">
        <v>593</v>
      </c>
      <c r="AZ222" s="245" t="s">
        <v>746</v>
      </c>
      <c r="BA222" s="232" t="s">
        <v>717</v>
      </c>
      <c r="BC222" s="243">
        <f t="shared" si="215"/>
        <v>0</v>
      </c>
      <c r="BD222" s="243">
        <f t="shared" si="216"/>
        <v>0</v>
      </c>
      <c r="BE222" s="243">
        <v>0</v>
      </c>
      <c r="BF222" s="243">
        <f>222</f>
        <v>222</v>
      </c>
      <c r="BH222" s="243">
        <f t="shared" si="217"/>
        <v>0</v>
      </c>
      <c r="BI222" s="243">
        <f t="shared" si="218"/>
        <v>0</v>
      </c>
      <c r="BJ222" s="243">
        <f t="shared" si="219"/>
        <v>0</v>
      </c>
      <c r="BK222" s="243"/>
      <c r="BL222" s="243">
        <v>734</v>
      </c>
      <c r="BW222" s="243">
        <v>21</v>
      </c>
    </row>
    <row r="223" spans="1:75" ht="13.5" customHeight="1">
      <c r="A223" s="207" t="s">
        <v>767</v>
      </c>
      <c r="B223" s="208" t="s">
        <v>714</v>
      </c>
      <c r="C223" s="208" t="s">
        <v>414</v>
      </c>
      <c r="D223" s="268" t="s">
        <v>1354</v>
      </c>
      <c r="E223" s="260"/>
      <c r="F223" s="208" t="s">
        <v>68</v>
      </c>
      <c r="G223" s="243">
        <v>2</v>
      </c>
      <c r="H223" s="244">
        <v>0</v>
      </c>
      <c r="I223" s="244">
        <f t="shared" si="200"/>
        <v>0</v>
      </c>
      <c r="K223" s="231"/>
      <c r="Z223" s="243">
        <f t="shared" si="201"/>
        <v>0</v>
      </c>
      <c r="AB223" s="243">
        <f t="shared" si="202"/>
        <v>0</v>
      </c>
      <c r="AC223" s="243">
        <f t="shared" si="203"/>
        <v>0</v>
      </c>
      <c r="AD223" s="243">
        <f t="shared" si="204"/>
        <v>0</v>
      </c>
      <c r="AE223" s="243">
        <f t="shared" si="205"/>
        <v>0</v>
      </c>
      <c r="AF223" s="243">
        <f t="shared" si="206"/>
        <v>0</v>
      </c>
      <c r="AG223" s="243">
        <f t="shared" si="207"/>
        <v>0</v>
      </c>
      <c r="AH223" s="243">
        <f t="shared" si="208"/>
        <v>0</v>
      </c>
      <c r="AI223" s="232" t="s">
        <v>714</v>
      </c>
      <c r="AJ223" s="243">
        <f t="shared" si="209"/>
        <v>0</v>
      </c>
      <c r="AK223" s="243">
        <f t="shared" si="210"/>
        <v>0</v>
      </c>
      <c r="AL223" s="243">
        <f t="shared" si="211"/>
        <v>0</v>
      </c>
      <c r="AN223" s="243">
        <v>21</v>
      </c>
      <c r="AO223" s="243">
        <f>H223*0.925843353557639</f>
        <v>0</v>
      </c>
      <c r="AP223" s="243">
        <f>H223*(1-0.925843353557639)</f>
        <v>0</v>
      </c>
      <c r="AQ223" s="245" t="s">
        <v>567</v>
      </c>
      <c r="AV223" s="243">
        <f t="shared" si="212"/>
        <v>0</v>
      </c>
      <c r="AW223" s="243">
        <f t="shared" si="213"/>
        <v>0</v>
      </c>
      <c r="AX223" s="243">
        <f t="shared" si="214"/>
        <v>0</v>
      </c>
      <c r="AY223" s="245" t="s">
        <v>593</v>
      </c>
      <c r="AZ223" s="245" t="s">
        <v>746</v>
      </c>
      <c r="BA223" s="232" t="s">
        <v>717</v>
      </c>
      <c r="BC223" s="243">
        <f t="shared" si="215"/>
        <v>0</v>
      </c>
      <c r="BD223" s="243">
        <f t="shared" si="216"/>
        <v>0</v>
      </c>
      <c r="BE223" s="243">
        <v>0</v>
      </c>
      <c r="BF223" s="243">
        <f>223</f>
        <v>223</v>
      </c>
      <c r="BH223" s="243">
        <f t="shared" si="217"/>
        <v>0</v>
      </c>
      <c r="BI223" s="243">
        <f t="shared" si="218"/>
        <v>0</v>
      </c>
      <c r="BJ223" s="243">
        <f t="shared" si="219"/>
        <v>0</v>
      </c>
      <c r="BK223" s="243"/>
      <c r="BL223" s="243">
        <v>734</v>
      </c>
      <c r="BW223" s="243">
        <v>21</v>
      </c>
    </row>
    <row r="224" spans="1:75" ht="13.5" customHeight="1">
      <c r="A224" s="207" t="s">
        <v>768</v>
      </c>
      <c r="B224" s="208" t="s">
        <v>714</v>
      </c>
      <c r="C224" s="208" t="s">
        <v>416</v>
      </c>
      <c r="D224" s="268" t="s">
        <v>417</v>
      </c>
      <c r="E224" s="260"/>
      <c r="F224" s="208" t="s">
        <v>68</v>
      </c>
      <c r="G224" s="243">
        <v>8</v>
      </c>
      <c r="H224" s="244">
        <v>0</v>
      </c>
      <c r="I224" s="244">
        <f t="shared" si="200"/>
        <v>0</v>
      </c>
      <c r="K224" s="231"/>
      <c r="Z224" s="243">
        <f t="shared" si="201"/>
        <v>0</v>
      </c>
      <c r="AB224" s="243">
        <f t="shared" si="202"/>
        <v>0</v>
      </c>
      <c r="AC224" s="243">
        <f t="shared" si="203"/>
        <v>0</v>
      </c>
      <c r="AD224" s="243">
        <f t="shared" si="204"/>
        <v>0</v>
      </c>
      <c r="AE224" s="243">
        <f t="shared" si="205"/>
        <v>0</v>
      </c>
      <c r="AF224" s="243">
        <f t="shared" si="206"/>
        <v>0</v>
      </c>
      <c r="AG224" s="243">
        <f t="shared" si="207"/>
        <v>0</v>
      </c>
      <c r="AH224" s="243">
        <f t="shared" si="208"/>
        <v>0</v>
      </c>
      <c r="AI224" s="232" t="s">
        <v>714</v>
      </c>
      <c r="AJ224" s="243">
        <f t="shared" si="209"/>
        <v>0</v>
      </c>
      <c r="AK224" s="243">
        <f t="shared" si="210"/>
        <v>0</v>
      </c>
      <c r="AL224" s="243">
        <f t="shared" si="211"/>
        <v>0</v>
      </c>
      <c r="AN224" s="243">
        <v>21</v>
      </c>
      <c r="AO224" s="243">
        <f>H224*0.711852348993289</f>
        <v>0</v>
      </c>
      <c r="AP224" s="243">
        <f>H224*(1-0.711852348993289)</f>
        <v>0</v>
      </c>
      <c r="AQ224" s="245" t="s">
        <v>567</v>
      </c>
      <c r="AV224" s="243">
        <f t="shared" si="212"/>
        <v>0</v>
      </c>
      <c r="AW224" s="243">
        <f t="shared" si="213"/>
        <v>0</v>
      </c>
      <c r="AX224" s="243">
        <f t="shared" si="214"/>
        <v>0</v>
      </c>
      <c r="AY224" s="245" t="s">
        <v>593</v>
      </c>
      <c r="AZ224" s="245" t="s">
        <v>746</v>
      </c>
      <c r="BA224" s="232" t="s">
        <v>717</v>
      </c>
      <c r="BC224" s="243">
        <f t="shared" si="215"/>
        <v>0</v>
      </c>
      <c r="BD224" s="243">
        <f t="shared" si="216"/>
        <v>0</v>
      </c>
      <c r="BE224" s="243">
        <v>0</v>
      </c>
      <c r="BF224" s="243">
        <f>224</f>
        <v>224</v>
      </c>
      <c r="BH224" s="243">
        <f t="shared" si="217"/>
        <v>0</v>
      </c>
      <c r="BI224" s="243">
        <f t="shared" si="218"/>
        <v>0</v>
      </c>
      <c r="BJ224" s="243">
        <f t="shared" si="219"/>
        <v>0</v>
      </c>
      <c r="BK224" s="243"/>
      <c r="BL224" s="243">
        <v>734</v>
      </c>
      <c r="BW224" s="243">
        <v>21</v>
      </c>
    </row>
    <row r="225" spans="1:75" ht="13.5" customHeight="1">
      <c r="A225" s="207" t="s">
        <v>769</v>
      </c>
      <c r="B225" s="208" t="s">
        <v>714</v>
      </c>
      <c r="C225" s="208" t="s">
        <v>418</v>
      </c>
      <c r="D225" s="268" t="s">
        <v>419</v>
      </c>
      <c r="E225" s="260"/>
      <c r="F225" s="208" t="s">
        <v>68</v>
      </c>
      <c r="G225" s="243">
        <v>3</v>
      </c>
      <c r="H225" s="244">
        <v>0</v>
      </c>
      <c r="I225" s="244">
        <f t="shared" si="200"/>
        <v>0</v>
      </c>
      <c r="K225" s="231"/>
      <c r="Z225" s="243">
        <f t="shared" si="201"/>
        <v>0</v>
      </c>
      <c r="AB225" s="243">
        <f t="shared" si="202"/>
        <v>0</v>
      </c>
      <c r="AC225" s="243">
        <f t="shared" si="203"/>
        <v>0</v>
      </c>
      <c r="AD225" s="243">
        <f t="shared" si="204"/>
        <v>0</v>
      </c>
      <c r="AE225" s="243">
        <f t="shared" si="205"/>
        <v>0</v>
      </c>
      <c r="AF225" s="243">
        <f t="shared" si="206"/>
        <v>0</v>
      </c>
      <c r="AG225" s="243">
        <f t="shared" si="207"/>
        <v>0</v>
      </c>
      <c r="AH225" s="243">
        <f t="shared" si="208"/>
        <v>0</v>
      </c>
      <c r="AI225" s="232" t="s">
        <v>714</v>
      </c>
      <c r="AJ225" s="243">
        <f t="shared" si="209"/>
        <v>0</v>
      </c>
      <c r="AK225" s="243">
        <f t="shared" si="210"/>
        <v>0</v>
      </c>
      <c r="AL225" s="243">
        <f t="shared" si="211"/>
        <v>0</v>
      </c>
      <c r="AN225" s="243">
        <v>21</v>
      </c>
      <c r="AO225" s="243">
        <f>H225*0.893467248908297</f>
        <v>0</v>
      </c>
      <c r="AP225" s="243">
        <f>H225*(1-0.893467248908297)</f>
        <v>0</v>
      </c>
      <c r="AQ225" s="245" t="s">
        <v>567</v>
      </c>
      <c r="AV225" s="243">
        <f t="shared" si="212"/>
        <v>0</v>
      </c>
      <c r="AW225" s="243">
        <f t="shared" si="213"/>
        <v>0</v>
      </c>
      <c r="AX225" s="243">
        <f t="shared" si="214"/>
        <v>0</v>
      </c>
      <c r="AY225" s="245" t="s">
        <v>593</v>
      </c>
      <c r="AZ225" s="245" t="s">
        <v>746</v>
      </c>
      <c r="BA225" s="232" t="s">
        <v>717</v>
      </c>
      <c r="BC225" s="243">
        <f t="shared" si="215"/>
        <v>0</v>
      </c>
      <c r="BD225" s="243">
        <f t="shared" si="216"/>
        <v>0</v>
      </c>
      <c r="BE225" s="243">
        <v>0</v>
      </c>
      <c r="BF225" s="243">
        <f>225</f>
        <v>225</v>
      </c>
      <c r="BH225" s="243">
        <f t="shared" si="217"/>
        <v>0</v>
      </c>
      <c r="BI225" s="243">
        <f t="shared" si="218"/>
        <v>0</v>
      </c>
      <c r="BJ225" s="243">
        <f t="shared" si="219"/>
        <v>0</v>
      </c>
      <c r="BK225" s="243"/>
      <c r="BL225" s="243">
        <v>734</v>
      </c>
      <c r="BW225" s="243">
        <v>21</v>
      </c>
    </row>
    <row r="226" spans="1:75" ht="13.5" customHeight="1">
      <c r="A226" s="207" t="s">
        <v>770</v>
      </c>
      <c r="B226" s="208" t="s">
        <v>714</v>
      </c>
      <c r="C226" s="208" t="s">
        <v>420</v>
      </c>
      <c r="D226" s="268" t="s">
        <v>421</v>
      </c>
      <c r="E226" s="260"/>
      <c r="F226" s="208" t="s">
        <v>68</v>
      </c>
      <c r="G226" s="243">
        <v>1</v>
      </c>
      <c r="H226" s="244">
        <v>0</v>
      </c>
      <c r="I226" s="244">
        <f t="shared" si="200"/>
        <v>0</v>
      </c>
      <c r="K226" s="231"/>
      <c r="Z226" s="243">
        <f t="shared" si="201"/>
        <v>0</v>
      </c>
      <c r="AB226" s="243">
        <f t="shared" si="202"/>
        <v>0</v>
      </c>
      <c r="AC226" s="243">
        <f t="shared" si="203"/>
        <v>0</v>
      </c>
      <c r="AD226" s="243">
        <f t="shared" si="204"/>
        <v>0</v>
      </c>
      <c r="AE226" s="243">
        <f t="shared" si="205"/>
        <v>0</v>
      </c>
      <c r="AF226" s="243">
        <f t="shared" si="206"/>
        <v>0</v>
      </c>
      <c r="AG226" s="243">
        <f t="shared" si="207"/>
        <v>0</v>
      </c>
      <c r="AH226" s="243">
        <f t="shared" si="208"/>
        <v>0</v>
      </c>
      <c r="AI226" s="232" t="s">
        <v>714</v>
      </c>
      <c r="AJ226" s="243">
        <f t="shared" si="209"/>
        <v>0</v>
      </c>
      <c r="AK226" s="243">
        <f t="shared" si="210"/>
        <v>0</v>
      </c>
      <c r="AL226" s="243">
        <f t="shared" si="211"/>
        <v>0</v>
      </c>
      <c r="AN226" s="243">
        <v>21</v>
      </c>
      <c r="AO226" s="243">
        <f>H226*0.945546104928458</f>
        <v>0</v>
      </c>
      <c r="AP226" s="243">
        <f>H226*(1-0.945546104928458)</f>
        <v>0</v>
      </c>
      <c r="AQ226" s="245" t="s">
        <v>567</v>
      </c>
      <c r="AV226" s="243">
        <f t="shared" si="212"/>
        <v>0</v>
      </c>
      <c r="AW226" s="243">
        <f t="shared" si="213"/>
        <v>0</v>
      </c>
      <c r="AX226" s="243">
        <f t="shared" si="214"/>
        <v>0</v>
      </c>
      <c r="AY226" s="245" t="s">
        <v>593</v>
      </c>
      <c r="AZ226" s="245" t="s">
        <v>746</v>
      </c>
      <c r="BA226" s="232" t="s">
        <v>717</v>
      </c>
      <c r="BC226" s="243">
        <f t="shared" si="215"/>
        <v>0</v>
      </c>
      <c r="BD226" s="243">
        <f t="shared" si="216"/>
        <v>0</v>
      </c>
      <c r="BE226" s="243">
        <v>0</v>
      </c>
      <c r="BF226" s="243">
        <f>226</f>
        <v>226</v>
      </c>
      <c r="BH226" s="243">
        <f t="shared" si="217"/>
        <v>0</v>
      </c>
      <c r="BI226" s="243">
        <f t="shared" si="218"/>
        <v>0</v>
      </c>
      <c r="BJ226" s="243">
        <f t="shared" si="219"/>
        <v>0</v>
      </c>
      <c r="BK226" s="243"/>
      <c r="BL226" s="243">
        <v>734</v>
      </c>
      <c r="BW226" s="243">
        <v>21</v>
      </c>
    </row>
    <row r="227" spans="1:75" ht="13.5" customHeight="1">
      <c r="A227" s="207" t="s">
        <v>771</v>
      </c>
      <c r="B227" s="208" t="s">
        <v>714</v>
      </c>
      <c r="C227" s="208" t="s">
        <v>422</v>
      </c>
      <c r="D227" s="268" t="s">
        <v>423</v>
      </c>
      <c r="E227" s="260"/>
      <c r="F227" s="208" t="s">
        <v>68</v>
      </c>
      <c r="G227" s="243">
        <v>1</v>
      </c>
      <c r="H227" s="244">
        <v>0</v>
      </c>
      <c r="I227" s="244">
        <f t="shared" si="200"/>
        <v>0</v>
      </c>
      <c r="K227" s="231"/>
      <c r="Z227" s="243">
        <f t="shared" si="201"/>
        <v>0</v>
      </c>
      <c r="AB227" s="243">
        <f t="shared" si="202"/>
        <v>0</v>
      </c>
      <c r="AC227" s="243">
        <f t="shared" si="203"/>
        <v>0</v>
      </c>
      <c r="AD227" s="243">
        <f t="shared" si="204"/>
        <v>0</v>
      </c>
      <c r="AE227" s="243">
        <f t="shared" si="205"/>
        <v>0</v>
      </c>
      <c r="AF227" s="243">
        <f t="shared" si="206"/>
        <v>0</v>
      </c>
      <c r="AG227" s="243">
        <f t="shared" si="207"/>
        <v>0</v>
      </c>
      <c r="AH227" s="243">
        <f t="shared" si="208"/>
        <v>0</v>
      </c>
      <c r="AI227" s="232" t="s">
        <v>714</v>
      </c>
      <c r="AJ227" s="243">
        <f t="shared" si="209"/>
        <v>0</v>
      </c>
      <c r="AK227" s="243">
        <f t="shared" si="210"/>
        <v>0</v>
      </c>
      <c r="AL227" s="243">
        <f t="shared" si="211"/>
        <v>0</v>
      </c>
      <c r="AN227" s="243">
        <v>21</v>
      </c>
      <c r="AO227" s="243">
        <f>H227*0.913686165273909</f>
        <v>0</v>
      </c>
      <c r="AP227" s="243">
        <f>H227*(1-0.913686165273909)</f>
        <v>0</v>
      </c>
      <c r="AQ227" s="245" t="s">
        <v>567</v>
      </c>
      <c r="AV227" s="243">
        <f t="shared" si="212"/>
        <v>0</v>
      </c>
      <c r="AW227" s="243">
        <f t="shared" si="213"/>
        <v>0</v>
      </c>
      <c r="AX227" s="243">
        <f t="shared" si="214"/>
        <v>0</v>
      </c>
      <c r="AY227" s="245" t="s">
        <v>593</v>
      </c>
      <c r="AZ227" s="245" t="s">
        <v>746</v>
      </c>
      <c r="BA227" s="232" t="s">
        <v>717</v>
      </c>
      <c r="BC227" s="243">
        <f t="shared" si="215"/>
        <v>0</v>
      </c>
      <c r="BD227" s="243">
        <f t="shared" si="216"/>
        <v>0</v>
      </c>
      <c r="BE227" s="243">
        <v>0</v>
      </c>
      <c r="BF227" s="243">
        <f>227</f>
        <v>227</v>
      </c>
      <c r="BH227" s="243">
        <f t="shared" si="217"/>
        <v>0</v>
      </c>
      <c r="BI227" s="243">
        <f t="shared" si="218"/>
        <v>0</v>
      </c>
      <c r="BJ227" s="243">
        <f t="shared" si="219"/>
        <v>0</v>
      </c>
      <c r="BK227" s="243"/>
      <c r="BL227" s="243">
        <v>734</v>
      </c>
      <c r="BW227" s="243">
        <v>21</v>
      </c>
    </row>
    <row r="228" spans="1:75" ht="13.5" customHeight="1">
      <c r="A228" s="207" t="s">
        <v>772</v>
      </c>
      <c r="B228" s="208" t="s">
        <v>714</v>
      </c>
      <c r="C228" s="208" t="s">
        <v>424</v>
      </c>
      <c r="D228" s="268" t="s">
        <v>1355</v>
      </c>
      <c r="E228" s="260"/>
      <c r="F228" s="208" t="s">
        <v>68</v>
      </c>
      <c r="G228" s="243">
        <v>4</v>
      </c>
      <c r="H228" s="244">
        <v>0</v>
      </c>
      <c r="I228" s="244">
        <f t="shared" si="200"/>
        <v>0</v>
      </c>
      <c r="K228" s="231"/>
      <c r="Z228" s="243">
        <f t="shared" si="201"/>
        <v>0</v>
      </c>
      <c r="AB228" s="243">
        <f t="shared" si="202"/>
        <v>0</v>
      </c>
      <c r="AC228" s="243">
        <f t="shared" si="203"/>
        <v>0</v>
      </c>
      <c r="AD228" s="243">
        <f t="shared" si="204"/>
        <v>0</v>
      </c>
      <c r="AE228" s="243">
        <f t="shared" si="205"/>
        <v>0</v>
      </c>
      <c r="AF228" s="243">
        <f t="shared" si="206"/>
        <v>0</v>
      </c>
      <c r="AG228" s="243">
        <f t="shared" si="207"/>
        <v>0</v>
      </c>
      <c r="AH228" s="243">
        <f t="shared" si="208"/>
        <v>0</v>
      </c>
      <c r="AI228" s="232" t="s">
        <v>714</v>
      </c>
      <c r="AJ228" s="243">
        <f t="shared" si="209"/>
        <v>0</v>
      </c>
      <c r="AK228" s="243">
        <f t="shared" si="210"/>
        <v>0</v>
      </c>
      <c r="AL228" s="243">
        <f t="shared" si="211"/>
        <v>0</v>
      </c>
      <c r="AN228" s="243">
        <v>21</v>
      </c>
      <c r="AO228" s="243">
        <f>H228*0.869366700715015</f>
        <v>0</v>
      </c>
      <c r="AP228" s="243">
        <f>H228*(1-0.869366700715015)</f>
        <v>0</v>
      </c>
      <c r="AQ228" s="245" t="s">
        <v>567</v>
      </c>
      <c r="AV228" s="243">
        <f t="shared" si="212"/>
        <v>0</v>
      </c>
      <c r="AW228" s="243">
        <f t="shared" si="213"/>
        <v>0</v>
      </c>
      <c r="AX228" s="243">
        <f t="shared" si="214"/>
        <v>0</v>
      </c>
      <c r="AY228" s="245" t="s">
        <v>593</v>
      </c>
      <c r="AZ228" s="245" t="s">
        <v>746</v>
      </c>
      <c r="BA228" s="232" t="s">
        <v>717</v>
      </c>
      <c r="BC228" s="243">
        <f t="shared" si="215"/>
        <v>0</v>
      </c>
      <c r="BD228" s="243">
        <f t="shared" si="216"/>
        <v>0</v>
      </c>
      <c r="BE228" s="243">
        <v>0</v>
      </c>
      <c r="BF228" s="243">
        <f>228</f>
        <v>228</v>
      </c>
      <c r="BH228" s="243">
        <f t="shared" si="217"/>
        <v>0</v>
      </c>
      <c r="BI228" s="243">
        <f t="shared" si="218"/>
        <v>0</v>
      </c>
      <c r="BJ228" s="243">
        <f t="shared" si="219"/>
        <v>0</v>
      </c>
      <c r="BK228" s="243"/>
      <c r="BL228" s="243">
        <v>734</v>
      </c>
      <c r="BW228" s="243">
        <v>21</v>
      </c>
    </row>
    <row r="229" spans="1:75" ht="13.5" customHeight="1">
      <c r="A229" s="207" t="s">
        <v>773</v>
      </c>
      <c r="B229" s="208" t="s">
        <v>714</v>
      </c>
      <c r="C229" s="208" t="s">
        <v>426</v>
      </c>
      <c r="D229" s="268" t="s">
        <v>1356</v>
      </c>
      <c r="E229" s="260"/>
      <c r="F229" s="208" t="s">
        <v>68</v>
      </c>
      <c r="G229" s="243">
        <v>1</v>
      </c>
      <c r="H229" s="244">
        <v>0</v>
      </c>
      <c r="I229" s="244">
        <f t="shared" si="200"/>
        <v>0</v>
      </c>
      <c r="K229" s="231"/>
      <c r="Z229" s="243">
        <f t="shared" si="201"/>
        <v>0</v>
      </c>
      <c r="AB229" s="243">
        <f t="shared" si="202"/>
        <v>0</v>
      </c>
      <c r="AC229" s="243">
        <f t="shared" si="203"/>
        <v>0</v>
      </c>
      <c r="AD229" s="243">
        <f t="shared" si="204"/>
        <v>0</v>
      </c>
      <c r="AE229" s="243">
        <f t="shared" si="205"/>
        <v>0</v>
      </c>
      <c r="AF229" s="243">
        <f t="shared" si="206"/>
        <v>0</v>
      </c>
      <c r="AG229" s="243">
        <f t="shared" si="207"/>
        <v>0</v>
      </c>
      <c r="AH229" s="243">
        <f t="shared" si="208"/>
        <v>0</v>
      </c>
      <c r="AI229" s="232" t="s">
        <v>714</v>
      </c>
      <c r="AJ229" s="243">
        <f t="shared" si="209"/>
        <v>0</v>
      </c>
      <c r="AK229" s="243">
        <f t="shared" si="210"/>
        <v>0</v>
      </c>
      <c r="AL229" s="243">
        <f t="shared" si="211"/>
        <v>0</v>
      </c>
      <c r="AN229" s="243">
        <v>21</v>
      </c>
      <c r="AO229" s="243">
        <f>H229*0.929993168165776</f>
        <v>0</v>
      </c>
      <c r="AP229" s="243">
        <f>H229*(1-0.929993168165776)</f>
        <v>0</v>
      </c>
      <c r="AQ229" s="245" t="s">
        <v>567</v>
      </c>
      <c r="AV229" s="243">
        <f t="shared" si="212"/>
        <v>0</v>
      </c>
      <c r="AW229" s="243">
        <f t="shared" si="213"/>
        <v>0</v>
      </c>
      <c r="AX229" s="243">
        <f t="shared" si="214"/>
        <v>0</v>
      </c>
      <c r="AY229" s="245" t="s">
        <v>593</v>
      </c>
      <c r="AZ229" s="245" t="s">
        <v>746</v>
      </c>
      <c r="BA229" s="232" t="s">
        <v>717</v>
      </c>
      <c r="BC229" s="243">
        <f t="shared" si="215"/>
        <v>0</v>
      </c>
      <c r="BD229" s="243">
        <f t="shared" si="216"/>
        <v>0</v>
      </c>
      <c r="BE229" s="243">
        <v>0</v>
      </c>
      <c r="BF229" s="243">
        <f>229</f>
        <v>229</v>
      </c>
      <c r="BH229" s="243">
        <f t="shared" si="217"/>
        <v>0</v>
      </c>
      <c r="BI229" s="243">
        <f t="shared" si="218"/>
        <v>0</v>
      </c>
      <c r="BJ229" s="243">
        <f t="shared" si="219"/>
        <v>0</v>
      </c>
      <c r="BK229" s="243"/>
      <c r="BL229" s="243">
        <v>734</v>
      </c>
      <c r="BW229" s="243">
        <v>21</v>
      </c>
    </row>
    <row r="230" spans="1:75" ht="13.5" customHeight="1">
      <c r="A230" s="207" t="s">
        <v>774</v>
      </c>
      <c r="B230" s="208" t="s">
        <v>714</v>
      </c>
      <c r="C230" s="208" t="s">
        <v>428</v>
      </c>
      <c r="D230" s="268" t="s">
        <v>1357</v>
      </c>
      <c r="E230" s="260"/>
      <c r="F230" s="208" t="s">
        <v>68</v>
      </c>
      <c r="G230" s="243">
        <v>1</v>
      </c>
      <c r="H230" s="244">
        <v>0</v>
      </c>
      <c r="I230" s="244">
        <f t="shared" si="200"/>
        <v>0</v>
      </c>
      <c r="K230" s="231"/>
      <c r="Z230" s="243">
        <f t="shared" si="201"/>
        <v>0</v>
      </c>
      <c r="AB230" s="243">
        <f t="shared" si="202"/>
        <v>0</v>
      </c>
      <c r="AC230" s="243">
        <f t="shared" si="203"/>
        <v>0</v>
      </c>
      <c r="AD230" s="243">
        <f t="shared" si="204"/>
        <v>0</v>
      </c>
      <c r="AE230" s="243">
        <f t="shared" si="205"/>
        <v>0</v>
      </c>
      <c r="AF230" s="243">
        <f t="shared" si="206"/>
        <v>0</v>
      </c>
      <c r="AG230" s="243">
        <f t="shared" si="207"/>
        <v>0</v>
      </c>
      <c r="AH230" s="243">
        <f t="shared" si="208"/>
        <v>0</v>
      </c>
      <c r="AI230" s="232" t="s">
        <v>714</v>
      </c>
      <c r="AJ230" s="243">
        <f t="shared" si="209"/>
        <v>0</v>
      </c>
      <c r="AK230" s="243">
        <f t="shared" si="210"/>
        <v>0</v>
      </c>
      <c r="AL230" s="243">
        <f t="shared" si="211"/>
        <v>0</v>
      </c>
      <c r="AN230" s="243">
        <v>21</v>
      </c>
      <c r="AO230" s="243">
        <f>H230*0.76990099009901</f>
        <v>0</v>
      </c>
      <c r="AP230" s="243">
        <f>H230*(1-0.76990099009901)</f>
        <v>0</v>
      </c>
      <c r="AQ230" s="245" t="s">
        <v>567</v>
      </c>
      <c r="AV230" s="243">
        <f t="shared" si="212"/>
        <v>0</v>
      </c>
      <c r="AW230" s="243">
        <f t="shared" si="213"/>
        <v>0</v>
      </c>
      <c r="AX230" s="243">
        <f t="shared" si="214"/>
        <v>0</v>
      </c>
      <c r="AY230" s="245" t="s">
        <v>593</v>
      </c>
      <c r="AZ230" s="245" t="s">
        <v>746</v>
      </c>
      <c r="BA230" s="232" t="s">
        <v>717</v>
      </c>
      <c r="BC230" s="243">
        <f t="shared" si="215"/>
        <v>0</v>
      </c>
      <c r="BD230" s="243">
        <f t="shared" si="216"/>
        <v>0</v>
      </c>
      <c r="BE230" s="243">
        <v>0</v>
      </c>
      <c r="BF230" s="243">
        <f>230</f>
        <v>230</v>
      </c>
      <c r="BH230" s="243">
        <f t="shared" si="217"/>
        <v>0</v>
      </c>
      <c r="BI230" s="243">
        <f t="shared" si="218"/>
        <v>0</v>
      </c>
      <c r="BJ230" s="243">
        <f t="shared" si="219"/>
        <v>0</v>
      </c>
      <c r="BK230" s="243"/>
      <c r="BL230" s="243">
        <v>734</v>
      </c>
      <c r="BW230" s="243">
        <v>21</v>
      </c>
    </row>
    <row r="231" spans="1:75" ht="13.5" customHeight="1">
      <c r="A231" s="207" t="s">
        <v>775</v>
      </c>
      <c r="B231" s="208" t="s">
        <v>714</v>
      </c>
      <c r="C231" s="208" t="s">
        <v>430</v>
      </c>
      <c r="D231" s="268" t="s">
        <v>1358</v>
      </c>
      <c r="E231" s="260"/>
      <c r="F231" s="208" t="s">
        <v>68</v>
      </c>
      <c r="G231" s="243">
        <v>1</v>
      </c>
      <c r="H231" s="244">
        <v>0</v>
      </c>
      <c r="I231" s="244">
        <f t="shared" si="200"/>
        <v>0</v>
      </c>
      <c r="K231" s="231"/>
      <c r="Z231" s="243">
        <f t="shared" si="201"/>
        <v>0</v>
      </c>
      <c r="AB231" s="243">
        <f t="shared" si="202"/>
        <v>0</v>
      </c>
      <c r="AC231" s="243">
        <f t="shared" si="203"/>
        <v>0</v>
      </c>
      <c r="AD231" s="243">
        <f t="shared" si="204"/>
        <v>0</v>
      </c>
      <c r="AE231" s="243">
        <f t="shared" si="205"/>
        <v>0</v>
      </c>
      <c r="AF231" s="243">
        <f t="shared" si="206"/>
        <v>0</v>
      </c>
      <c r="AG231" s="243">
        <f t="shared" si="207"/>
        <v>0</v>
      </c>
      <c r="AH231" s="243">
        <f t="shared" si="208"/>
        <v>0</v>
      </c>
      <c r="AI231" s="232" t="s">
        <v>714</v>
      </c>
      <c r="AJ231" s="243">
        <f t="shared" si="209"/>
        <v>0</v>
      </c>
      <c r="AK231" s="243">
        <f t="shared" si="210"/>
        <v>0</v>
      </c>
      <c r="AL231" s="243">
        <f t="shared" si="211"/>
        <v>0</v>
      </c>
      <c r="AN231" s="243">
        <v>21</v>
      </c>
      <c r="AO231" s="243">
        <f>H231*0.872981818181818</f>
        <v>0</v>
      </c>
      <c r="AP231" s="243">
        <f>H231*(1-0.872981818181818)</f>
        <v>0</v>
      </c>
      <c r="AQ231" s="245" t="s">
        <v>567</v>
      </c>
      <c r="AV231" s="243">
        <f t="shared" si="212"/>
        <v>0</v>
      </c>
      <c r="AW231" s="243">
        <f t="shared" si="213"/>
        <v>0</v>
      </c>
      <c r="AX231" s="243">
        <f t="shared" si="214"/>
        <v>0</v>
      </c>
      <c r="AY231" s="245" t="s">
        <v>593</v>
      </c>
      <c r="AZ231" s="245" t="s">
        <v>746</v>
      </c>
      <c r="BA231" s="232" t="s">
        <v>717</v>
      </c>
      <c r="BC231" s="243">
        <f t="shared" si="215"/>
        <v>0</v>
      </c>
      <c r="BD231" s="243">
        <f t="shared" si="216"/>
        <v>0</v>
      </c>
      <c r="BE231" s="243">
        <v>0</v>
      </c>
      <c r="BF231" s="243">
        <f>231</f>
        <v>231</v>
      </c>
      <c r="BH231" s="243">
        <f t="shared" si="217"/>
        <v>0</v>
      </c>
      <c r="BI231" s="243">
        <f t="shared" si="218"/>
        <v>0</v>
      </c>
      <c r="BJ231" s="243">
        <f t="shared" si="219"/>
        <v>0</v>
      </c>
      <c r="BK231" s="243"/>
      <c r="BL231" s="243">
        <v>734</v>
      </c>
      <c r="BW231" s="243">
        <v>21</v>
      </c>
    </row>
    <row r="232" spans="1:75" ht="13.5" customHeight="1">
      <c r="A232" s="207" t="s">
        <v>776</v>
      </c>
      <c r="B232" s="208" t="s">
        <v>714</v>
      </c>
      <c r="C232" s="208" t="s">
        <v>432</v>
      </c>
      <c r="D232" s="268" t="s">
        <v>433</v>
      </c>
      <c r="E232" s="260"/>
      <c r="F232" s="208" t="s">
        <v>58</v>
      </c>
      <c r="G232" s="243">
        <v>1</v>
      </c>
      <c r="H232" s="244">
        <v>0</v>
      </c>
      <c r="I232" s="244">
        <f t="shared" si="200"/>
        <v>0</v>
      </c>
      <c r="K232" s="231"/>
      <c r="Z232" s="243">
        <f t="shared" si="201"/>
        <v>0</v>
      </c>
      <c r="AB232" s="243">
        <f t="shared" si="202"/>
        <v>0</v>
      </c>
      <c r="AC232" s="243">
        <f t="shared" si="203"/>
        <v>0</v>
      </c>
      <c r="AD232" s="243">
        <f t="shared" si="204"/>
        <v>0</v>
      </c>
      <c r="AE232" s="243">
        <f t="shared" si="205"/>
        <v>0</v>
      </c>
      <c r="AF232" s="243">
        <f t="shared" si="206"/>
        <v>0</v>
      </c>
      <c r="AG232" s="243">
        <f t="shared" si="207"/>
        <v>0</v>
      </c>
      <c r="AH232" s="243">
        <f t="shared" si="208"/>
        <v>0</v>
      </c>
      <c r="AI232" s="232" t="s">
        <v>714</v>
      </c>
      <c r="AJ232" s="243">
        <f t="shared" si="209"/>
        <v>0</v>
      </c>
      <c r="AK232" s="243">
        <f t="shared" si="210"/>
        <v>0</v>
      </c>
      <c r="AL232" s="243">
        <f t="shared" si="211"/>
        <v>0</v>
      </c>
      <c r="AN232" s="243">
        <v>21</v>
      </c>
      <c r="AO232" s="243">
        <f>H232*0.924761904761905</f>
        <v>0</v>
      </c>
      <c r="AP232" s="243">
        <f>H232*(1-0.924761904761905)</f>
        <v>0</v>
      </c>
      <c r="AQ232" s="245" t="s">
        <v>567</v>
      </c>
      <c r="AV232" s="243">
        <f t="shared" si="212"/>
        <v>0</v>
      </c>
      <c r="AW232" s="243">
        <f t="shared" si="213"/>
        <v>0</v>
      </c>
      <c r="AX232" s="243">
        <f t="shared" si="214"/>
        <v>0</v>
      </c>
      <c r="AY232" s="245" t="s">
        <v>593</v>
      </c>
      <c r="AZ232" s="245" t="s">
        <v>746</v>
      </c>
      <c r="BA232" s="232" t="s">
        <v>717</v>
      </c>
      <c r="BC232" s="243">
        <f t="shared" si="215"/>
        <v>0</v>
      </c>
      <c r="BD232" s="243">
        <f t="shared" si="216"/>
        <v>0</v>
      </c>
      <c r="BE232" s="243">
        <v>0</v>
      </c>
      <c r="BF232" s="243">
        <f>232</f>
        <v>232</v>
      </c>
      <c r="BH232" s="243">
        <f t="shared" si="217"/>
        <v>0</v>
      </c>
      <c r="BI232" s="243">
        <f t="shared" si="218"/>
        <v>0</v>
      </c>
      <c r="BJ232" s="243">
        <f t="shared" si="219"/>
        <v>0</v>
      </c>
      <c r="BK232" s="243"/>
      <c r="BL232" s="243">
        <v>734</v>
      </c>
      <c r="BW232" s="243">
        <v>21</v>
      </c>
    </row>
    <row r="233" spans="1:75" ht="13.5" customHeight="1">
      <c r="A233" s="207" t="s">
        <v>777</v>
      </c>
      <c r="B233" s="208" t="s">
        <v>714</v>
      </c>
      <c r="C233" s="208" t="s">
        <v>434</v>
      </c>
      <c r="D233" s="268" t="s">
        <v>435</v>
      </c>
      <c r="E233" s="260"/>
      <c r="F233" s="208" t="s">
        <v>68</v>
      </c>
      <c r="G233" s="243">
        <v>1</v>
      </c>
      <c r="H233" s="244">
        <v>0</v>
      </c>
      <c r="I233" s="244">
        <f t="shared" si="200"/>
        <v>0</v>
      </c>
      <c r="K233" s="231"/>
      <c r="Z233" s="243">
        <f t="shared" si="201"/>
        <v>0</v>
      </c>
      <c r="AB233" s="243">
        <f t="shared" si="202"/>
        <v>0</v>
      </c>
      <c r="AC233" s="243">
        <f t="shared" si="203"/>
        <v>0</v>
      </c>
      <c r="AD233" s="243">
        <f t="shared" si="204"/>
        <v>0</v>
      </c>
      <c r="AE233" s="243">
        <f t="shared" si="205"/>
        <v>0</v>
      </c>
      <c r="AF233" s="243">
        <f t="shared" si="206"/>
        <v>0</v>
      </c>
      <c r="AG233" s="243">
        <f t="shared" si="207"/>
        <v>0</v>
      </c>
      <c r="AH233" s="243">
        <f t="shared" si="208"/>
        <v>0</v>
      </c>
      <c r="AI233" s="232" t="s">
        <v>714</v>
      </c>
      <c r="AJ233" s="243">
        <f t="shared" si="209"/>
        <v>0</v>
      </c>
      <c r="AK233" s="243">
        <f t="shared" si="210"/>
        <v>0</v>
      </c>
      <c r="AL233" s="243">
        <f t="shared" si="211"/>
        <v>0</v>
      </c>
      <c r="AN233" s="243">
        <v>21</v>
      </c>
      <c r="AO233" s="243">
        <f>H233*0.698084842146545</f>
        <v>0</v>
      </c>
      <c r="AP233" s="243">
        <f>H233*(1-0.698084842146545)</f>
        <v>0</v>
      </c>
      <c r="AQ233" s="245" t="s">
        <v>567</v>
      </c>
      <c r="AV233" s="243">
        <f t="shared" si="212"/>
        <v>0</v>
      </c>
      <c r="AW233" s="243">
        <f t="shared" si="213"/>
        <v>0</v>
      </c>
      <c r="AX233" s="243">
        <f t="shared" si="214"/>
        <v>0</v>
      </c>
      <c r="AY233" s="245" t="s">
        <v>593</v>
      </c>
      <c r="AZ233" s="245" t="s">
        <v>746</v>
      </c>
      <c r="BA233" s="232" t="s">
        <v>717</v>
      </c>
      <c r="BC233" s="243">
        <f t="shared" si="215"/>
        <v>0</v>
      </c>
      <c r="BD233" s="243">
        <f t="shared" si="216"/>
        <v>0</v>
      </c>
      <c r="BE233" s="243">
        <v>0</v>
      </c>
      <c r="BF233" s="243">
        <f>233</f>
        <v>233</v>
      </c>
      <c r="BH233" s="243">
        <f t="shared" si="217"/>
        <v>0</v>
      </c>
      <c r="BI233" s="243">
        <f t="shared" si="218"/>
        <v>0</v>
      </c>
      <c r="BJ233" s="243">
        <f t="shared" si="219"/>
        <v>0</v>
      </c>
      <c r="BK233" s="243"/>
      <c r="BL233" s="243">
        <v>734</v>
      </c>
      <c r="BW233" s="243">
        <v>21</v>
      </c>
    </row>
    <row r="234" spans="1:75" ht="13.5" customHeight="1">
      <c r="A234" s="207" t="s">
        <v>778</v>
      </c>
      <c r="B234" s="208" t="s">
        <v>714</v>
      </c>
      <c r="C234" s="208" t="s">
        <v>436</v>
      </c>
      <c r="D234" s="268" t="s">
        <v>1359</v>
      </c>
      <c r="E234" s="260"/>
      <c r="F234" s="208" t="s">
        <v>68</v>
      </c>
      <c r="G234" s="243">
        <v>1</v>
      </c>
      <c r="H234" s="244">
        <v>0</v>
      </c>
      <c r="I234" s="244">
        <f t="shared" si="200"/>
        <v>0</v>
      </c>
      <c r="K234" s="231"/>
      <c r="Z234" s="243">
        <f t="shared" si="201"/>
        <v>0</v>
      </c>
      <c r="AB234" s="243">
        <f t="shared" si="202"/>
        <v>0</v>
      </c>
      <c r="AC234" s="243">
        <f t="shared" si="203"/>
        <v>0</v>
      </c>
      <c r="AD234" s="243">
        <f t="shared" si="204"/>
        <v>0</v>
      </c>
      <c r="AE234" s="243">
        <f t="shared" si="205"/>
        <v>0</v>
      </c>
      <c r="AF234" s="243">
        <f t="shared" si="206"/>
        <v>0</v>
      </c>
      <c r="AG234" s="243">
        <f t="shared" si="207"/>
        <v>0</v>
      </c>
      <c r="AH234" s="243">
        <f t="shared" si="208"/>
        <v>0</v>
      </c>
      <c r="AI234" s="232" t="s">
        <v>714</v>
      </c>
      <c r="AJ234" s="243">
        <f t="shared" si="209"/>
        <v>0</v>
      </c>
      <c r="AK234" s="243">
        <f t="shared" si="210"/>
        <v>0</v>
      </c>
      <c r="AL234" s="243">
        <f t="shared" si="211"/>
        <v>0</v>
      </c>
      <c r="AN234" s="243">
        <v>21</v>
      </c>
      <c r="AO234" s="243">
        <f>H234*0.796243845047714</f>
        <v>0</v>
      </c>
      <c r="AP234" s="243">
        <f>H234*(1-0.796243845047714)</f>
        <v>0</v>
      </c>
      <c r="AQ234" s="245" t="s">
        <v>567</v>
      </c>
      <c r="AV234" s="243">
        <f t="shared" si="212"/>
        <v>0</v>
      </c>
      <c r="AW234" s="243">
        <f t="shared" si="213"/>
        <v>0</v>
      </c>
      <c r="AX234" s="243">
        <f t="shared" si="214"/>
        <v>0</v>
      </c>
      <c r="AY234" s="245" t="s">
        <v>593</v>
      </c>
      <c r="AZ234" s="245" t="s">
        <v>746</v>
      </c>
      <c r="BA234" s="232" t="s">
        <v>717</v>
      </c>
      <c r="BC234" s="243">
        <f t="shared" si="215"/>
        <v>0</v>
      </c>
      <c r="BD234" s="243">
        <f t="shared" si="216"/>
        <v>0</v>
      </c>
      <c r="BE234" s="243">
        <v>0</v>
      </c>
      <c r="BF234" s="243">
        <f>234</f>
        <v>234</v>
      </c>
      <c r="BH234" s="243">
        <f t="shared" si="217"/>
        <v>0</v>
      </c>
      <c r="BI234" s="243">
        <f t="shared" si="218"/>
        <v>0</v>
      </c>
      <c r="BJ234" s="243">
        <f t="shared" si="219"/>
        <v>0</v>
      </c>
      <c r="BK234" s="243"/>
      <c r="BL234" s="243">
        <v>734</v>
      </c>
      <c r="BW234" s="243">
        <v>21</v>
      </c>
    </row>
    <row r="235" spans="1:75" ht="13.5" customHeight="1">
      <c r="A235" s="207" t="s">
        <v>779</v>
      </c>
      <c r="B235" s="208" t="s">
        <v>714</v>
      </c>
      <c r="C235" s="208" t="s">
        <v>438</v>
      </c>
      <c r="D235" s="268" t="s">
        <v>1360</v>
      </c>
      <c r="E235" s="260"/>
      <c r="F235" s="208" t="s">
        <v>68</v>
      </c>
      <c r="G235" s="243">
        <v>3</v>
      </c>
      <c r="H235" s="244">
        <v>0</v>
      </c>
      <c r="I235" s="244">
        <f t="shared" si="200"/>
        <v>0</v>
      </c>
      <c r="K235" s="231"/>
      <c r="Z235" s="243">
        <f t="shared" si="201"/>
        <v>0</v>
      </c>
      <c r="AB235" s="243">
        <f t="shared" si="202"/>
        <v>0</v>
      </c>
      <c r="AC235" s="243">
        <f t="shared" si="203"/>
        <v>0</v>
      </c>
      <c r="AD235" s="243">
        <f t="shared" si="204"/>
        <v>0</v>
      </c>
      <c r="AE235" s="243">
        <f t="shared" si="205"/>
        <v>0</v>
      </c>
      <c r="AF235" s="243">
        <f t="shared" si="206"/>
        <v>0</v>
      </c>
      <c r="AG235" s="243">
        <f t="shared" si="207"/>
        <v>0</v>
      </c>
      <c r="AH235" s="243">
        <f t="shared" si="208"/>
        <v>0</v>
      </c>
      <c r="AI235" s="232" t="s">
        <v>714</v>
      </c>
      <c r="AJ235" s="243">
        <f t="shared" si="209"/>
        <v>0</v>
      </c>
      <c r="AK235" s="243">
        <f t="shared" si="210"/>
        <v>0</v>
      </c>
      <c r="AL235" s="243">
        <f t="shared" si="211"/>
        <v>0</v>
      </c>
      <c r="AN235" s="243">
        <v>21</v>
      </c>
      <c r="AO235" s="243">
        <f>H235*0.893386019482375</f>
        <v>0</v>
      </c>
      <c r="AP235" s="243">
        <f>H235*(1-0.893386019482375)</f>
        <v>0</v>
      </c>
      <c r="AQ235" s="245" t="s">
        <v>567</v>
      </c>
      <c r="AV235" s="243">
        <f t="shared" si="212"/>
        <v>0</v>
      </c>
      <c r="AW235" s="243">
        <f t="shared" si="213"/>
        <v>0</v>
      </c>
      <c r="AX235" s="243">
        <f t="shared" si="214"/>
        <v>0</v>
      </c>
      <c r="AY235" s="245" t="s">
        <v>593</v>
      </c>
      <c r="AZ235" s="245" t="s">
        <v>746</v>
      </c>
      <c r="BA235" s="232" t="s">
        <v>717</v>
      </c>
      <c r="BC235" s="243">
        <f t="shared" si="215"/>
        <v>0</v>
      </c>
      <c r="BD235" s="243">
        <f t="shared" si="216"/>
        <v>0</v>
      </c>
      <c r="BE235" s="243">
        <v>0</v>
      </c>
      <c r="BF235" s="243">
        <f>235</f>
        <v>235</v>
      </c>
      <c r="BH235" s="243">
        <f t="shared" si="217"/>
        <v>0</v>
      </c>
      <c r="BI235" s="243">
        <f t="shared" si="218"/>
        <v>0</v>
      </c>
      <c r="BJ235" s="243">
        <f t="shared" si="219"/>
        <v>0</v>
      </c>
      <c r="BK235" s="243"/>
      <c r="BL235" s="243">
        <v>734</v>
      </c>
      <c r="BW235" s="243">
        <v>21</v>
      </c>
    </row>
    <row r="236" spans="1:75" ht="15" customHeight="1">
      <c r="A236" s="238" t="s">
        <v>21</v>
      </c>
      <c r="B236" s="239" t="s">
        <v>714</v>
      </c>
      <c r="C236" s="239" t="s">
        <v>101</v>
      </c>
      <c r="D236" s="309" t="s">
        <v>102</v>
      </c>
      <c r="E236" s="310"/>
      <c r="F236" s="240" t="s">
        <v>20</v>
      </c>
      <c r="G236" s="240" t="s">
        <v>20</v>
      </c>
      <c r="H236" s="241" t="s">
        <v>20</v>
      </c>
      <c r="I236" s="242">
        <f>SUM(I237:I238)</f>
        <v>0</v>
      </c>
      <c r="K236" s="231"/>
      <c r="AI236" s="232" t="s">
        <v>714</v>
      </c>
      <c r="AS236" s="225">
        <f>SUM(AJ237:AJ238)</f>
        <v>0</v>
      </c>
      <c r="AT236" s="225">
        <f>SUM(AK237:AK238)</f>
        <v>0</v>
      </c>
      <c r="AU236" s="225">
        <f>SUM(AL237:AL238)</f>
        <v>0</v>
      </c>
    </row>
    <row r="237" spans="1:75" ht="13.5" customHeight="1">
      <c r="A237" s="207" t="s">
        <v>780</v>
      </c>
      <c r="B237" s="208" t="s">
        <v>714</v>
      </c>
      <c r="C237" s="208" t="s">
        <v>440</v>
      </c>
      <c r="D237" s="268" t="s">
        <v>441</v>
      </c>
      <c r="E237" s="260"/>
      <c r="F237" s="208" t="s">
        <v>105</v>
      </c>
      <c r="G237" s="243">
        <v>50</v>
      </c>
      <c r="H237" s="244">
        <v>0</v>
      </c>
      <c r="I237" s="244">
        <f>G237*H237</f>
        <v>0</v>
      </c>
      <c r="K237" s="231"/>
      <c r="Z237" s="243">
        <f>IF(AQ237="5",BJ237,0)</f>
        <v>0</v>
      </c>
      <c r="AB237" s="243">
        <f>IF(AQ237="1",BH237,0)</f>
        <v>0</v>
      </c>
      <c r="AC237" s="243">
        <f>IF(AQ237="1",BI237,0)</f>
        <v>0</v>
      </c>
      <c r="AD237" s="243">
        <f>IF(AQ237="7",BH237,0)</f>
        <v>0</v>
      </c>
      <c r="AE237" s="243">
        <f>IF(AQ237="7",BI237,0)</f>
        <v>0</v>
      </c>
      <c r="AF237" s="243">
        <f>IF(AQ237="2",BH237,0)</f>
        <v>0</v>
      </c>
      <c r="AG237" s="243">
        <f>IF(AQ237="2",BI237,0)</f>
        <v>0</v>
      </c>
      <c r="AH237" s="243">
        <f>IF(AQ237="0",BJ237,0)</f>
        <v>0</v>
      </c>
      <c r="AI237" s="232" t="s">
        <v>714</v>
      </c>
      <c r="AJ237" s="243">
        <f>IF(AN237=0,I237,0)</f>
        <v>0</v>
      </c>
      <c r="AK237" s="243">
        <f>IF(AN237=12,I237,0)</f>
        <v>0</v>
      </c>
      <c r="AL237" s="243">
        <f>IF(AN237=21,I237,0)</f>
        <v>0</v>
      </c>
      <c r="AN237" s="243">
        <v>21</v>
      </c>
      <c r="AO237" s="243">
        <f>H237*0.166280991735537</f>
        <v>0</v>
      </c>
      <c r="AP237" s="243">
        <f>H237*(1-0.166280991735537)</f>
        <v>0</v>
      </c>
      <c r="AQ237" s="245" t="s">
        <v>567</v>
      </c>
      <c r="AV237" s="243">
        <f>AW237+AX237</f>
        <v>0</v>
      </c>
      <c r="AW237" s="243">
        <f>G237*AO237</f>
        <v>0</v>
      </c>
      <c r="AX237" s="243">
        <f>G237*AP237</f>
        <v>0</v>
      </c>
      <c r="AY237" s="245" t="s">
        <v>596</v>
      </c>
      <c r="AZ237" s="245" t="s">
        <v>781</v>
      </c>
      <c r="BA237" s="232" t="s">
        <v>717</v>
      </c>
      <c r="BC237" s="243">
        <f>AW237+AX237</f>
        <v>0</v>
      </c>
      <c r="BD237" s="243">
        <f>H237/(100-BE237)*100</f>
        <v>0</v>
      </c>
      <c r="BE237" s="243">
        <v>0</v>
      </c>
      <c r="BF237" s="243">
        <f>237</f>
        <v>237</v>
      </c>
      <c r="BH237" s="243">
        <f>G237*AO237</f>
        <v>0</v>
      </c>
      <c r="BI237" s="243">
        <f>G237*AP237</f>
        <v>0</v>
      </c>
      <c r="BJ237" s="243">
        <f>G237*H237</f>
        <v>0</v>
      </c>
      <c r="BK237" s="243"/>
      <c r="BL237" s="243">
        <v>767</v>
      </c>
      <c r="BW237" s="243">
        <v>21</v>
      </c>
    </row>
    <row r="238" spans="1:75" ht="13.5" customHeight="1">
      <c r="A238" s="207" t="s">
        <v>782</v>
      </c>
      <c r="B238" s="208" t="s">
        <v>714</v>
      </c>
      <c r="C238" s="208" t="s">
        <v>442</v>
      </c>
      <c r="D238" s="268" t="s">
        <v>443</v>
      </c>
      <c r="E238" s="260"/>
      <c r="F238" s="208" t="s">
        <v>105</v>
      </c>
      <c r="G238" s="243">
        <v>120</v>
      </c>
      <c r="H238" s="244">
        <v>0</v>
      </c>
      <c r="I238" s="244">
        <f>G238*H238</f>
        <v>0</v>
      </c>
      <c r="K238" s="231"/>
      <c r="Z238" s="243">
        <f>IF(AQ238="5",BJ238,0)</f>
        <v>0</v>
      </c>
      <c r="AB238" s="243">
        <f>IF(AQ238="1",BH238,0)</f>
        <v>0</v>
      </c>
      <c r="AC238" s="243">
        <f>IF(AQ238="1",BI238,0)</f>
        <v>0</v>
      </c>
      <c r="AD238" s="243">
        <f>IF(AQ238="7",BH238,0)</f>
        <v>0</v>
      </c>
      <c r="AE238" s="243">
        <f>IF(AQ238="7",BI238,0)</f>
        <v>0</v>
      </c>
      <c r="AF238" s="243">
        <f>IF(AQ238="2",BH238,0)</f>
        <v>0</v>
      </c>
      <c r="AG238" s="243">
        <f>IF(AQ238="2",BI238,0)</f>
        <v>0</v>
      </c>
      <c r="AH238" s="243">
        <f>IF(AQ238="0",BJ238,0)</f>
        <v>0</v>
      </c>
      <c r="AI238" s="232" t="s">
        <v>714</v>
      </c>
      <c r="AJ238" s="243">
        <f>IF(AN238=0,I238,0)</f>
        <v>0</v>
      </c>
      <c r="AK238" s="243">
        <f>IF(AN238=12,I238,0)</f>
        <v>0</v>
      </c>
      <c r="AL238" s="243">
        <f>IF(AN238=21,I238,0)</f>
        <v>0</v>
      </c>
      <c r="AN238" s="243">
        <v>21</v>
      </c>
      <c r="AO238" s="243">
        <f>H238*0.329041487839771</f>
        <v>0</v>
      </c>
      <c r="AP238" s="243">
        <f>H238*(1-0.329041487839771)</f>
        <v>0</v>
      </c>
      <c r="AQ238" s="245" t="s">
        <v>567</v>
      </c>
      <c r="AV238" s="243">
        <f>AW238+AX238</f>
        <v>0</v>
      </c>
      <c r="AW238" s="243">
        <f>G238*AO238</f>
        <v>0</v>
      </c>
      <c r="AX238" s="243">
        <f>G238*AP238</f>
        <v>0</v>
      </c>
      <c r="AY238" s="245" t="s">
        <v>596</v>
      </c>
      <c r="AZ238" s="245" t="s">
        <v>781</v>
      </c>
      <c r="BA238" s="232" t="s">
        <v>717</v>
      </c>
      <c r="BC238" s="243">
        <f>AW238+AX238</f>
        <v>0</v>
      </c>
      <c r="BD238" s="243">
        <f>H238/(100-BE238)*100</f>
        <v>0</v>
      </c>
      <c r="BE238" s="243">
        <v>0</v>
      </c>
      <c r="BF238" s="243">
        <f>238</f>
        <v>238</v>
      </c>
      <c r="BH238" s="243">
        <f>G238*AO238</f>
        <v>0</v>
      </c>
      <c r="BI238" s="243">
        <f>G238*AP238</f>
        <v>0</v>
      </c>
      <c r="BJ238" s="243">
        <f>G238*H238</f>
        <v>0</v>
      </c>
      <c r="BK238" s="243"/>
      <c r="BL238" s="243">
        <v>767</v>
      </c>
      <c r="BW238" s="243">
        <v>21</v>
      </c>
    </row>
    <row r="239" spans="1:75" ht="15" customHeight="1">
      <c r="A239" s="238" t="s">
        <v>21</v>
      </c>
      <c r="B239" s="239" t="s">
        <v>783</v>
      </c>
      <c r="C239" s="239" t="s">
        <v>21</v>
      </c>
      <c r="D239" s="309" t="s">
        <v>444</v>
      </c>
      <c r="E239" s="310"/>
      <c r="F239" s="240" t="s">
        <v>20</v>
      </c>
      <c r="G239" s="240" t="s">
        <v>20</v>
      </c>
      <c r="H239" s="241" t="s">
        <v>20</v>
      </c>
      <c r="I239" s="242">
        <f>I240+I250+I252+I265+I267+I275+I287+I303+I307</f>
        <v>0</v>
      </c>
      <c r="K239" s="231"/>
    </row>
    <row r="240" spans="1:75" ht="15" customHeight="1">
      <c r="A240" s="238" t="s">
        <v>21</v>
      </c>
      <c r="B240" s="239" t="s">
        <v>783</v>
      </c>
      <c r="C240" s="239" t="s">
        <v>54</v>
      </c>
      <c r="D240" s="309" t="s">
        <v>55</v>
      </c>
      <c r="E240" s="310"/>
      <c r="F240" s="240" t="s">
        <v>20</v>
      </c>
      <c r="G240" s="240" t="s">
        <v>20</v>
      </c>
      <c r="H240" s="241" t="s">
        <v>20</v>
      </c>
      <c r="I240" s="242">
        <f>SUM(I241:I249)</f>
        <v>0</v>
      </c>
      <c r="K240" s="231"/>
      <c r="AI240" s="232" t="s">
        <v>783</v>
      </c>
      <c r="AS240" s="225">
        <f>SUM(AJ241:AJ249)</f>
        <v>0</v>
      </c>
      <c r="AT240" s="225">
        <f>SUM(AK241:AK249)</f>
        <v>0</v>
      </c>
      <c r="AU240" s="225">
        <f>SUM(AL241:AL249)</f>
        <v>0</v>
      </c>
    </row>
    <row r="241" spans="1:75" ht="13.5" customHeight="1">
      <c r="A241" s="207" t="s">
        <v>784</v>
      </c>
      <c r="B241" s="208" t="s">
        <v>783</v>
      </c>
      <c r="C241" s="208" t="s">
        <v>69</v>
      </c>
      <c r="D241" s="268" t="s">
        <v>356</v>
      </c>
      <c r="E241" s="260"/>
      <c r="F241" s="208" t="s">
        <v>68</v>
      </c>
      <c r="G241" s="243">
        <v>1</v>
      </c>
      <c r="H241" s="244">
        <v>0</v>
      </c>
      <c r="I241" s="244">
        <f t="shared" ref="I241:I249" si="220">G241*H241</f>
        <v>0</v>
      </c>
      <c r="K241" s="231"/>
      <c r="Z241" s="243">
        <f t="shared" ref="Z241:Z249" si="221">IF(AQ241="5",BJ241,0)</f>
        <v>0</v>
      </c>
      <c r="AB241" s="243">
        <f t="shared" ref="AB241:AB249" si="222">IF(AQ241="1",BH241,0)</f>
        <v>0</v>
      </c>
      <c r="AC241" s="243">
        <f t="shared" ref="AC241:AC249" si="223">IF(AQ241="1",BI241,0)</f>
        <v>0</v>
      </c>
      <c r="AD241" s="243">
        <f t="shared" ref="AD241:AD249" si="224">IF(AQ241="7",BH241,0)</f>
        <v>0</v>
      </c>
      <c r="AE241" s="243">
        <f t="shared" ref="AE241:AE249" si="225">IF(AQ241="7",BI241,0)</f>
        <v>0</v>
      </c>
      <c r="AF241" s="243">
        <f t="shared" ref="AF241:AF249" si="226">IF(AQ241="2",BH241,0)</f>
        <v>0</v>
      </c>
      <c r="AG241" s="243">
        <f t="shared" ref="AG241:AG249" si="227">IF(AQ241="2",BI241,0)</f>
        <v>0</v>
      </c>
      <c r="AH241" s="243">
        <f t="shared" ref="AH241:AH249" si="228">IF(AQ241="0",BJ241,0)</f>
        <v>0</v>
      </c>
      <c r="AI241" s="232" t="s">
        <v>783</v>
      </c>
      <c r="AJ241" s="243">
        <f t="shared" ref="AJ241:AJ249" si="229">IF(AN241=0,I241,0)</f>
        <v>0</v>
      </c>
      <c r="AK241" s="243">
        <f t="shared" ref="AK241:AK249" si="230">IF(AN241=12,I241,0)</f>
        <v>0</v>
      </c>
      <c r="AL241" s="243">
        <f t="shared" ref="AL241:AL249" si="231">IF(AN241=21,I241,0)</f>
        <v>0</v>
      </c>
      <c r="AN241" s="243">
        <v>21</v>
      </c>
      <c r="AO241" s="243">
        <f>H241*0</f>
        <v>0</v>
      </c>
      <c r="AP241" s="243">
        <f>H241*(1-0)</f>
        <v>0</v>
      </c>
      <c r="AQ241" s="245" t="s">
        <v>553</v>
      </c>
      <c r="AV241" s="243">
        <f t="shared" ref="AV241:AV249" si="232">AW241+AX241</f>
        <v>0</v>
      </c>
      <c r="AW241" s="243">
        <f t="shared" ref="AW241:AW249" si="233">G241*AO241</f>
        <v>0</v>
      </c>
      <c r="AX241" s="243">
        <f t="shared" ref="AX241:AX249" si="234">G241*AP241</f>
        <v>0</v>
      </c>
      <c r="AY241" s="245" t="s">
        <v>574</v>
      </c>
      <c r="AZ241" s="245" t="s">
        <v>785</v>
      </c>
      <c r="BA241" s="232" t="s">
        <v>786</v>
      </c>
      <c r="BC241" s="243">
        <f t="shared" ref="BC241:BC249" si="235">AW241+AX241</f>
        <v>0</v>
      </c>
      <c r="BD241" s="243">
        <f t="shared" ref="BD241:BD249" si="236">H241/(100-BE241)*100</f>
        <v>0</v>
      </c>
      <c r="BE241" s="243">
        <v>0</v>
      </c>
      <c r="BF241" s="243">
        <f>241</f>
        <v>241</v>
      </c>
      <c r="BH241" s="243">
        <f t="shared" ref="BH241:BH249" si="237">G241*AO241</f>
        <v>0</v>
      </c>
      <c r="BI241" s="243">
        <f t="shared" ref="BI241:BI249" si="238">G241*AP241</f>
        <v>0</v>
      </c>
      <c r="BJ241" s="243">
        <f t="shared" ref="BJ241:BJ249" si="239">G241*H241</f>
        <v>0</v>
      </c>
      <c r="BK241" s="243"/>
      <c r="BL241" s="243">
        <v>0</v>
      </c>
      <c r="BW241" s="243">
        <v>21</v>
      </c>
    </row>
    <row r="242" spans="1:75" ht="13.5" customHeight="1">
      <c r="A242" s="207" t="s">
        <v>787</v>
      </c>
      <c r="B242" s="208" t="s">
        <v>783</v>
      </c>
      <c r="C242" s="208" t="s">
        <v>107</v>
      </c>
      <c r="D242" s="268" t="s">
        <v>108</v>
      </c>
      <c r="E242" s="260"/>
      <c r="F242" s="208" t="s">
        <v>109</v>
      </c>
      <c r="G242" s="243">
        <v>8</v>
      </c>
      <c r="H242" s="244">
        <v>0</v>
      </c>
      <c r="I242" s="244">
        <f t="shared" si="220"/>
        <v>0</v>
      </c>
      <c r="K242" s="231"/>
      <c r="Z242" s="243">
        <f t="shared" si="221"/>
        <v>0</v>
      </c>
      <c r="AB242" s="243">
        <f t="shared" si="222"/>
        <v>0</v>
      </c>
      <c r="AC242" s="243">
        <f t="shared" si="223"/>
        <v>0</v>
      </c>
      <c r="AD242" s="243">
        <f t="shared" si="224"/>
        <v>0</v>
      </c>
      <c r="AE242" s="243">
        <f t="shared" si="225"/>
        <v>0</v>
      </c>
      <c r="AF242" s="243">
        <f t="shared" si="226"/>
        <v>0</v>
      </c>
      <c r="AG242" s="243">
        <f t="shared" si="227"/>
        <v>0</v>
      </c>
      <c r="AH242" s="243">
        <f t="shared" si="228"/>
        <v>0</v>
      </c>
      <c r="AI242" s="232" t="s">
        <v>783</v>
      </c>
      <c r="AJ242" s="243">
        <f t="shared" si="229"/>
        <v>0</v>
      </c>
      <c r="AK242" s="243">
        <f t="shared" si="230"/>
        <v>0</v>
      </c>
      <c r="AL242" s="243">
        <f t="shared" si="231"/>
        <v>0</v>
      </c>
      <c r="AN242" s="243">
        <v>21</v>
      </c>
      <c r="AO242" s="243">
        <f>H242*0</f>
        <v>0</v>
      </c>
      <c r="AP242" s="243">
        <f>H242*(1-0)</f>
        <v>0</v>
      </c>
      <c r="AQ242" s="245" t="s">
        <v>553</v>
      </c>
      <c r="AV242" s="243">
        <f t="shared" si="232"/>
        <v>0</v>
      </c>
      <c r="AW242" s="243">
        <f t="shared" si="233"/>
        <v>0</v>
      </c>
      <c r="AX242" s="243">
        <f t="shared" si="234"/>
        <v>0</v>
      </c>
      <c r="AY242" s="245" t="s">
        <v>574</v>
      </c>
      <c r="AZ242" s="245" t="s">
        <v>785</v>
      </c>
      <c r="BA242" s="232" t="s">
        <v>786</v>
      </c>
      <c r="BC242" s="243">
        <f t="shared" si="235"/>
        <v>0</v>
      </c>
      <c r="BD242" s="243">
        <f t="shared" si="236"/>
        <v>0</v>
      </c>
      <c r="BE242" s="243">
        <v>0</v>
      </c>
      <c r="BF242" s="243">
        <f>242</f>
        <v>242</v>
      </c>
      <c r="BH242" s="243">
        <f t="shared" si="237"/>
        <v>0</v>
      </c>
      <c r="BI242" s="243">
        <f t="shared" si="238"/>
        <v>0</v>
      </c>
      <c r="BJ242" s="243">
        <f t="shared" si="239"/>
        <v>0</v>
      </c>
      <c r="BK242" s="243"/>
      <c r="BL242" s="243">
        <v>0</v>
      </c>
      <c r="BW242" s="243">
        <v>21</v>
      </c>
    </row>
    <row r="243" spans="1:75" ht="27" customHeight="1">
      <c r="A243" s="207" t="s">
        <v>788</v>
      </c>
      <c r="B243" s="208" t="s">
        <v>783</v>
      </c>
      <c r="C243" s="208" t="s">
        <v>110</v>
      </c>
      <c r="D243" s="268" t="s">
        <v>111</v>
      </c>
      <c r="E243" s="260"/>
      <c r="F243" s="208" t="s">
        <v>112</v>
      </c>
      <c r="G243" s="243">
        <v>8</v>
      </c>
      <c r="H243" s="244">
        <v>0</v>
      </c>
      <c r="I243" s="244">
        <f t="shared" si="220"/>
        <v>0</v>
      </c>
      <c r="K243" s="231"/>
      <c r="Z243" s="243">
        <f t="shared" si="221"/>
        <v>0</v>
      </c>
      <c r="AB243" s="243">
        <f t="shared" si="222"/>
        <v>0</v>
      </c>
      <c r="AC243" s="243">
        <f t="shared" si="223"/>
        <v>0</v>
      </c>
      <c r="AD243" s="243">
        <f t="shared" si="224"/>
        <v>0</v>
      </c>
      <c r="AE243" s="243">
        <f t="shared" si="225"/>
        <v>0</v>
      </c>
      <c r="AF243" s="243">
        <f t="shared" si="226"/>
        <v>0</v>
      </c>
      <c r="AG243" s="243">
        <f t="shared" si="227"/>
        <v>0</v>
      </c>
      <c r="AH243" s="243">
        <f t="shared" si="228"/>
        <v>0</v>
      </c>
      <c r="AI243" s="232" t="s">
        <v>783</v>
      </c>
      <c r="AJ243" s="243">
        <f t="shared" si="229"/>
        <v>0</v>
      </c>
      <c r="AK243" s="243">
        <f t="shared" si="230"/>
        <v>0</v>
      </c>
      <c r="AL243" s="243">
        <f t="shared" si="231"/>
        <v>0</v>
      </c>
      <c r="AN243" s="243">
        <v>21</v>
      </c>
      <c r="AO243" s="243">
        <f>H243*0.298352654057352</f>
        <v>0</v>
      </c>
      <c r="AP243" s="243">
        <f>H243*(1-0.298352654057352)</f>
        <v>0</v>
      </c>
      <c r="AQ243" s="245" t="s">
        <v>553</v>
      </c>
      <c r="AV243" s="243">
        <f t="shared" si="232"/>
        <v>0</v>
      </c>
      <c r="AW243" s="243">
        <f t="shared" si="233"/>
        <v>0</v>
      </c>
      <c r="AX243" s="243">
        <f t="shared" si="234"/>
        <v>0</v>
      </c>
      <c r="AY243" s="245" t="s">
        <v>574</v>
      </c>
      <c r="AZ243" s="245" t="s">
        <v>785</v>
      </c>
      <c r="BA243" s="232" t="s">
        <v>786</v>
      </c>
      <c r="BC243" s="243">
        <f t="shared" si="235"/>
        <v>0</v>
      </c>
      <c r="BD243" s="243">
        <f t="shared" si="236"/>
        <v>0</v>
      </c>
      <c r="BE243" s="243">
        <v>0</v>
      </c>
      <c r="BF243" s="243">
        <f>243</f>
        <v>243</v>
      </c>
      <c r="BH243" s="243">
        <f t="shared" si="237"/>
        <v>0</v>
      </c>
      <c r="BI243" s="243">
        <f t="shared" si="238"/>
        <v>0</v>
      </c>
      <c r="BJ243" s="243">
        <f t="shared" si="239"/>
        <v>0</v>
      </c>
      <c r="BK243" s="243"/>
      <c r="BL243" s="243">
        <v>0</v>
      </c>
      <c r="BW243" s="243">
        <v>21</v>
      </c>
    </row>
    <row r="244" spans="1:75" ht="13.5" customHeight="1">
      <c r="A244" s="207" t="s">
        <v>789</v>
      </c>
      <c r="B244" s="208" t="s">
        <v>783</v>
      </c>
      <c r="C244" s="208" t="s">
        <v>115</v>
      </c>
      <c r="D244" s="268" t="s">
        <v>116</v>
      </c>
      <c r="E244" s="260"/>
      <c r="F244" s="208" t="s">
        <v>58</v>
      </c>
      <c r="G244" s="243">
        <v>1</v>
      </c>
      <c r="H244" s="244">
        <v>0</v>
      </c>
      <c r="I244" s="244">
        <f t="shared" si="220"/>
        <v>0</v>
      </c>
      <c r="K244" s="231"/>
      <c r="Z244" s="243">
        <f t="shared" si="221"/>
        <v>0</v>
      </c>
      <c r="AB244" s="243">
        <f t="shared" si="222"/>
        <v>0</v>
      </c>
      <c r="AC244" s="243">
        <f t="shared" si="223"/>
        <v>0</v>
      </c>
      <c r="AD244" s="243">
        <f t="shared" si="224"/>
        <v>0</v>
      </c>
      <c r="AE244" s="243">
        <f t="shared" si="225"/>
        <v>0</v>
      </c>
      <c r="AF244" s="243">
        <f t="shared" si="226"/>
        <v>0</v>
      </c>
      <c r="AG244" s="243">
        <f t="shared" si="227"/>
        <v>0</v>
      </c>
      <c r="AH244" s="243">
        <f t="shared" si="228"/>
        <v>0</v>
      </c>
      <c r="AI244" s="232" t="s">
        <v>783</v>
      </c>
      <c r="AJ244" s="243">
        <f t="shared" si="229"/>
        <v>0</v>
      </c>
      <c r="AK244" s="243">
        <f t="shared" si="230"/>
        <v>0</v>
      </c>
      <c r="AL244" s="243">
        <f t="shared" si="231"/>
        <v>0</v>
      </c>
      <c r="AN244" s="243">
        <v>21</v>
      </c>
      <c r="AO244" s="243">
        <f>H244*0</f>
        <v>0</v>
      </c>
      <c r="AP244" s="243">
        <f>H244*(1-0)</f>
        <v>0</v>
      </c>
      <c r="AQ244" s="245" t="s">
        <v>553</v>
      </c>
      <c r="AV244" s="243">
        <f t="shared" si="232"/>
        <v>0</v>
      </c>
      <c r="AW244" s="243">
        <f t="shared" si="233"/>
        <v>0</v>
      </c>
      <c r="AX244" s="243">
        <f t="shared" si="234"/>
        <v>0</v>
      </c>
      <c r="AY244" s="245" t="s">
        <v>574</v>
      </c>
      <c r="AZ244" s="245" t="s">
        <v>785</v>
      </c>
      <c r="BA244" s="232" t="s">
        <v>786</v>
      </c>
      <c r="BC244" s="243">
        <f t="shared" si="235"/>
        <v>0</v>
      </c>
      <c r="BD244" s="243">
        <f t="shared" si="236"/>
        <v>0</v>
      </c>
      <c r="BE244" s="243">
        <v>0</v>
      </c>
      <c r="BF244" s="243">
        <f>244</f>
        <v>244</v>
      </c>
      <c r="BH244" s="243">
        <f t="shared" si="237"/>
        <v>0</v>
      </c>
      <c r="BI244" s="243">
        <f t="shared" si="238"/>
        <v>0</v>
      </c>
      <c r="BJ244" s="243">
        <f t="shared" si="239"/>
        <v>0</v>
      </c>
      <c r="BK244" s="243"/>
      <c r="BL244" s="243">
        <v>0</v>
      </c>
      <c r="BW244" s="243">
        <v>21</v>
      </c>
    </row>
    <row r="245" spans="1:75" ht="13.5" customHeight="1">
      <c r="A245" s="207" t="s">
        <v>790</v>
      </c>
      <c r="B245" s="208" t="s">
        <v>783</v>
      </c>
      <c r="C245" s="208" t="s">
        <v>119</v>
      </c>
      <c r="D245" s="268" t="s">
        <v>120</v>
      </c>
      <c r="E245" s="260"/>
      <c r="F245" s="208" t="s">
        <v>58</v>
      </c>
      <c r="G245" s="243">
        <v>1</v>
      </c>
      <c r="H245" s="244">
        <v>0</v>
      </c>
      <c r="I245" s="244">
        <f t="shared" si="220"/>
        <v>0</v>
      </c>
      <c r="K245" s="231"/>
      <c r="Z245" s="243">
        <f t="shared" si="221"/>
        <v>0</v>
      </c>
      <c r="AB245" s="243">
        <f t="shared" si="222"/>
        <v>0</v>
      </c>
      <c r="AC245" s="243">
        <f t="shared" si="223"/>
        <v>0</v>
      </c>
      <c r="AD245" s="243">
        <f t="shared" si="224"/>
        <v>0</v>
      </c>
      <c r="AE245" s="243">
        <f t="shared" si="225"/>
        <v>0</v>
      </c>
      <c r="AF245" s="243">
        <f t="shared" si="226"/>
        <v>0</v>
      </c>
      <c r="AG245" s="243">
        <f t="shared" si="227"/>
        <v>0</v>
      </c>
      <c r="AH245" s="243">
        <f t="shared" si="228"/>
        <v>0</v>
      </c>
      <c r="AI245" s="232" t="s">
        <v>783</v>
      </c>
      <c r="AJ245" s="243">
        <f t="shared" si="229"/>
        <v>0</v>
      </c>
      <c r="AK245" s="243">
        <f t="shared" si="230"/>
        <v>0</v>
      </c>
      <c r="AL245" s="243">
        <f t="shared" si="231"/>
        <v>0</v>
      </c>
      <c r="AN245" s="243">
        <v>21</v>
      </c>
      <c r="AO245" s="243">
        <f>H245*0</f>
        <v>0</v>
      </c>
      <c r="AP245" s="243">
        <f>H245*(1-0)</f>
        <v>0</v>
      </c>
      <c r="AQ245" s="245" t="s">
        <v>553</v>
      </c>
      <c r="AV245" s="243">
        <f t="shared" si="232"/>
        <v>0</v>
      </c>
      <c r="AW245" s="243">
        <f t="shared" si="233"/>
        <v>0</v>
      </c>
      <c r="AX245" s="243">
        <f t="shared" si="234"/>
        <v>0</v>
      </c>
      <c r="AY245" s="245" t="s">
        <v>574</v>
      </c>
      <c r="AZ245" s="245" t="s">
        <v>785</v>
      </c>
      <c r="BA245" s="232" t="s">
        <v>786</v>
      </c>
      <c r="BC245" s="243">
        <f t="shared" si="235"/>
        <v>0</v>
      </c>
      <c r="BD245" s="243">
        <f t="shared" si="236"/>
        <v>0</v>
      </c>
      <c r="BE245" s="243">
        <v>0</v>
      </c>
      <c r="BF245" s="243">
        <f>245</f>
        <v>245</v>
      </c>
      <c r="BH245" s="243">
        <f t="shared" si="237"/>
        <v>0</v>
      </c>
      <c r="BI245" s="243">
        <f t="shared" si="238"/>
        <v>0</v>
      </c>
      <c r="BJ245" s="243">
        <f t="shared" si="239"/>
        <v>0</v>
      </c>
      <c r="BK245" s="243"/>
      <c r="BL245" s="243">
        <v>0</v>
      </c>
      <c r="BW245" s="243">
        <v>21</v>
      </c>
    </row>
    <row r="246" spans="1:75" ht="13.5" customHeight="1">
      <c r="A246" s="207" t="s">
        <v>791</v>
      </c>
      <c r="B246" s="208" t="s">
        <v>783</v>
      </c>
      <c r="C246" s="208" t="s">
        <v>71</v>
      </c>
      <c r="D246" s="268" t="s">
        <v>72</v>
      </c>
      <c r="E246" s="260"/>
      <c r="F246" s="208" t="s">
        <v>58</v>
      </c>
      <c r="G246" s="243">
        <v>1</v>
      </c>
      <c r="H246" s="244">
        <v>0</v>
      </c>
      <c r="I246" s="244">
        <f t="shared" si="220"/>
        <v>0</v>
      </c>
      <c r="K246" s="231"/>
      <c r="Z246" s="243">
        <f t="shared" si="221"/>
        <v>0</v>
      </c>
      <c r="AB246" s="243">
        <f t="shared" si="222"/>
        <v>0</v>
      </c>
      <c r="AC246" s="243">
        <f t="shared" si="223"/>
        <v>0</v>
      </c>
      <c r="AD246" s="243">
        <f t="shared" si="224"/>
        <v>0</v>
      </c>
      <c r="AE246" s="243">
        <f t="shared" si="225"/>
        <v>0</v>
      </c>
      <c r="AF246" s="243">
        <f t="shared" si="226"/>
        <v>0</v>
      </c>
      <c r="AG246" s="243">
        <f t="shared" si="227"/>
        <v>0</v>
      </c>
      <c r="AH246" s="243">
        <f t="shared" si="228"/>
        <v>0</v>
      </c>
      <c r="AI246" s="232" t="s">
        <v>783</v>
      </c>
      <c r="AJ246" s="243">
        <f t="shared" si="229"/>
        <v>0</v>
      </c>
      <c r="AK246" s="243">
        <f t="shared" si="230"/>
        <v>0</v>
      </c>
      <c r="AL246" s="243">
        <f t="shared" si="231"/>
        <v>0</v>
      </c>
      <c r="AN246" s="243">
        <v>21</v>
      </c>
      <c r="AO246" s="243">
        <f>H246*0.632508123680949</f>
        <v>0</v>
      </c>
      <c r="AP246" s="243">
        <f>H246*(1-0.632508123680949)</f>
        <v>0</v>
      </c>
      <c r="AQ246" s="245" t="s">
        <v>553</v>
      </c>
      <c r="AV246" s="243">
        <f t="shared" si="232"/>
        <v>0</v>
      </c>
      <c r="AW246" s="243">
        <f t="shared" si="233"/>
        <v>0</v>
      </c>
      <c r="AX246" s="243">
        <f t="shared" si="234"/>
        <v>0</v>
      </c>
      <c r="AY246" s="245" t="s">
        <v>574</v>
      </c>
      <c r="AZ246" s="245" t="s">
        <v>785</v>
      </c>
      <c r="BA246" s="232" t="s">
        <v>786</v>
      </c>
      <c r="BC246" s="243">
        <f t="shared" si="235"/>
        <v>0</v>
      </c>
      <c r="BD246" s="243">
        <f t="shared" si="236"/>
        <v>0</v>
      </c>
      <c r="BE246" s="243">
        <v>0</v>
      </c>
      <c r="BF246" s="243">
        <f>246</f>
        <v>246</v>
      </c>
      <c r="BH246" s="243">
        <f t="shared" si="237"/>
        <v>0</v>
      </c>
      <c r="BI246" s="243">
        <f t="shared" si="238"/>
        <v>0</v>
      </c>
      <c r="BJ246" s="243">
        <f t="shared" si="239"/>
        <v>0</v>
      </c>
      <c r="BK246" s="243"/>
      <c r="BL246" s="243">
        <v>0</v>
      </c>
      <c r="BW246" s="243">
        <v>21</v>
      </c>
    </row>
    <row r="247" spans="1:75" ht="13.5" customHeight="1">
      <c r="A247" s="207" t="s">
        <v>792</v>
      </c>
      <c r="B247" s="208" t="s">
        <v>783</v>
      </c>
      <c r="C247" s="208" t="s">
        <v>66</v>
      </c>
      <c r="D247" s="268" t="s">
        <v>67</v>
      </c>
      <c r="E247" s="260"/>
      <c r="F247" s="208" t="s">
        <v>68</v>
      </c>
      <c r="G247" s="243">
        <v>1</v>
      </c>
      <c r="H247" s="244">
        <v>0</v>
      </c>
      <c r="I247" s="244">
        <f t="shared" si="220"/>
        <v>0</v>
      </c>
      <c r="K247" s="231"/>
      <c r="Z247" s="243">
        <f t="shared" si="221"/>
        <v>0</v>
      </c>
      <c r="AB247" s="243">
        <f t="shared" si="222"/>
        <v>0</v>
      </c>
      <c r="AC247" s="243">
        <f t="shared" si="223"/>
        <v>0</v>
      </c>
      <c r="AD247" s="243">
        <f t="shared" si="224"/>
        <v>0</v>
      </c>
      <c r="AE247" s="243">
        <f t="shared" si="225"/>
        <v>0</v>
      </c>
      <c r="AF247" s="243">
        <f t="shared" si="226"/>
        <v>0</v>
      </c>
      <c r="AG247" s="243">
        <f t="shared" si="227"/>
        <v>0</v>
      </c>
      <c r="AH247" s="243">
        <f t="shared" si="228"/>
        <v>0</v>
      </c>
      <c r="AI247" s="232" t="s">
        <v>783</v>
      </c>
      <c r="AJ247" s="243">
        <f t="shared" si="229"/>
        <v>0</v>
      </c>
      <c r="AK247" s="243">
        <f t="shared" si="230"/>
        <v>0</v>
      </c>
      <c r="AL247" s="243">
        <f t="shared" si="231"/>
        <v>0</v>
      </c>
      <c r="AN247" s="243">
        <v>21</v>
      </c>
      <c r="AO247" s="243">
        <f>H247*0</f>
        <v>0</v>
      </c>
      <c r="AP247" s="243">
        <f>H247*(1-0)</f>
        <v>0</v>
      </c>
      <c r="AQ247" s="245" t="s">
        <v>553</v>
      </c>
      <c r="AV247" s="243">
        <f t="shared" si="232"/>
        <v>0</v>
      </c>
      <c r="AW247" s="243">
        <f t="shared" si="233"/>
        <v>0</v>
      </c>
      <c r="AX247" s="243">
        <f t="shared" si="234"/>
        <v>0</v>
      </c>
      <c r="AY247" s="245" t="s">
        <v>574</v>
      </c>
      <c r="AZ247" s="245" t="s">
        <v>785</v>
      </c>
      <c r="BA247" s="232" t="s">
        <v>786</v>
      </c>
      <c r="BC247" s="243">
        <f t="shared" si="235"/>
        <v>0</v>
      </c>
      <c r="BD247" s="243">
        <f t="shared" si="236"/>
        <v>0</v>
      </c>
      <c r="BE247" s="243">
        <v>0</v>
      </c>
      <c r="BF247" s="243">
        <f>247</f>
        <v>247</v>
      </c>
      <c r="BH247" s="243">
        <f t="shared" si="237"/>
        <v>0</v>
      </c>
      <c r="BI247" s="243">
        <f t="shared" si="238"/>
        <v>0</v>
      </c>
      <c r="BJ247" s="243">
        <f t="shared" si="239"/>
        <v>0</v>
      </c>
      <c r="BK247" s="243"/>
      <c r="BL247" s="243">
        <v>0</v>
      </c>
      <c r="BW247" s="243">
        <v>21</v>
      </c>
    </row>
    <row r="248" spans="1:75" ht="13.5" customHeight="1">
      <c r="A248" s="207" t="s">
        <v>793</v>
      </c>
      <c r="B248" s="208" t="s">
        <v>783</v>
      </c>
      <c r="C248" s="208" t="s">
        <v>124</v>
      </c>
      <c r="D248" s="268" t="s">
        <v>125</v>
      </c>
      <c r="E248" s="260"/>
      <c r="F248" s="208" t="s">
        <v>123</v>
      </c>
      <c r="G248" s="243">
        <v>1.04924</v>
      </c>
      <c r="H248" s="244">
        <v>0</v>
      </c>
      <c r="I248" s="244">
        <f t="shared" si="220"/>
        <v>0</v>
      </c>
      <c r="K248" s="231"/>
      <c r="Z248" s="243">
        <f t="shared" si="221"/>
        <v>0</v>
      </c>
      <c r="AB248" s="243">
        <f t="shared" si="222"/>
        <v>0</v>
      </c>
      <c r="AC248" s="243">
        <f t="shared" si="223"/>
        <v>0</v>
      </c>
      <c r="AD248" s="243">
        <f t="shared" si="224"/>
        <v>0</v>
      </c>
      <c r="AE248" s="243">
        <f t="shared" si="225"/>
        <v>0</v>
      </c>
      <c r="AF248" s="243">
        <f t="shared" si="226"/>
        <v>0</v>
      </c>
      <c r="AG248" s="243">
        <f t="shared" si="227"/>
        <v>0</v>
      </c>
      <c r="AH248" s="243">
        <f t="shared" si="228"/>
        <v>0</v>
      </c>
      <c r="AI248" s="232" t="s">
        <v>783</v>
      </c>
      <c r="AJ248" s="243">
        <f t="shared" si="229"/>
        <v>0</v>
      </c>
      <c r="AK248" s="243">
        <f t="shared" si="230"/>
        <v>0</v>
      </c>
      <c r="AL248" s="243">
        <f t="shared" si="231"/>
        <v>0</v>
      </c>
      <c r="AN248" s="243">
        <v>21</v>
      </c>
      <c r="AO248" s="243">
        <f>H248*0</f>
        <v>0</v>
      </c>
      <c r="AP248" s="243">
        <f>H248*(1-0)</f>
        <v>0</v>
      </c>
      <c r="AQ248" s="245" t="s">
        <v>564</v>
      </c>
      <c r="AV248" s="243">
        <f t="shared" si="232"/>
        <v>0</v>
      </c>
      <c r="AW248" s="243">
        <f t="shared" si="233"/>
        <v>0</v>
      </c>
      <c r="AX248" s="243">
        <f t="shared" si="234"/>
        <v>0</v>
      </c>
      <c r="AY248" s="245" t="s">
        <v>574</v>
      </c>
      <c r="AZ248" s="245" t="s">
        <v>785</v>
      </c>
      <c r="BA248" s="232" t="s">
        <v>786</v>
      </c>
      <c r="BC248" s="243">
        <f t="shared" si="235"/>
        <v>0</v>
      </c>
      <c r="BD248" s="243">
        <f t="shared" si="236"/>
        <v>0</v>
      </c>
      <c r="BE248" s="243">
        <v>0</v>
      </c>
      <c r="BF248" s="243">
        <f>248</f>
        <v>248</v>
      </c>
      <c r="BH248" s="243">
        <f t="shared" si="237"/>
        <v>0</v>
      </c>
      <c r="BI248" s="243">
        <f t="shared" si="238"/>
        <v>0</v>
      </c>
      <c r="BJ248" s="243">
        <f t="shared" si="239"/>
        <v>0</v>
      </c>
      <c r="BK248" s="243"/>
      <c r="BL248" s="243">
        <v>0</v>
      </c>
      <c r="BW248" s="243">
        <v>21</v>
      </c>
    </row>
    <row r="249" spans="1:75" ht="13.5" customHeight="1">
      <c r="A249" s="207" t="s">
        <v>794</v>
      </c>
      <c r="B249" s="208" t="s">
        <v>783</v>
      </c>
      <c r="C249" s="208" t="s">
        <v>121</v>
      </c>
      <c r="D249" s="268" t="s">
        <v>122</v>
      </c>
      <c r="E249" s="260"/>
      <c r="F249" s="208" t="s">
        <v>123</v>
      </c>
      <c r="G249" s="243">
        <v>1.04925</v>
      </c>
      <c r="H249" s="244">
        <v>0</v>
      </c>
      <c r="I249" s="244">
        <f t="shared" si="220"/>
        <v>0</v>
      </c>
      <c r="K249" s="231"/>
      <c r="Z249" s="243">
        <f t="shared" si="221"/>
        <v>0</v>
      </c>
      <c r="AB249" s="243">
        <f t="shared" si="222"/>
        <v>0</v>
      </c>
      <c r="AC249" s="243">
        <f t="shared" si="223"/>
        <v>0</v>
      </c>
      <c r="AD249" s="243">
        <f t="shared" si="224"/>
        <v>0</v>
      </c>
      <c r="AE249" s="243">
        <f t="shared" si="225"/>
        <v>0</v>
      </c>
      <c r="AF249" s="243">
        <f t="shared" si="226"/>
        <v>0</v>
      </c>
      <c r="AG249" s="243">
        <f t="shared" si="227"/>
        <v>0</v>
      </c>
      <c r="AH249" s="243">
        <f t="shared" si="228"/>
        <v>0</v>
      </c>
      <c r="AI249" s="232" t="s">
        <v>783</v>
      </c>
      <c r="AJ249" s="243">
        <f t="shared" si="229"/>
        <v>0</v>
      </c>
      <c r="AK249" s="243">
        <f t="shared" si="230"/>
        <v>0</v>
      </c>
      <c r="AL249" s="243">
        <f t="shared" si="231"/>
        <v>0</v>
      </c>
      <c r="AN249" s="243">
        <v>21</v>
      </c>
      <c r="AO249" s="243">
        <f>H249*0</f>
        <v>0</v>
      </c>
      <c r="AP249" s="243">
        <f>H249*(1-0)</f>
        <v>0</v>
      </c>
      <c r="AQ249" s="245" t="s">
        <v>564</v>
      </c>
      <c r="AV249" s="243">
        <f t="shared" si="232"/>
        <v>0</v>
      </c>
      <c r="AW249" s="243">
        <f t="shared" si="233"/>
        <v>0</v>
      </c>
      <c r="AX249" s="243">
        <f t="shared" si="234"/>
        <v>0</v>
      </c>
      <c r="AY249" s="245" t="s">
        <v>574</v>
      </c>
      <c r="AZ249" s="245" t="s">
        <v>785</v>
      </c>
      <c r="BA249" s="232" t="s">
        <v>786</v>
      </c>
      <c r="BC249" s="243">
        <f t="shared" si="235"/>
        <v>0</v>
      </c>
      <c r="BD249" s="243">
        <f t="shared" si="236"/>
        <v>0</v>
      </c>
      <c r="BE249" s="243">
        <v>0</v>
      </c>
      <c r="BF249" s="243">
        <f>249</f>
        <v>249</v>
      </c>
      <c r="BH249" s="243">
        <f t="shared" si="237"/>
        <v>0</v>
      </c>
      <c r="BI249" s="243">
        <f t="shared" si="238"/>
        <v>0</v>
      </c>
      <c r="BJ249" s="243">
        <f t="shared" si="239"/>
        <v>0</v>
      </c>
      <c r="BK249" s="243"/>
      <c r="BL249" s="243">
        <v>0</v>
      </c>
      <c r="BW249" s="243">
        <v>21</v>
      </c>
    </row>
    <row r="250" spans="1:75" ht="15" customHeight="1">
      <c r="A250" s="238" t="s">
        <v>21</v>
      </c>
      <c r="B250" s="239" t="s">
        <v>783</v>
      </c>
      <c r="C250" s="239" t="s">
        <v>59</v>
      </c>
      <c r="D250" s="309" t="s">
        <v>60</v>
      </c>
      <c r="E250" s="310"/>
      <c r="F250" s="240" t="s">
        <v>20</v>
      </c>
      <c r="G250" s="240" t="s">
        <v>20</v>
      </c>
      <c r="H250" s="241" t="s">
        <v>20</v>
      </c>
      <c r="I250" s="242">
        <f>SUM(I251:I251)</f>
        <v>0</v>
      </c>
      <c r="K250" s="231"/>
      <c r="AI250" s="232" t="s">
        <v>783</v>
      </c>
      <c r="AS250" s="225">
        <f>SUM(AJ251:AJ251)</f>
        <v>0</v>
      </c>
      <c r="AT250" s="225">
        <f>SUM(AK251:AK251)</f>
        <v>0</v>
      </c>
      <c r="AU250" s="225">
        <f>SUM(AL251:AL251)</f>
        <v>0</v>
      </c>
    </row>
    <row r="251" spans="1:75" ht="13.5" customHeight="1">
      <c r="A251" s="207" t="s">
        <v>795</v>
      </c>
      <c r="B251" s="208" t="s">
        <v>783</v>
      </c>
      <c r="C251" s="208" t="s">
        <v>61</v>
      </c>
      <c r="D251" s="268" t="s">
        <v>62</v>
      </c>
      <c r="E251" s="260"/>
      <c r="F251" s="208" t="s">
        <v>63</v>
      </c>
      <c r="G251" s="243">
        <v>20</v>
      </c>
      <c r="H251" s="244">
        <v>0</v>
      </c>
      <c r="I251" s="244">
        <f>G251*H251</f>
        <v>0</v>
      </c>
      <c r="K251" s="231"/>
      <c r="Z251" s="243">
        <f>IF(AQ251="5",BJ251,0)</f>
        <v>0</v>
      </c>
      <c r="AB251" s="243">
        <f>IF(AQ251="1",BH251,0)</f>
        <v>0</v>
      </c>
      <c r="AC251" s="243">
        <f>IF(AQ251="1",BI251,0)</f>
        <v>0</v>
      </c>
      <c r="AD251" s="243">
        <f>IF(AQ251="7",BH251,0)</f>
        <v>0</v>
      </c>
      <c r="AE251" s="243">
        <f>IF(AQ251="7",BI251,0)</f>
        <v>0</v>
      </c>
      <c r="AF251" s="243">
        <f>IF(AQ251="2",BH251,0)</f>
        <v>0</v>
      </c>
      <c r="AG251" s="243">
        <f>IF(AQ251="2",BI251,0)</f>
        <v>0</v>
      </c>
      <c r="AH251" s="243">
        <f>IF(AQ251="0",BJ251,0)</f>
        <v>0</v>
      </c>
      <c r="AI251" s="232" t="s">
        <v>783</v>
      </c>
      <c r="AJ251" s="243">
        <f>IF(AN251=0,I251,0)</f>
        <v>0</v>
      </c>
      <c r="AK251" s="243">
        <f>IF(AN251=12,I251,0)</f>
        <v>0</v>
      </c>
      <c r="AL251" s="243">
        <f>IF(AN251=21,I251,0)</f>
        <v>0</v>
      </c>
      <c r="AN251" s="243">
        <v>21</v>
      </c>
      <c r="AO251" s="243">
        <f>H251*0</f>
        <v>0</v>
      </c>
      <c r="AP251" s="243">
        <f>H251*(1-0)</f>
        <v>0</v>
      </c>
      <c r="AQ251" s="245" t="s">
        <v>567</v>
      </c>
      <c r="AV251" s="243">
        <f>AW251+AX251</f>
        <v>0</v>
      </c>
      <c r="AW251" s="243">
        <f>G251*AO251</f>
        <v>0</v>
      </c>
      <c r="AX251" s="243">
        <f>G251*AP251</f>
        <v>0</v>
      </c>
      <c r="AY251" s="245" t="s">
        <v>578</v>
      </c>
      <c r="AZ251" s="245" t="s">
        <v>796</v>
      </c>
      <c r="BA251" s="232" t="s">
        <v>786</v>
      </c>
      <c r="BC251" s="243">
        <f>AW251+AX251</f>
        <v>0</v>
      </c>
      <c r="BD251" s="243">
        <f>H251/(100-BE251)*100</f>
        <v>0</v>
      </c>
      <c r="BE251" s="243">
        <v>0</v>
      </c>
      <c r="BF251" s="243">
        <f>251</f>
        <v>251</v>
      </c>
      <c r="BH251" s="243">
        <f>G251*AO251</f>
        <v>0</v>
      </c>
      <c r="BI251" s="243">
        <f>G251*AP251</f>
        <v>0</v>
      </c>
      <c r="BJ251" s="243">
        <f>G251*H251</f>
        <v>0</v>
      </c>
      <c r="BK251" s="243"/>
      <c r="BL251" s="243">
        <v>713</v>
      </c>
      <c r="BW251" s="243">
        <v>21</v>
      </c>
    </row>
    <row r="252" spans="1:75" ht="15" customHeight="1">
      <c r="A252" s="238" t="s">
        <v>21</v>
      </c>
      <c r="B252" s="239" t="s">
        <v>783</v>
      </c>
      <c r="C252" s="239" t="s">
        <v>126</v>
      </c>
      <c r="D252" s="309" t="s">
        <v>127</v>
      </c>
      <c r="E252" s="310"/>
      <c r="F252" s="240" t="s">
        <v>20</v>
      </c>
      <c r="G252" s="240" t="s">
        <v>20</v>
      </c>
      <c r="H252" s="241" t="s">
        <v>20</v>
      </c>
      <c r="I252" s="242">
        <f>SUM(I253:I264)</f>
        <v>0</v>
      </c>
      <c r="K252" s="231"/>
      <c r="AI252" s="232" t="s">
        <v>783</v>
      </c>
      <c r="AS252" s="225">
        <f>SUM(AJ253:AJ264)</f>
        <v>0</v>
      </c>
      <c r="AT252" s="225">
        <f>SUM(AK253:AK264)</f>
        <v>0</v>
      </c>
      <c r="AU252" s="225">
        <f>SUM(AL253:AL264)</f>
        <v>0</v>
      </c>
    </row>
    <row r="253" spans="1:75" ht="13.5" customHeight="1">
      <c r="A253" s="207" t="s">
        <v>797</v>
      </c>
      <c r="B253" s="208" t="s">
        <v>783</v>
      </c>
      <c r="C253" s="208" t="s">
        <v>357</v>
      </c>
      <c r="D253" s="268" t="s">
        <v>358</v>
      </c>
      <c r="E253" s="260"/>
      <c r="F253" s="208" t="s">
        <v>68</v>
      </c>
      <c r="G253" s="243">
        <v>8</v>
      </c>
      <c r="H253" s="244">
        <v>0</v>
      </c>
      <c r="I253" s="244">
        <f t="shared" ref="I253:I264" si="240">G253*H253</f>
        <v>0</v>
      </c>
      <c r="K253" s="231"/>
      <c r="Z253" s="243">
        <f t="shared" ref="Z253:Z264" si="241">IF(AQ253="5",BJ253,0)</f>
        <v>0</v>
      </c>
      <c r="AB253" s="243">
        <f t="shared" ref="AB253:AB264" si="242">IF(AQ253="1",BH253,0)</f>
        <v>0</v>
      </c>
      <c r="AC253" s="243">
        <f t="shared" ref="AC253:AC264" si="243">IF(AQ253="1",BI253,0)</f>
        <v>0</v>
      </c>
      <c r="AD253" s="243">
        <f t="shared" ref="AD253:AD264" si="244">IF(AQ253="7",BH253,0)</f>
        <v>0</v>
      </c>
      <c r="AE253" s="243">
        <f t="shared" ref="AE253:AE264" si="245">IF(AQ253="7",BI253,0)</f>
        <v>0</v>
      </c>
      <c r="AF253" s="243">
        <f t="shared" ref="AF253:AF264" si="246">IF(AQ253="2",BH253,0)</f>
        <v>0</v>
      </c>
      <c r="AG253" s="243">
        <f t="shared" ref="AG253:AG264" si="247">IF(AQ253="2",BI253,0)</f>
        <v>0</v>
      </c>
      <c r="AH253" s="243">
        <f t="shared" ref="AH253:AH264" si="248">IF(AQ253="0",BJ253,0)</f>
        <v>0</v>
      </c>
      <c r="AI253" s="232" t="s">
        <v>783</v>
      </c>
      <c r="AJ253" s="243">
        <f t="shared" ref="AJ253:AJ264" si="249">IF(AN253=0,I253,0)</f>
        <v>0</v>
      </c>
      <c r="AK253" s="243">
        <f t="shared" ref="AK253:AK264" si="250">IF(AN253=12,I253,0)</f>
        <v>0</v>
      </c>
      <c r="AL253" s="243">
        <f t="shared" ref="AL253:AL264" si="251">IF(AN253=21,I253,0)</f>
        <v>0</v>
      </c>
      <c r="AN253" s="243">
        <v>21</v>
      </c>
      <c r="AO253" s="243">
        <f>H253*0</f>
        <v>0</v>
      </c>
      <c r="AP253" s="243">
        <f>H253*(1-0)</f>
        <v>0</v>
      </c>
      <c r="AQ253" s="245" t="s">
        <v>567</v>
      </c>
      <c r="AV253" s="243">
        <f t="shared" ref="AV253:AV264" si="252">AW253+AX253</f>
        <v>0</v>
      </c>
      <c r="AW253" s="243">
        <f t="shared" ref="AW253:AW264" si="253">G253*AO253</f>
        <v>0</v>
      </c>
      <c r="AX253" s="243">
        <f t="shared" ref="AX253:AX264" si="254">G253*AP253</f>
        <v>0</v>
      </c>
      <c r="AY253" s="245" t="s">
        <v>610</v>
      </c>
      <c r="AZ253" s="245" t="s">
        <v>798</v>
      </c>
      <c r="BA253" s="232" t="s">
        <v>786</v>
      </c>
      <c r="BC253" s="243">
        <f t="shared" ref="BC253:BC264" si="255">AW253+AX253</f>
        <v>0</v>
      </c>
      <c r="BD253" s="243">
        <f t="shared" ref="BD253:BD264" si="256">H253/(100-BE253)*100</f>
        <v>0</v>
      </c>
      <c r="BE253" s="243">
        <v>0</v>
      </c>
      <c r="BF253" s="243">
        <f>253</f>
        <v>253</v>
      </c>
      <c r="BH253" s="243">
        <f t="shared" ref="BH253:BH264" si="257">G253*AO253</f>
        <v>0</v>
      </c>
      <c r="BI253" s="243">
        <f t="shared" ref="BI253:BI264" si="258">G253*AP253</f>
        <v>0</v>
      </c>
      <c r="BJ253" s="243">
        <f t="shared" ref="BJ253:BJ264" si="259">G253*H253</f>
        <v>0</v>
      </c>
      <c r="BK253" s="243"/>
      <c r="BL253" s="243">
        <v>722</v>
      </c>
      <c r="BW253" s="243">
        <v>21</v>
      </c>
    </row>
    <row r="254" spans="1:75" ht="13.5" customHeight="1">
      <c r="A254" s="207" t="s">
        <v>799</v>
      </c>
      <c r="B254" s="208" t="s">
        <v>783</v>
      </c>
      <c r="C254" s="208" t="s">
        <v>359</v>
      </c>
      <c r="D254" s="268" t="s">
        <v>360</v>
      </c>
      <c r="E254" s="260"/>
      <c r="F254" s="208" t="s">
        <v>63</v>
      </c>
      <c r="G254" s="243">
        <v>8</v>
      </c>
      <c r="H254" s="244">
        <v>0</v>
      </c>
      <c r="I254" s="244">
        <f t="shared" si="240"/>
        <v>0</v>
      </c>
      <c r="K254" s="231"/>
      <c r="Z254" s="243">
        <f t="shared" si="241"/>
        <v>0</v>
      </c>
      <c r="AB254" s="243">
        <f t="shared" si="242"/>
        <v>0</v>
      </c>
      <c r="AC254" s="243">
        <f t="shared" si="243"/>
        <v>0</v>
      </c>
      <c r="AD254" s="243">
        <f t="shared" si="244"/>
        <v>0</v>
      </c>
      <c r="AE254" s="243">
        <f t="shared" si="245"/>
        <v>0</v>
      </c>
      <c r="AF254" s="243">
        <f t="shared" si="246"/>
        <v>0</v>
      </c>
      <c r="AG254" s="243">
        <f t="shared" si="247"/>
        <v>0</v>
      </c>
      <c r="AH254" s="243">
        <f t="shared" si="248"/>
        <v>0</v>
      </c>
      <c r="AI254" s="232" t="s">
        <v>783</v>
      </c>
      <c r="AJ254" s="243">
        <f t="shared" si="249"/>
        <v>0</v>
      </c>
      <c r="AK254" s="243">
        <f t="shared" si="250"/>
        <v>0</v>
      </c>
      <c r="AL254" s="243">
        <f t="shared" si="251"/>
        <v>0</v>
      </c>
      <c r="AN254" s="243">
        <v>21</v>
      </c>
      <c r="AO254" s="243">
        <f>H254*0</f>
        <v>0</v>
      </c>
      <c r="AP254" s="243">
        <f>H254*(1-0)</f>
        <v>0</v>
      </c>
      <c r="AQ254" s="245" t="s">
        <v>567</v>
      </c>
      <c r="AV254" s="243">
        <f t="shared" si="252"/>
        <v>0</v>
      </c>
      <c r="AW254" s="243">
        <f t="shared" si="253"/>
        <v>0</v>
      </c>
      <c r="AX254" s="243">
        <f t="shared" si="254"/>
        <v>0</v>
      </c>
      <c r="AY254" s="245" t="s">
        <v>610</v>
      </c>
      <c r="AZ254" s="245" t="s">
        <v>798</v>
      </c>
      <c r="BA254" s="232" t="s">
        <v>786</v>
      </c>
      <c r="BC254" s="243">
        <f t="shared" si="255"/>
        <v>0</v>
      </c>
      <c r="BD254" s="243">
        <f t="shared" si="256"/>
        <v>0</v>
      </c>
      <c r="BE254" s="243">
        <v>0</v>
      </c>
      <c r="BF254" s="243">
        <f>254</f>
        <v>254</v>
      </c>
      <c r="BH254" s="243">
        <f t="shared" si="257"/>
        <v>0</v>
      </c>
      <c r="BI254" s="243">
        <f t="shared" si="258"/>
        <v>0</v>
      </c>
      <c r="BJ254" s="243">
        <f t="shared" si="259"/>
        <v>0</v>
      </c>
      <c r="BK254" s="243"/>
      <c r="BL254" s="243">
        <v>722</v>
      </c>
      <c r="BW254" s="243">
        <v>21</v>
      </c>
    </row>
    <row r="255" spans="1:75" ht="13.5" customHeight="1">
      <c r="A255" s="207" t="s">
        <v>800</v>
      </c>
      <c r="B255" s="208" t="s">
        <v>783</v>
      </c>
      <c r="C255" s="208" t="s">
        <v>361</v>
      </c>
      <c r="D255" s="268" t="s">
        <v>362</v>
      </c>
      <c r="E255" s="260"/>
      <c r="F255" s="208" t="s">
        <v>68</v>
      </c>
      <c r="G255" s="243">
        <v>2</v>
      </c>
      <c r="H255" s="244">
        <v>0</v>
      </c>
      <c r="I255" s="244">
        <f t="shared" si="240"/>
        <v>0</v>
      </c>
      <c r="K255" s="231"/>
      <c r="Z255" s="243">
        <f t="shared" si="241"/>
        <v>0</v>
      </c>
      <c r="AB255" s="243">
        <f t="shared" si="242"/>
        <v>0</v>
      </c>
      <c r="AC255" s="243">
        <f t="shared" si="243"/>
        <v>0</v>
      </c>
      <c r="AD255" s="243">
        <f t="shared" si="244"/>
        <v>0</v>
      </c>
      <c r="AE255" s="243">
        <f t="shared" si="245"/>
        <v>0</v>
      </c>
      <c r="AF255" s="243">
        <f t="shared" si="246"/>
        <v>0</v>
      </c>
      <c r="AG255" s="243">
        <f t="shared" si="247"/>
        <v>0</v>
      </c>
      <c r="AH255" s="243">
        <f t="shared" si="248"/>
        <v>0</v>
      </c>
      <c r="AI255" s="232" t="s">
        <v>783</v>
      </c>
      <c r="AJ255" s="243">
        <f t="shared" si="249"/>
        <v>0</v>
      </c>
      <c r="AK255" s="243">
        <f t="shared" si="250"/>
        <v>0</v>
      </c>
      <c r="AL255" s="243">
        <f t="shared" si="251"/>
        <v>0</v>
      </c>
      <c r="AN255" s="243">
        <v>21</v>
      </c>
      <c r="AO255" s="243">
        <f>H255*0.635584415584416</f>
        <v>0</v>
      </c>
      <c r="AP255" s="243">
        <f>H255*(1-0.635584415584416)</f>
        <v>0</v>
      </c>
      <c r="AQ255" s="245" t="s">
        <v>567</v>
      </c>
      <c r="AV255" s="243">
        <f t="shared" si="252"/>
        <v>0</v>
      </c>
      <c r="AW255" s="243">
        <f t="shared" si="253"/>
        <v>0</v>
      </c>
      <c r="AX255" s="243">
        <f t="shared" si="254"/>
        <v>0</v>
      </c>
      <c r="AY255" s="245" t="s">
        <v>610</v>
      </c>
      <c r="AZ255" s="245" t="s">
        <v>798</v>
      </c>
      <c r="BA255" s="232" t="s">
        <v>786</v>
      </c>
      <c r="BC255" s="243">
        <f t="shared" si="255"/>
        <v>0</v>
      </c>
      <c r="BD255" s="243">
        <f t="shared" si="256"/>
        <v>0</v>
      </c>
      <c r="BE255" s="243">
        <v>0</v>
      </c>
      <c r="BF255" s="243">
        <f>255</f>
        <v>255</v>
      </c>
      <c r="BH255" s="243">
        <f t="shared" si="257"/>
        <v>0</v>
      </c>
      <c r="BI255" s="243">
        <f t="shared" si="258"/>
        <v>0</v>
      </c>
      <c r="BJ255" s="243">
        <f t="shared" si="259"/>
        <v>0</v>
      </c>
      <c r="BK255" s="243"/>
      <c r="BL255" s="243">
        <v>722</v>
      </c>
      <c r="BW255" s="243">
        <v>21</v>
      </c>
    </row>
    <row r="256" spans="1:75" ht="13.5" customHeight="1">
      <c r="A256" s="207" t="s">
        <v>801</v>
      </c>
      <c r="B256" s="208" t="s">
        <v>783</v>
      </c>
      <c r="C256" s="208" t="s">
        <v>136</v>
      </c>
      <c r="D256" s="268" t="s">
        <v>1314</v>
      </c>
      <c r="E256" s="260"/>
      <c r="F256" s="208" t="s">
        <v>63</v>
      </c>
      <c r="G256" s="243">
        <v>8</v>
      </c>
      <c r="H256" s="244">
        <v>0</v>
      </c>
      <c r="I256" s="244">
        <f t="shared" si="240"/>
        <v>0</v>
      </c>
      <c r="K256" s="231"/>
      <c r="Z256" s="243">
        <f t="shared" si="241"/>
        <v>0</v>
      </c>
      <c r="AB256" s="243">
        <f t="shared" si="242"/>
        <v>0</v>
      </c>
      <c r="AC256" s="243">
        <f t="shared" si="243"/>
        <v>0</v>
      </c>
      <c r="AD256" s="243">
        <f t="shared" si="244"/>
        <v>0</v>
      </c>
      <c r="AE256" s="243">
        <f t="shared" si="245"/>
        <v>0</v>
      </c>
      <c r="AF256" s="243">
        <f t="shared" si="246"/>
        <v>0</v>
      </c>
      <c r="AG256" s="243">
        <f t="shared" si="247"/>
        <v>0</v>
      </c>
      <c r="AH256" s="243">
        <f t="shared" si="248"/>
        <v>0</v>
      </c>
      <c r="AI256" s="232" t="s">
        <v>783</v>
      </c>
      <c r="AJ256" s="243">
        <f t="shared" si="249"/>
        <v>0</v>
      </c>
      <c r="AK256" s="243">
        <f t="shared" si="250"/>
        <v>0</v>
      </c>
      <c r="AL256" s="243">
        <f t="shared" si="251"/>
        <v>0</v>
      </c>
      <c r="AN256" s="243">
        <v>21</v>
      </c>
      <c r="AO256" s="243">
        <f>H256*0.388270254929131</f>
        <v>0</v>
      </c>
      <c r="AP256" s="243">
        <f>H256*(1-0.388270254929131)</f>
        <v>0</v>
      </c>
      <c r="AQ256" s="245" t="s">
        <v>567</v>
      </c>
      <c r="AV256" s="243">
        <f t="shared" si="252"/>
        <v>0</v>
      </c>
      <c r="AW256" s="243">
        <f t="shared" si="253"/>
        <v>0</v>
      </c>
      <c r="AX256" s="243">
        <f t="shared" si="254"/>
        <v>0</v>
      </c>
      <c r="AY256" s="245" t="s">
        <v>610</v>
      </c>
      <c r="AZ256" s="245" t="s">
        <v>798</v>
      </c>
      <c r="BA256" s="232" t="s">
        <v>786</v>
      </c>
      <c r="BC256" s="243">
        <f t="shared" si="255"/>
        <v>0</v>
      </c>
      <c r="BD256" s="243">
        <f t="shared" si="256"/>
        <v>0</v>
      </c>
      <c r="BE256" s="243">
        <v>0</v>
      </c>
      <c r="BF256" s="243">
        <f>256</f>
        <v>256</v>
      </c>
      <c r="BH256" s="243">
        <f t="shared" si="257"/>
        <v>0</v>
      </c>
      <c r="BI256" s="243">
        <f t="shared" si="258"/>
        <v>0</v>
      </c>
      <c r="BJ256" s="243">
        <f t="shared" si="259"/>
        <v>0</v>
      </c>
      <c r="BK256" s="243"/>
      <c r="BL256" s="243">
        <v>722</v>
      </c>
      <c r="BW256" s="243">
        <v>21</v>
      </c>
    </row>
    <row r="257" spans="1:75" ht="13.5" customHeight="1">
      <c r="A257" s="207" t="s">
        <v>802</v>
      </c>
      <c r="B257" s="208" t="s">
        <v>783</v>
      </c>
      <c r="C257" s="208" t="s">
        <v>143</v>
      </c>
      <c r="D257" s="268" t="s">
        <v>1344</v>
      </c>
      <c r="E257" s="260"/>
      <c r="F257" s="208" t="s">
        <v>63</v>
      </c>
      <c r="G257" s="243">
        <v>4</v>
      </c>
      <c r="H257" s="244">
        <v>0</v>
      </c>
      <c r="I257" s="244">
        <f t="shared" si="240"/>
        <v>0</v>
      </c>
      <c r="K257" s="231"/>
      <c r="Z257" s="243">
        <f t="shared" si="241"/>
        <v>0</v>
      </c>
      <c r="AB257" s="243">
        <f t="shared" si="242"/>
        <v>0</v>
      </c>
      <c r="AC257" s="243">
        <f t="shared" si="243"/>
        <v>0</v>
      </c>
      <c r="AD257" s="243">
        <f t="shared" si="244"/>
        <v>0</v>
      </c>
      <c r="AE257" s="243">
        <f t="shared" si="245"/>
        <v>0</v>
      </c>
      <c r="AF257" s="243">
        <f t="shared" si="246"/>
        <v>0</v>
      </c>
      <c r="AG257" s="243">
        <f t="shared" si="247"/>
        <v>0</v>
      </c>
      <c r="AH257" s="243">
        <f t="shared" si="248"/>
        <v>0</v>
      </c>
      <c r="AI257" s="232" t="s">
        <v>783</v>
      </c>
      <c r="AJ257" s="243">
        <f t="shared" si="249"/>
        <v>0</v>
      </c>
      <c r="AK257" s="243">
        <f t="shared" si="250"/>
        <v>0</v>
      </c>
      <c r="AL257" s="243">
        <f t="shared" si="251"/>
        <v>0</v>
      </c>
      <c r="AN257" s="243">
        <v>21</v>
      </c>
      <c r="AO257" s="243">
        <f>H257*0.628405063291139</f>
        <v>0</v>
      </c>
      <c r="AP257" s="243">
        <f>H257*(1-0.628405063291139)</f>
        <v>0</v>
      </c>
      <c r="AQ257" s="245" t="s">
        <v>567</v>
      </c>
      <c r="AV257" s="243">
        <f t="shared" si="252"/>
        <v>0</v>
      </c>
      <c r="AW257" s="243">
        <f t="shared" si="253"/>
        <v>0</v>
      </c>
      <c r="AX257" s="243">
        <f t="shared" si="254"/>
        <v>0</v>
      </c>
      <c r="AY257" s="245" t="s">
        <v>610</v>
      </c>
      <c r="AZ257" s="245" t="s">
        <v>798</v>
      </c>
      <c r="BA257" s="232" t="s">
        <v>786</v>
      </c>
      <c r="BC257" s="243">
        <f t="shared" si="255"/>
        <v>0</v>
      </c>
      <c r="BD257" s="243">
        <f t="shared" si="256"/>
        <v>0</v>
      </c>
      <c r="BE257" s="243">
        <v>0</v>
      </c>
      <c r="BF257" s="243">
        <f>257</f>
        <v>257</v>
      </c>
      <c r="BH257" s="243">
        <f t="shared" si="257"/>
        <v>0</v>
      </c>
      <c r="BI257" s="243">
        <f t="shared" si="258"/>
        <v>0</v>
      </c>
      <c r="BJ257" s="243">
        <f t="shared" si="259"/>
        <v>0</v>
      </c>
      <c r="BK257" s="243"/>
      <c r="BL257" s="243">
        <v>722</v>
      </c>
      <c r="BW257" s="243">
        <v>21</v>
      </c>
    </row>
    <row r="258" spans="1:75" ht="13.5" customHeight="1">
      <c r="A258" s="207" t="s">
        <v>803</v>
      </c>
      <c r="B258" s="208" t="s">
        <v>783</v>
      </c>
      <c r="C258" s="208" t="s">
        <v>364</v>
      </c>
      <c r="D258" s="268" t="s">
        <v>1345</v>
      </c>
      <c r="E258" s="260"/>
      <c r="F258" s="208" t="s">
        <v>63</v>
      </c>
      <c r="G258" s="243">
        <v>4</v>
      </c>
      <c r="H258" s="244">
        <v>0</v>
      </c>
      <c r="I258" s="244">
        <f t="shared" si="240"/>
        <v>0</v>
      </c>
      <c r="K258" s="231"/>
      <c r="Z258" s="243">
        <f t="shared" si="241"/>
        <v>0</v>
      </c>
      <c r="AB258" s="243">
        <f t="shared" si="242"/>
        <v>0</v>
      </c>
      <c r="AC258" s="243">
        <f t="shared" si="243"/>
        <v>0</v>
      </c>
      <c r="AD258" s="243">
        <f t="shared" si="244"/>
        <v>0</v>
      </c>
      <c r="AE258" s="243">
        <f t="shared" si="245"/>
        <v>0</v>
      </c>
      <c r="AF258" s="243">
        <f t="shared" si="246"/>
        <v>0</v>
      </c>
      <c r="AG258" s="243">
        <f t="shared" si="247"/>
        <v>0</v>
      </c>
      <c r="AH258" s="243">
        <f t="shared" si="248"/>
        <v>0</v>
      </c>
      <c r="AI258" s="232" t="s">
        <v>783</v>
      </c>
      <c r="AJ258" s="243">
        <f t="shared" si="249"/>
        <v>0</v>
      </c>
      <c r="AK258" s="243">
        <f t="shared" si="250"/>
        <v>0</v>
      </c>
      <c r="AL258" s="243">
        <f t="shared" si="251"/>
        <v>0</v>
      </c>
      <c r="AN258" s="243">
        <v>21</v>
      </c>
      <c r="AO258" s="243">
        <f>H258*0.373931824584468</f>
        <v>0</v>
      </c>
      <c r="AP258" s="243">
        <f>H258*(1-0.373931824584468)</f>
        <v>0</v>
      </c>
      <c r="AQ258" s="245" t="s">
        <v>567</v>
      </c>
      <c r="AV258" s="243">
        <f t="shared" si="252"/>
        <v>0</v>
      </c>
      <c r="AW258" s="243">
        <f t="shared" si="253"/>
        <v>0</v>
      </c>
      <c r="AX258" s="243">
        <f t="shared" si="254"/>
        <v>0</v>
      </c>
      <c r="AY258" s="245" t="s">
        <v>610</v>
      </c>
      <c r="AZ258" s="245" t="s">
        <v>798</v>
      </c>
      <c r="BA258" s="232" t="s">
        <v>786</v>
      </c>
      <c r="BC258" s="243">
        <f t="shared" si="255"/>
        <v>0</v>
      </c>
      <c r="BD258" s="243">
        <f t="shared" si="256"/>
        <v>0</v>
      </c>
      <c r="BE258" s="243">
        <v>0</v>
      </c>
      <c r="BF258" s="243">
        <f>258</f>
        <v>258</v>
      </c>
      <c r="BH258" s="243">
        <f t="shared" si="257"/>
        <v>0</v>
      </c>
      <c r="BI258" s="243">
        <f t="shared" si="258"/>
        <v>0</v>
      </c>
      <c r="BJ258" s="243">
        <f t="shared" si="259"/>
        <v>0</v>
      </c>
      <c r="BK258" s="243"/>
      <c r="BL258" s="243">
        <v>722</v>
      </c>
      <c r="BW258" s="243">
        <v>21</v>
      </c>
    </row>
    <row r="259" spans="1:75" ht="13.5" customHeight="1">
      <c r="A259" s="207" t="s">
        <v>804</v>
      </c>
      <c r="B259" s="208" t="s">
        <v>783</v>
      </c>
      <c r="C259" s="208" t="s">
        <v>366</v>
      </c>
      <c r="D259" s="268" t="s">
        <v>367</v>
      </c>
      <c r="E259" s="260"/>
      <c r="F259" s="208" t="s">
        <v>68</v>
      </c>
      <c r="G259" s="243">
        <v>1</v>
      </c>
      <c r="H259" s="244">
        <v>0</v>
      </c>
      <c r="I259" s="244">
        <f t="shared" si="240"/>
        <v>0</v>
      </c>
      <c r="K259" s="231"/>
      <c r="Z259" s="243">
        <f t="shared" si="241"/>
        <v>0</v>
      </c>
      <c r="AB259" s="243">
        <f t="shared" si="242"/>
        <v>0</v>
      </c>
      <c r="AC259" s="243">
        <f t="shared" si="243"/>
        <v>0</v>
      </c>
      <c r="AD259" s="243">
        <f t="shared" si="244"/>
        <v>0</v>
      </c>
      <c r="AE259" s="243">
        <f t="shared" si="245"/>
        <v>0</v>
      </c>
      <c r="AF259" s="243">
        <f t="shared" si="246"/>
        <v>0</v>
      </c>
      <c r="AG259" s="243">
        <f t="shared" si="247"/>
        <v>0</v>
      </c>
      <c r="AH259" s="243">
        <f t="shared" si="248"/>
        <v>0</v>
      </c>
      <c r="AI259" s="232" t="s">
        <v>783</v>
      </c>
      <c r="AJ259" s="243">
        <f t="shared" si="249"/>
        <v>0</v>
      </c>
      <c r="AK259" s="243">
        <f t="shared" si="250"/>
        <v>0</v>
      </c>
      <c r="AL259" s="243">
        <f t="shared" si="251"/>
        <v>0</v>
      </c>
      <c r="AN259" s="243">
        <v>21</v>
      </c>
      <c r="AO259" s="243">
        <f>H259*0.945809322033898</f>
        <v>0</v>
      </c>
      <c r="AP259" s="243">
        <f>H259*(1-0.945809322033898)</f>
        <v>0</v>
      </c>
      <c r="AQ259" s="245" t="s">
        <v>567</v>
      </c>
      <c r="AV259" s="243">
        <f t="shared" si="252"/>
        <v>0</v>
      </c>
      <c r="AW259" s="243">
        <f t="shared" si="253"/>
        <v>0</v>
      </c>
      <c r="AX259" s="243">
        <f t="shared" si="254"/>
        <v>0</v>
      </c>
      <c r="AY259" s="245" t="s">
        <v>610</v>
      </c>
      <c r="AZ259" s="245" t="s">
        <v>798</v>
      </c>
      <c r="BA259" s="232" t="s">
        <v>786</v>
      </c>
      <c r="BC259" s="243">
        <f t="shared" si="255"/>
        <v>0</v>
      </c>
      <c r="BD259" s="243">
        <f t="shared" si="256"/>
        <v>0</v>
      </c>
      <c r="BE259" s="243">
        <v>0</v>
      </c>
      <c r="BF259" s="243">
        <f>259</f>
        <v>259</v>
      </c>
      <c r="BH259" s="243">
        <f t="shared" si="257"/>
        <v>0</v>
      </c>
      <c r="BI259" s="243">
        <f t="shared" si="258"/>
        <v>0</v>
      </c>
      <c r="BJ259" s="243">
        <f t="shared" si="259"/>
        <v>0</v>
      </c>
      <c r="BK259" s="243"/>
      <c r="BL259" s="243">
        <v>722</v>
      </c>
      <c r="BW259" s="243">
        <v>21</v>
      </c>
    </row>
    <row r="260" spans="1:75" ht="13.5" customHeight="1">
      <c r="A260" s="207" t="s">
        <v>805</v>
      </c>
      <c r="B260" s="208" t="s">
        <v>783</v>
      </c>
      <c r="C260" s="208" t="s">
        <v>368</v>
      </c>
      <c r="D260" s="268" t="s">
        <v>369</v>
      </c>
      <c r="E260" s="260"/>
      <c r="F260" s="208" t="s">
        <v>68</v>
      </c>
      <c r="G260" s="243">
        <v>1</v>
      </c>
      <c r="H260" s="244">
        <v>0</v>
      </c>
      <c r="I260" s="244">
        <f t="shared" si="240"/>
        <v>0</v>
      </c>
      <c r="K260" s="231"/>
      <c r="Z260" s="243">
        <f t="shared" si="241"/>
        <v>0</v>
      </c>
      <c r="AB260" s="243">
        <f t="shared" si="242"/>
        <v>0</v>
      </c>
      <c r="AC260" s="243">
        <f t="shared" si="243"/>
        <v>0</v>
      </c>
      <c r="AD260" s="243">
        <f t="shared" si="244"/>
        <v>0</v>
      </c>
      <c r="AE260" s="243">
        <f t="shared" si="245"/>
        <v>0</v>
      </c>
      <c r="AF260" s="243">
        <f t="shared" si="246"/>
        <v>0</v>
      </c>
      <c r="AG260" s="243">
        <f t="shared" si="247"/>
        <v>0</v>
      </c>
      <c r="AH260" s="243">
        <f t="shared" si="248"/>
        <v>0</v>
      </c>
      <c r="AI260" s="232" t="s">
        <v>783</v>
      </c>
      <c r="AJ260" s="243">
        <f t="shared" si="249"/>
        <v>0</v>
      </c>
      <c r="AK260" s="243">
        <f t="shared" si="250"/>
        <v>0</v>
      </c>
      <c r="AL260" s="243">
        <f t="shared" si="251"/>
        <v>0</v>
      </c>
      <c r="AN260" s="243">
        <v>21</v>
      </c>
      <c r="AO260" s="243">
        <f>H260*0.963329388560158</f>
        <v>0</v>
      </c>
      <c r="AP260" s="243">
        <f>H260*(1-0.963329388560158)</f>
        <v>0</v>
      </c>
      <c r="AQ260" s="245" t="s">
        <v>567</v>
      </c>
      <c r="AV260" s="243">
        <f t="shared" si="252"/>
        <v>0</v>
      </c>
      <c r="AW260" s="243">
        <f t="shared" si="253"/>
        <v>0</v>
      </c>
      <c r="AX260" s="243">
        <f t="shared" si="254"/>
        <v>0</v>
      </c>
      <c r="AY260" s="245" t="s">
        <v>610</v>
      </c>
      <c r="AZ260" s="245" t="s">
        <v>798</v>
      </c>
      <c r="BA260" s="232" t="s">
        <v>786</v>
      </c>
      <c r="BC260" s="243">
        <f t="shared" si="255"/>
        <v>0</v>
      </c>
      <c r="BD260" s="243">
        <f t="shared" si="256"/>
        <v>0</v>
      </c>
      <c r="BE260" s="243">
        <v>0</v>
      </c>
      <c r="BF260" s="243">
        <f>260</f>
        <v>260</v>
      </c>
      <c r="BH260" s="243">
        <f t="shared" si="257"/>
        <v>0</v>
      </c>
      <c r="BI260" s="243">
        <f t="shared" si="258"/>
        <v>0</v>
      </c>
      <c r="BJ260" s="243">
        <f t="shared" si="259"/>
        <v>0</v>
      </c>
      <c r="BK260" s="243"/>
      <c r="BL260" s="243">
        <v>722</v>
      </c>
      <c r="BW260" s="243">
        <v>21</v>
      </c>
    </row>
    <row r="261" spans="1:75" ht="13.5" customHeight="1">
      <c r="A261" s="207" t="s">
        <v>806</v>
      </c>
      <c r="B261" s="208" t="s">
        <v>783</v>
      </c>
      <c r="C261" s="208" t="s">
        <v>149</v>
      </c>
      <c r="D261" s="268" t="s">
        <v>1320</v>
      </c>
      <c r="E261" s="260"/>
      <c r="F261" s="208" t="s">
        <v>68</v>
      </c>
      <c r="G261" s="243">
        <v>4</v>
      </c>
      <c r="H261" s="244">
        <v>0</v>
      </c>
      <c r="I261" s="244">
        <f t="shared" si="240"/>
        <v>0</v>
      </c>
      <c r="K261" s="231"/>
      <c r="Z261" s="243">
        <f t="shared" si="241"/>
        <v>0</v>
      </c>
      <c r="AB261" s="243">
        <f t="shared" si="242"/>
        <v>0</v>
      </c>
      <c r="AC261" s="243">
        <f t="shared" si="243"/>
        <v>0</v>
      </c>
      <c r="AD261" s="243">
        <f t="shared" si="244"/>
        <v>0</v>
      </c>
      <c r="AE261" s="243">
        <f t="shared" si="245"/>
        <v>0</v>
      </c>
      <c r="AF261" s="243">
        <f t="shared" si="246"/>
        <v>0</v>
      </c>
      <c r="AG261" s="243">
        <f t="shared" si="247"/>
        <v>0</v>
      </c>
      <c r="AH261" s="243">
        <f t="shared" si="248"/>
        <v>0</v>
      </c>
      <c r="AI261" s="232" t="s">
        <v>783</v>
      </c>
      <c r="AJ261" s="243">
        <f t="shared" si="249"/>
        <v>0</v>
      </c>
      <c r="AK261" s="243">
        <f t="shared" si="250"/>
        <v>0</v>
      </c>
      <c r="AL261" s="243">
        <f t="shared" si="251"/>
        <v>0</v>
      </c>
      <c r="AN261" s="243">
        <v>21</v>
      </c>
      <c r="AO261" s="243">
        <f>H261*0.767472727272727</f>
        <v>0</v>
      </c>
      <c r="AP261" s="243">
        <f>H261*(1-0.767472727272727)</f>
        <v>0</v>
      </c>
      <c r="AQ261" s="245" t="s">
        <v>567</v>
      </c>
      <c r="AV261" s="243">
        <f t="shared" si="252"/>
        <v>0</v>
      </c>
      <c r="AW261" s="243">
        <f t="shared" si="253"/>
        <v>0</v>
      </c>
      <c r="AX261" s="243">
        <f t="shared" si="254"/>
        <v>0</v>
      </c>
      <c r="AY261" s="245" t="s">
        <v>610</v>
      </c>
      <c r="AZ261" s="245" t="s">
        <v>798</v>
      </c>
      <c r="BA261" s="232" t="s">
        <v>786</v>
      </c>
      <c r="BC261" s="243">
        <f t="shared" si="255"/>
        <v>0</v>
      </c>
      <c r="BD261" s="243">
        <f t="shared" si="256"/>
        <v>0</v>
      </c>
      <c r="BE261" s="243">
        <v>0</v>
      </c>
      <c r="BF261" s="243">
        <f>261</f>
        <v>261</v>
      </c>
      <c r="BH261" s="243">
        <f t="shared" si="257"/>
        <v>0</v>
      </c>
      <c r="BI261" s="243">
        <f t="shared" si="258"/>
        <v>0</v>
      </c>
      <c r="BJ261" s="243">
        <f t="shared" si="259"/>
        <v>0</v>
      </c>
      <c r="BK261" s="243"/>
      <c r="BL261" s="243">
        <v>722</v>
      </c>
      <c r="BW261" s="243">
        <v>21</v>
      </c>
    </row>
    <row r="262" spans="1:75" ht="13.5" customHeight="1">
      <c r="A262" s="207" t="s">
        <v>807</v>
      </c>
      <c r="B262" s="208" t="s">
        <v>783</v>
      </c>
      <c r="C262" s="208" t="s">
        <v>370</v>
      </c>
      <c r="D262" s="268" t="s">
        <v>1346</v>
      </c>
      <c r="E262" s="260"/>
      <c r="F262" s="208" t="s">
        <v>68</v>
      </c>
      <c r="G262" s="243">
        <v>1</v>
      </c>
      <c r="H262" s="244">
        <v>0</v>
      </c>
      <c r="I262" s="244">
        <f t="shared" si="240"/>
        <v>0</v>
      </c>
      <c r="K262" s="231"/>
      <c r="Z262" s="243">
        <f t="shared" si="241"/>
        <v>0</v>
      </c>
      <c r="AB262" s="243">
        <f t="shared" si="242"/>
        <v>0</v>
      </c>
      <c r="AC262" s="243">
        <f t="shared" si="243"/>
        <v>0</v>
      </c>
      <c r="AD262" s="243">
        <f t="shared" si="244"/>
        <v>0</v>
      </c>
      <c r="AE262" s="243">
        <f t="shared" si="245"/>
        <v>0</v>
      </c>
      <c r="AF262" s="243">
        <f t="shared" si="246"/>
        <v>0</v>
      </c>
      <c r="AG262" s="243">
        <f t="shared" si="247"/>
        <v>0</v>
      </c>
      <c r="AH262" s="243">
        <f t="shared" si="248"/>
        <v>0</v>
      </c>
      <c r="AI262" s="232" t="s">
        <v>783</v>
      </c>
      <c r="AJ262" s="243">
        <f t="shared" si="249"/>
        <v>0</v>
      </c>
      <c r="AK262" s="243">
        <f t="shared" si="250"/>
        <v>0</v>
      </c>
      <c r="AL262" s="243">
        <f t="shared" si="251"/>
        <v>0</v>
      </c>
      <c r="AN262" s="243">
        <v>21</v>
      </c>
      <c r="AO262" s="243">
        <f>H262*0.869366700715015</f>
        <v>0</v>
      </c>
      <c r="AP262" s="243">
        <f>H262*(1-0.869366700715015)</f>
        <v>0</v>
      </c>
      <c r="AQ262" s="245" t="s">
        <v>567</v>
      </c>
      <c r="AV262" s="243">
        <f t="shared" si="252"/>
        <v>0</v>
      </c>
      <c r="AW262" s="243">
        <f t="shared" si="253"/>
        <v>0</v>
      </c>
      <c r="AX262" s="243">
        <f t="shared" si="254"/>
        <v>0</v>
      </c>
      <c r="AY262" s="245" t="s">
        <v>610</v>
      </c>
      <c r="AZ262" s="245" t="s">
        <v>798</v>
      </c>
      <c r="BA262" s="232" t="s">
        <v>786</v>
      </c>
      <c r="BC262" s="243">
        <f t="shared" si="255"/>
        <v>0</v>
      </c>
      <c r="BD262" s="243">
        <f t="shared" si="256"/>
        <v>0</v>
      </c>
      <c r="BE262" s="243">
        <v>0</v>
      </c>
      <c r="BF262" s="243">
        <f>262</f>
        <v>262</v>
      </c>
      <c r="BH262" s="243">
        <f t="shared" si="257"/>
        <v>0</v>
      </c>
      <c r="BI262" s="243">
        <f t="shared" si="258"/>
        <v>0</v>
      </c>
      <c r="BJ262" s="243">
        <f t="shared" si="259"/>
        <v>0</v>
      </c>
      <c r="BK262" s="243"/>
      <c r="BL262" s="243">
        <v>722</v>
      </c>
      <c r="BW262" s="243">
        <v>21</v>
      </c>
    </row>
    <row r="263" spans="1:75" ht="13.5" customHeight="1">
      <c r="A263" s="207" t="s">
        <v>808</v>
      </c>
      <c r="B263" s="208" t="s">
        <v>783</v>
      </c>
      <c r="C263" s="208" t="s">
        <v>372</v>
      </c>
      <c r="D263" s="268" t="s">
        <v>1347</v>
      </c>
      <c r="E263" s="260"/>
      <c r="F263" s="208" t="s">
        <v>68</v>
      </c>
      <c r="G263" s="243">
        <v>1</v>
      </c>
      <c r="H263" s="244">
        <v>0</v>
      </c>
      <c r="I263" s="244">
        <f t="shared" si="240"/>
        <v>0</v>
      </c>
      <c r="K263" s="231"/>
      <c r="Z263" s="243">
        <f t="shared" si="241"/>
        <v>0</v>
      </c>
      <c r="AB263" s="243">
        <f t="shared" si="242"/>
        <v>0</v>
      </c>
      <c r="AC263" s="243">
        <f t="shared" si="243"/>
        <v>0</v>
      </c>
      <c r="AD263" s="243">
        <f t="shared" si="244"/>
        <v>0</v>
      </c>
      <c r="AE263" s="243">
        <f t="shared" si="245"/>
        <v>0</v>
      </c>
      <c r="AF263" s="243">
        <f t="shared" si="246"/>
        <v>0</v>
      </c>
      <c r="AG263" s="243">
        <f t="shared" si="247"/>
        <v>0</v>
      </c>
      <c r="AH263" s="243">
        <f t="shared" si="248"/>
        <v>0</v>
      </c>
      <c r="AI263" s="232" t="s">
        <v>783</v>
      </c>
      <c r="AJ263" s="243">
        <f t="shared" si="249"/>
        <v>0</v>
      </c>
      <c r="AK263" s="243">
        <f t="shared" si="250"/>
        <v>0</v>
      </c>
      <c r="AL263" s="243">
        <f t="shared" si="251"/>
        <v>0</v>
      </c>
      <c r="AN263" s="243">
        <v>21</v>
      </c>
      <c r="AO263" s="243">
        <f>H263*0.767894736842105</f>
        <v>0</v>
      </c>
      <c r="AP263" s="243">
        <f>H263*(1-0.767894736842105)</f>
        <v>0</v>
      </c>
      <c r="AQ263" s="245" t="s">
        <v>567</v>
      </c>
      <c r="AV263" s="243">
        <f t="shared" si="252"/>
        <v>0</v>
      </c>
      <c r="AW263" s="243">
        <f t="shared" si="253"/>
        <v>0</v>
      </c>
      <c r="AX263" s="243">
        <f t="shared" si="254"/>
        <v>0</v>
      </c>
      <c r="AY263" s="245" t="s">
        <v>610</v>
      </c>
      <c r="AZ263" s="245" t="s">
        <v>798</v>
      </c>
      <c r="BA263" s="232" t="s">
        <v>786</v>
      </c>
      <c r="BC263" s="243">
        <f t="shared" si="255"/>
        <v>0</v>
      </c>
      <c r="BD263" s="243">
        <f t="shared" si="256"/>
        <v>0</v>
      </c>
      <c r="BE263" s="243">
        <v>0</v>
      </c>
      <c r="BF263" s="243">
        <f>263</f>
        <v>263</v>
      </c>
      <c r="BH263" s="243">
        <f t="shared" si="257"/>
        <v>0</v>
      </c>
      <c r="BI263" s="243">
        <f t="shared" si="258"/>
        <v>0</v>
      </c>
      <c r="BJ263" s="243">
        <f t="shared" si="259"/>
        <v>0</v>
      </c>
      <c r="BK263" s="243"/>
      <c r="BL263" s="243">
        <v>722</v>
      </c>
      <c r="BW263" s="243">
        <v>21</v>
      </c>
    </row>
    <row r="264" spans="1:75" ht="13.5" customHeight="1">
      <c r="A264" s="207" t="s">
        <v>809</v>
      </c>
      <c r="B264" s="208" t="s">
        <v>783</v>
      </c>
      <c r="C264" s="208" t="s">
        <v>156</v>
      </c>
      <c r="D264" s="268" t="s">
        <v>1348</v>
      </c>
      <c r="E264" s="260"/>
      <c r="F264" s="208" t="s">
        <v>68</v>
      </c>
      <c r="G264" s="243">
        <v>1</v>
      </c>
      <c r="H264" s="244">
        <v>0</v>
      </c>
      <c r="I264" s="244">
        <f t="shared" si="240"/>
        <v>0</v>
      </c>
      <c r="K264" s="231"/>
      <c r="Z264" s="243">
        <f t="shared" si="241"/>
        <v>0</v>
      </c>
      <c r="AB264" s="243">
        <f t="shared" si="242"/>
        <v>0</v>
      </c>
      <c r="AC264" s="243">
        <f t="shared" si="243"/>
        <v>0</v>
      </c>
      <c r="AD264" s="243">
        <f t="shared" si="244"/>
        <v>0</v>
      </c>
      <c r="AE264" s="243">
        <f t="shared" si="245"/>
        <v>0</v>
      </c>
      <c r="AF264" s="243">
        <f t="shared" si="246"/>
        <v>0</v>
      </c>
      <c r="AG264" s="243">
        <f t="shared" si="247"/>
        <v>0</v>
      </c>
      <c r="AH264" s="243">
        <f t="shared" si="248"/>
        <v>0</v>
      </c>
      <c r="AI264" s="232" t="s">
        <v>783</v>
      </c>
      <c r="AJ264" s="243">
        <f t="shared" si="249"/>
        <v>0</v>
      </c>
      <c r="AK264" s="243">
        <f t="shared" si="250"/>
        <v>0</v>
      </c>
      <c r="AL264" s="243">
        <f t="shared" si="251"/>
        <v>0</v>
      </c>
      <c r="AN264" s="243">
        <v>21</v>
      </c>
      <c r="AO264" s="243">
        <f>H264*0.901698693312836</f>
        <v>0</v>
      </c>
      <c r="AP264" s="243">
        <f>H264*(1-0.901698693312836)</f>
        <v>0</v>
      </c>
      <c r="AQ264" s="245" t="s">
        <v>567</v>
      </c>
      <c r="AV264" s="243">
        <f t="shared" si="252"/>
        <v>0</v>
      </c>
      <c r="AW264" s="243">
        <f t="shared" si="253"/>
        <v>0</v>
      </c>
      <c r="AX264" s="243">
        <f t="shared" si="254"/>
        <v>0</v>
      </c>
      <c r="AY264" s="245" t="s">
        <v>610</v>
      </c>
      <c r="AZ264" s="245" t="s">
        <v>798</v>
      </c>
      <c r="BA264" s="232" t="s">
        <v>786</v>
      </c>
      <c r="BC264" s="243">
        <f t="shared" si="255"/>
        <v>0</v>
      </c>
      <c r="BD264" s="243">
        <f t="shared" si="256"/>
        <v>0</v>
      </c>
      <c r="BE264" s="243">
        <v>0</v>
      </c>
      <c r="BF264" s="243">
        <f>264</f>
        <v>264</v>
      </c>
      <c r="BH264" s="243">
        <f t="shared" si="257"/>
        <v>0</v>
      </c>
      <c r="BI264" s="243">
        <f t="shared" si="258"/>
        <v>0</v>
      </c>
      <c r="BJ264" s="243">
        <f t="shared" si="259"/>
        <v>0</v>
      </c>
      <c r="BK264" s="243"/>
      <c r="BL264" s="243">
        <v>722</v>
      </c>
      <c r="BW264" s="243">
        <v>21</v>
      </c>
    </row>
    <row r="265" spans="1:75" ht="15" customHeight="1">
      <c r="A265" s="238" t="s">
        <v>21</v>
      </c>
      <c r="B265" s="239" t="s">
        <v>783</v>
      </c>
      <c r="C265" s="239" t="s">
        <v>380</v>
      </c>
      <c r="D265" s="309" t="s">
        <v>381</v>
      </c>
      <c r="E265" s="310"/>
      <c r="F265" s="240" t="s">
        <v>20</v>
      </c>
      <c r="G265" s="240" t="s">
        <v>20</v>
      </c>
      <c r="H265" s="241" t="s">
        <v>20</v>
      </c>
      <c r="I265" s="242">
        <f>SUM(I266:I266)</f>
        <v>0</v>
      </c>
      <c r="K265" s="231"/>
      <c r="AI265" s="232" t="s">
        <v>783</v>
      </c>
      <c r="AS265" s="225">
        <f>SUM(AJ266:AJ266)</f>
        <v>0</v>
      </c>
      <c r="AT265" s="225">
        <f>SUM(AK266:AK266)</f>
        <v>0</v>
      </c>
      <c r="AU265" s="225">
        <f>SUM(AL266:AL266)</f>
        <v>0</v>
      </c>
    </row>
    <row r="266" spans="1:75" ht="13.5" customHeight="1">
      <c r="A266" s="207" t="s">
        <v>810</v>
      </c>
      <c r="B266" s="208" t="s">
        <v>783</v>
      </c>
      <c r="C266" s="208" t="s">
        <v>83</v>
      </c>
      <c r="D266" s="268" t="s">
        <v>255</v>
      </c>
      <c r="E266" s="260"/>
      <c r="F266" s="208" t="s">
        <v>58</v>
      </c>
      <c r="G266" s="243">
        <v>1</v>
      </c>
      <c r="H266" s="244">
        <v>0</v>
      </c>
      <c r="I266" s="244">
        <f>G266*H266</f>
        <v>0</v>
      </c>
      <c r="K266" s="231"/>
      <c r="Z266" s="243">
        <f>IF(AQ266="5",BJ266,0)</f>
        <v>0</v>
      </c>
      <c r="AB266" s="243">
        <f>IF(AQ266="1",BH266,0)</f>
        <v>0</v>
      </c>
      <c r="AC266" s="243">
        <f>IF(AQ266="1",BI266,0)</f>
        <v>0</v>
      </c>
      <c r="AD266" s="243">
        <f>IF(AQ266="7",BH266,0)</f>
        <v>0</v>
      </c>
      <c r="AE266" s="243">
        <f>IF(AQ266="7",BI266,0)</f>
        <v>0</v>
      </c>
      <c r="AF266" s="243">
        <f>IF(AQ266="2",BH266,0)</f>
        <v>0</v>
      </c>
      <c r="AG266" s="243">
        <f>IF(AQ266="2",BI266,0)</f>
        <v>0</v>
      </c>
      <c r="AH266" s="243">
        <f>IF(AQ266="0",BJ266,0)</f>
        <v>0</v>
      </c>
      <c r="AI266" s="232" t="s">
        <v>783</v>
      </c>
      <c r="AJ266" s="243">
        <f>IF(AN266=0,I266,0)</f>
        <v>0</v>
      </c>
      <c r="AK266" s="243">
        <f>IF(AN266=12,I266,0)</f>
        <v>0</v>
      </c>
      <c r="AL266" s="243">
        <f>IF(AN266=21,I266,0)</f>
        <v>0</v>
      </c>
      <c r="AN266" s="243">
        <v>21</v>
      </c>
      <c r="AO266" s="243">
        <f>H266*0.346020761245675</f>
        <v>0</v>
      </c>
      <c r="AP266" s="243">
        <f>H266*(1-0.346020761245675)</f>
        <v>0</v>
      </c>
      <c r="AQ266" s="245" t="s">
        <v>567</v>
      </c>
      <c r="AV266" s="243">
        <f>AW266+AX266</f>
        <v>0</v>
      </c>
      <c r="AW266" s="243">
        <f>G266*AO266</f>
        <v>0</v>
      </c>
      <c r="AX266" s="243">
        <f>G266*AP266</f>
        <v>0</v>
      </c>
      <c r="AY266" s="245" t="s">
        <v>745</v>
      </c>
      <c r="AZ266" s="245" t="s">
        <v>813</v>
      </c>
      <c r="BA266" s="232" t="s">
        <v>786</v>
      </c>
      <c r="BC266" s="243">
        <f>AW266+AX266</f>
        <v>0</v>
      </c>
      <c r="BD266" s="243">
        <f>H266/(100-BE266)*100</f>
        <v>0</v>
      </c>
      <c r="BE266" s="243">
        <v>0</v>
      </c>
      <c r="BF266" s="243">
        <f>266</f>
        <v>266</v>
      </c>
      <c r="BH266" s="243">
        <f>G266*AO266</f>
        <v>0</v>
      </c>
      <c r="BI266" s="243">
        <f>G266*AP266</f>
        <v>0</v>
      </c>
      <c r="BJ266" s="243">
        <f>G266*H266</f>
        <v>0</v>
      </c>
      <c r="BK266" s="243"/>
      <c r="BL266" s="243">
        <v>73</v>
      </c>
      <c r="BW266" s="243">
        <v>21</v>
      </c>
    </row>
    <row r="267" spans="1:75" ht="15" customHeight="1">
      <c r="A267" s="238" t="s">
        <v>21</v>
      </c>
      <c r="B267" s="239" t="s">
        <v>783</v>
      </c>
      <c r="C267" s="239" t="s">
        <v>64</v>
      </c>
      <c r="D267" s="309" t="s">
        <v>65</v>
      </c>
      <c r="E267" s="310"/>
      <c r="F267" s="240" t="s">
        <v>20</v>
      </c>
      <c r="G267" s="240" t="s">
        <v>20</v>
      </c>
      <c r="H267" s="241" t="s">
        <v>20</v>
      </c>
      <c r="I267" s="242">
        <f>SUM(I268:I274)</f>
        <v>0</v>
      </c>
      <c r="K267" s="231"/>
      <c r="AI267" s="232" t="s">
        <v>783</v>
      </c>
      <c r="AS267" s="225">
        <f>SUM(AJ268:AJ274)</f>
        <v>0</v>
      </c>
      <c r="AT267" s="225">
        <f>SUM(AK268:AK274)</f>
        <v>0</v>
      </c>
      <c r="AU267" s="225">
        <f>SUM(AL268:AL274)</f>
        <v>0</v>
      </c>
    </row>
    <row r="268" spans="1:75" ht="13.5" customHeight="1">
      <c r="A268" s="207" t="s">
        <v>811</v>
      </c>
      <c r="B268" s="208" t="s">
        <v>783</v>
      </c>
      <c r="C268" s="208" t="s">
        <v>382</v>
      </c>
      <c r="D268" s="268" t="s">
        <v>114</v>
      </c>
      <c r="E268" s="260"/>
      <c r="F268" s="208" t="s">
        <v>58</v>
      </c>
      <c r="G268" s="243">
        <v>11</v>
      </c>
      <c r="H268" s="244">
        <v>0</v>
      </c>
      <c r="I268" s="244">
        <f t="shared" ref="I268:I274" si="260">G268*H268</f>
        <v>0</v>
      </c>
      <c r="K268" s="231"/>
      <c r="Z268" s="243">
        <f t="shared" ref="Z268:Z274" si="261">IF(AQ268="5",BJ268,0)</f>
        <v>0</v>
      </c>
      <c r="AB268" s="243">
        <f t="shared" ref="AB268:AB274" si="262">IF(AQ268="1",BH268,0)</f>
        <v>0</v>
      </c>
      <c r="AC268" s="243">
        <f t="shared" ref="AC268:AC274" si="263">IF(AQ268="1",BI268,0)</f>
        <v>0</v>
      </c>
      <c r="AD268" s="243">
        <f t="shared" ref="AD268:AD274" si="264">IF(AQ268="7",BH268,0)</f>
        <v>0</v>
      </c>
      <c r="AE268" s="243">
        <f t="shared" ref="AE268:AE274" si="265">IF(AQ268="7",BI268,0)</f>
        <v>0</v>
      </c>
      <c r="AF268" s="243">
        <f t="shared" ref="AF268:AF274" si="266">IF(AQ268="2",BH268,0)</f>
        <v>0</v>
      </c>
      <c r="AG268" s="243">
        <f t="shared" ref="AG268:AG274" si="267">IF(AQ268="2",BI268,0)</f>
        <v>0</v>
      </c>
      <c r="AH268" s="243">
        <f t="shared" ref="AH268:AH274" si="268">IF(AQ268="0",BJ268,0)</f>
        <v>0</v>
      </c>
      <c r="AI268" s="232" t="s">
        <v>783</v>
      </c>
      <c r="AJ268" s="243">
        <f t="shared" ref="AJ268:AJ274" si="269">IF(AN268=0,I268,0)</f>
        <v>0</v>
      </c>
      <c r="AK268" s="243">
        <f t="shared" ref="AK268:AK274" si="270">IF(AN268=12,I268,0)</f>
        <v>0</v>
      </c>
      <c r="AL268" s="243">
        <f t="shared" ref="AL268:AL274" si="271">IF(AN268=21,I268,0)</f>
        <v>0</v>
      </c>
      <c r="AN268" s="243">
        <v>21</v>
      </c>
      <c r="AO268" s="243">
        <f>H268*0.658518518518519</f>
        <v>0</v>
      </c>
      <c r="AP268" s="243">
        <f>H268*(1-0.658518518518519)</f>
        <v>0</v>
      </c>
      <c r="AQ268" s="245" t="s">
        <v>567</v>
      </c>
      <c r="AV268" s="243">
        <f t="shared" ref="AV268:AV274" si="272">AW268+AX268</f>
        <v>0</v>
      </c>
      <c r="AW268" s="243">
        <f t="shared" ref="AW268:AW274" si="273">G268*AO268</f>
        <v>0</v>
      </c>
      <c r="AX268" s="243">
        <f t="shared" ref="AX268:AX274" si="274">G268*AP268</f>
        <v>0</v>
      </c>
      <c r="AY268" s="245" t="s">
        <v>580</v>
      </c>
      <c r="AZ268" s="245" t="s">
        <v>813</v>
      </c>
      <c r="BA268" s="232" t="s">
        <v>786</v>
      </c>
      <c r="BC268" s="243">
        <f t="shared" ref="BC268:BC274" si="275">AW268+AX268</f>
        <v>0</v>
      </c>
      <c r="BD268" s="243">
        <f t="shared" ref="BD268:BD274" si="276">H268/(100-BE268)*100</f>
        <v>0</v>
      </c>
      <c r="BE268" s="243">
        <v>0</v>
      </c>
      <c r="BF268" s="243">
        <f>268</f>
        <v>268</v>
      </c>
      <c r="BH268" s="243">
        <f t="shared" ref="BH268:BH274" si="277">G268*AO268</f>
        <v>0</v>
      </c>
      <c r="BI268" s="243">
        <f t="shared" ref="BI268:BI274" si="278">G268*AP268</f>
        <v>0</v>
      </c>
      <c r="BJ268" s="243">
        <f t="shared" ref="BJ268:BJ274" si="279">G268*H268</f>
        <v>0</v>
      </c>
      <c r="BK268" s="243"/>
      <c r="BL268" s="243">
        <v>732</v>
      </c>
      <c r="BW268" s="243">
        <v>21</v>
      </c>
    </row>
    <row r="269" spans="1:75" ht="13.5" customHeight="1">
      <c r="A269" s="207" t="s">
        <v>812</v>
      </c>
      <c r="B269" s="208" t="s">
        <v>783</v>
      </c>
      <c r="C269" s="208" t="s">
        <v>383</v>
      </c>
      <c r="D269" s="268" t="s">
        <v>384</v>
      </c>
      <c r="E269" s="260"/>
      <c r="F269" s="208" t="s">
        <v>63</v>
      </c>
      <c r="G269" s="243">
        <v>2</v>
      </c>
      <c r="H269" s="244">
        <v>0</v>
      </c>
      <c r="I269" s="244">
        <f t="shared" si="260"/>
        <v>0</v>
      </c>
      <c r="K269" s="231"/>
      <c r="Z269" s="243">
        <f t="shared" si="261"/>
        <v>0</v>
      </c>
      <c r="AB269" s="243">
        <f t="shared" si="262"/>
        <v>0</v>
      </c>
      <c r="AC269" s="243">
        <f t="shared" si="263"/>
        <v>0</v>
      </c>
      <c r="AD269" s="243">
        <f t="shared" si="264"/>
        <v>0</v>
      </c>
      <c r="AE269" s="243">
        <f t="shared" si="265"/>
        <v>0</v>
      </c>
      <c r="AF269" s="243">
        <f t="shared" si="266"/>
        <v>0</v>
      </c>
      <c r="AG269" s="243">
        <f t="shared" si="267"/>
        <v>0</v>
      </c>
      <c r="AH269" s="243">
        <f t="shared" si="268"/>
        <v>0</v>
      </c>
      <c r="AI269" s="232" t="s">
        <v>783</v>
      </c>
      <c r="AJ269" s="243">
        <f t="shared" si="269"/>
        <v>0</v>
      </c>
      <c r="AK269" s="243">
        <f t="shared" si="270"/>
        <v>0</v>
      </c>
      <c r="AL269" s="243">
        <f t="shared" si="271"/>
        <v>0</v>
      </c>
      <c r="AN269" s="243">
        <v>21</v>
      </c>
      <c r="AO269" s="243">
        <f>H269*0</f>
        <v>0</v>
      </c>
      <c r="AP269" s="243">
        <f>H269*(1-0)</f>
        <v>0</v>
      </c>
      <c r="AQ269" s="245" t="s">
        <v>567</v>
      </c>
      <c r="AV269" s="243">
        <f t="shared" si="272"/>
        <v>0</v>
      </c>
      <c r="AW269" s="243">
        <f t="shared" si="273"/>
        <v>0</v>
      </c>
      <c r="AX269" s="243">
        <f t="shared" si="274"/>
        <v>0</v>
      </c>
      <c r="AY269" s="245" t="s">
        <v>580</v>
      </c>
      <c r="AZ269" s="245" t="s">
        <v>813</v>
      </c>
      <c r="BA269" s="232" t="s">
        <v>786</v>
      </c>
      <c r="BC269" s="243">
        <f t="shared" si="275"/>
        <v>0</v>
      </c>
      <c r="BD269" s="243">
        <f t="shared" si="276"/>
        <v>0</v>
      </c>
      <c r="BE269" s="243">
        <v>0</v>
      </c>
      <c r="BF269" s="243">
        <f>269</f>
        <v>269</v>
      </c>
      <c r="BH269" s="243">
        <f t="shared" si="277"/>
        <v>0</v>
      </c>
      <c r="BI269" s="243">
        <f t="shared" si="278"/>
        <v>0</v>
      </c>
      <c r="BJ269" s="243">
        <f t="shared" si="279"/>
        <v>0</v>
      </c>
      <c r="BK269" s="243"/>
      <c r="BL269" s="243">
        <v>732</v>
      </c>
      <c r="BW269" s="243">
        <v>21</v>
      </c>
    </row>
    <row r="270" spans="1:75" ht="13.5" customHeight="1">
      <c r="A270" s="207" t="s">
        <v>814</v>
      </c>
      <c r="B270" s="208" t="s">
        <v>783</v>
      </c>
      <c r="C270" s="208" t="s">
        <v>385</v>
      </c>
      <c r="D270" s="268" t="s">
        <v>386</v>
      </c>
      <c r="E270" s="260"/>
      <c r="F270" s="208" t="s">
        <v>68</v>
      </c>
      <c r="G270" s="243">
        <v>1</v>
      </c>
      <c r="H270" s="244">
        <v>0</v>
      </c>
      <c r="I270" s="244">
        <f t="shared" si="260"/>
        <v>0</v>
      </c>
      <c r="K270" s="231"/>
      <c r="Z270" s="243">
        <f t="shared" si="261"/>
        <v>0</v>
      </c>
      <c r="AB270" s="243">
        <f t="shared" si="262"/>
        <v>0</v>
      </c>
      <c r="AC270" s="243">
        <f t="shared" si="263"/>
        <v>0</v>
      </c>
      <c r="AD270" s="243">
        <f t="shared" si="264"/>
        <v>0</v>
      </c>
      <c r="AE270" s="243">
        <f t="shared" si="265"/>
        <v>0</v>
      </c>
      <c r="AF270" s="243">
        <f t="shared" si="266"/>
        <v>0</v>
      </c>
      <c r="AG270" s="243">
        <f t="shared" si="267"/>
        <v>0</v>
      </c>
      <c r="AH270" s="243">
        <f t="shared" si="268"/>
        <v>0</v>
      </c>
      <c r="AI270" s="232" t="s">
        <v>783</v>
      </c>
      <c r="AJ270" s="243">
        <f t="shared" si="269"/>
        <v>0</v>
      </c>
      <c r="AK270" s="243">
        <f t="shared" si="270"/>
        <v>0</v>
      </c>
      <c r="AL270" s="243">
        <f t="shared" si="271"/>
        <v>0</v>
      </c>
      <c r="AN270" s="243">
        <v>21</v>
      </c>
      <c r="AO270" s="243">
        <f>H270*0.674383346425766</f>
        <v>0</v>
      </c>
      <c r="AP270" s="243">
        <f>H270*(1-0.674383346425766)</f>
        <v>0</v>
      </c>
      <c r="AQ270" s="245" t="s">
        <v>567</v>
      </c>
      <c r="AV270" s="243">
        <f t="shared" si="272"/>
        <v>0</v>
      </c>
      <c r="AW270" s="243">
        <f t="shared" si="273"/>
        <v>0</v>
      </c>
      <c r="AX270" s="243">
        <f t="shared" si="274"/>
        <v>0</v>
      </c>
      <c r="AY270" s="245" t="s">
        <v>580</v>
      </c>
      <c r="AZ270" s="245" t="s">
        <v>813</v>
      </c>
      <c r="BA270" s="232" t="s">
        <v>786</v>
      </c>
      <c r="BC270" s="243">
        <f t="shared" si="275"/>
        <v>0</v>
      </c>
      <c r="BD270" s="243">
        <f t="shared" si="276"/>
        <v>0</v>
      </c>
      <c r="BE270" s="243">
        <v>0</v>
      </c>
      <c r="BF270" s="243">
        <f>270</f>
        <v>270</v>
      </c>
      <c r="BH270" s="243">
        <f t="shared" si="277"/>
        <v>0</v>
      </c>
      <c r="BI270" s="243">
        <f t="shared" si="278"/>
        <v>0</v>
      </c>
      <c r="BJ270" s="243">
        <f t="shared" si="279"/>
        <v>0</v>
      </c>
      <c r="BK270" s="243"/>
      <c r="BL270" s="243">
        <v>732</v>
      </c>
      <c r="BW270" s="243">
        <v>21</v>
      </c>
    </row>
    <row r="271" spans="1:75" ht="13.5" customHeight="1">
      <c r="A271" s="207" t="s">
        <v>815</v>
      </c>
      <c r="B271" s="208" t="s">
        <v>783</v>
      </c>
      <c r="C271" s="208" t="s">
        <v>387</v>
      </c>
      <c r="D271" s="268" t="s">
        <v>388</v>
      </c>
      <c r="E271" s="260"/>
      <c r="F271" s="208" t="s">
        <v>68</v>
      </c>
      <c r="G271" s="243">
        <v>2</v>
      </c>
      <c r="H271" s="244">
        <v>0</v>
      </c>
      <c r="I271" s="244">
        <f t="shared" si="260"/>
        <v>0</v>
      </c>
      <c r="K271" s="231"/>
      <c r="Z271" s="243">
        <f t="shared" si="261"/>
        <v>0</v>
      </c>
      <c r="AB271" s="243">
        <f t="shared" si="262"/>
        <v>0</v>
      </c>
      <c r="AC271" s="243">
        <f t="shared" si="263"/>
        <v>0</v>
      </c>
      <c r="AD271" s="243">
        <f t="shared" si="264"/>
        <v>0</v>
      </c>
      <c r="AE271" s="243">
        <f t="shared" si="265"/>
        <v>0</v>
      </c>
      <c r="AF271" s="243">
        <f t="shared" si="266"/>
        <v>0</v>
      </c>
      <c r="AG271" s="243">
        <f t="shared" si="267"/>
        <v>0</v>
      </c>
      <c r="AH271" s="243">
        <f t="shared" si="268"/>
        <v>0</v>
      </c>
      <c r="AI271" s="232" t="s">
        <v>783</v>
      </c>
      <c r="AJ271" s="243">
        <f t="shared" si="269"/>
        <v>0</v>
      </c>
      <c r="AK271" s="243">
        <f t="shared" si="270"/>
        <v>0</v>
      </c>
      <c r="AL271" s="243">
        <f t="shared" si="271"/>
        <v>0</v>
      </c>
      <c r="AN271" s="243">
        <v>21</v>
      </c>
      <c r="AO271" s="243">
        <f>H271*0.532435331230284</f>
        <v>0</v>
      </c>
      <c r="AP271" s="243">
        <f>H271*(1-0.532435331230284)</f>
        <v>0</v>
      </c>
      <c r="AQ271" s="245" t="s">
        <v>567</v>
      </c>
      <c r="AV271" s="243">
        <f t="shared" si="272"/>
        <v>0</v>
      </c>
      <c r="AW271" s="243">
        <f t="shared" si="273"/>
        <v>0</v>
      </c>
      <c r="AX271" s="243">
        <f t="shared" si="274"/>
        <v>0</v>
      </c>
      <c r="AY271" s="245" t="s">
        <v>580</v>
      </c>
      <c r="AZ271" s="245" t="s">
        <v>813</v>
      </c>
      <c r="BA271" s="232" t="s">
        <v>786</v>
      </c>
      <c r="BC271" s="243">
        <f t="shared" si="275"/>
        <v>0</v>
      </c>
      <c r="BD271" s="243">
        <f t="shared" si="276"/>
        <v>0</v>
      </c>
      <c r="BE271" s="243">
        <v>0</v>
      </c>
      <c r="BF271" s="243">
        <f>271</f>
        <v>271</v>
      </c>
      <c r="BH271" s="243">
        <f t="shared" si="277"/>
        <v>0</v>
      </c>
      <c r="BI271" s="243">
        <f t="shared" si="278"/>
        <v>0</v>
      </c>
      <c r="BJ271" s="243">
        <f t="shared" si="279"/>
        <v>0</v>
      </c>
      <c r="BK271" s="243"/>
      <c r="BL271" s="243">
        <v>732</v>
      </c>
      <c r="BW271" s="243">
        <v>21</v>
      </c>
    </row>
    <row r="272" spans="1:75" ht="13.5" customHeight="1">
      <c r="A272" s="207" t="s">
        <v>816</v>
      </c>
      <c r="B272" s="208" t="s">
        <v>783</v>
      </c>
      <c r="C272" s="208" t="s">
        <v>179</v>
      </c>
      <c r="D272" s="268" t="s">
        <v>1330</v>
      </c>
      <c r="E272" s="260"/>
      <c r="F272" s="208" t="s">
        <v>21</v>
      </c>
      <c r="G272" s="243">
        <v>1</v>
      </c>
      <c r="H272" s="244">
        <v>0</v>
      </c>
      <c r="I272" s="244">
        <f t="shared" si="260"/>
        <v>0</v>
      </c>
      <c r="K272" s="231"/>
      <c r="Z272" s="243">
        <f t="shared" si="261"/>
        <v>0</v>
      </c>
      <c r="AB272" s="243">
        <f t="shared" si="262"/>
        <v>0</v>
      </c>
      <c r="AC272" s="243">
        <f t="shared" si="263"/>
        <v>0</v>
      </c>
      <c r="AD272" s="243">
        <f t="shared" si="264"/>
        <v>0</v>
      </c>
      <c r="AE272" s="243">
        <f t="shared" si="265"/>
        <v>0</v>
      </c>
      <c r="AF272" s="243">
        <f t="shared" si="266"/>
        <v>0</v>
      </c>
      <c r="AG272" s="243">
        <f t="shared" si="267"/>
        <v>0</v>
      </c>
      <c r="AH272" s="243">
        <f t="shared" si="268"/>
        <v>0</v>
      </c>
      <c r="AI272" s="232" t="s">
        <v>783</v>
      </c>
      <c r="AJ272" s="243">
        <f t="shared" si="269"/>
        <v>0</v>
      </c>
      <c r="AK272" s="243">
        <f t="shared" si="270"/>
        <v>0</v>
      </c>
      <c r="AL272" s="243">
        <f t="shared" si="271"/>
        <v>0</v>
      </c>
      <c r="AN272" s="243">
        <v>21</v>
      </c>
      <c r="AO272" s="243">
        <f>H272*0.974240082431736</f>
        <v>0</v>
      </c>
      <c r="AP272" s="243">
        <f>H272*(1-0.974240082431736)</f>
        <v>0</v>
      </c>
      <c r="AQ272" s="245" t="s">
        <v>567</v>
      </c>
      <c r="AV272" s="243">
        <f t="shared" si="272"/>
        <v>0</v>
      </c>
      <c r="AW272" s="243">
        <f t="shared" si="273"/>
        <v>0</v>
      </c>
      <c r="AX272" s="243">
        <f t="shared" si="274"/>
        <v>0</v>
      </c>
      <c r="AY272" s="245" t="s">
        <v>580</v>
      </c>
      <c r="AZ272" s="245" t="s">
        <v>813</v>
      </c>
      <c r="BA272" s="232" t="s">
        <v>786</v>
      </c>
      <c r="BC272" s="243">
        <f t="shared" si="275"/>
        <v>0</v>
      </c>
      <c r="BD272" s="243">
        <f t="shared" si="276"/>
        <v>0</v>
      </c>
      <c r="BE272" s="243">
        <v>0</v>
      </c>
      <c r="BF272" s="243">
        <f>272</f>
        <v>272</v>
      </c>
      <c r="BH272" s="243">
        <f t="shared" si="277"/>
        <v>0</v>
      </c>
      <c r="BI272" s="243">
        <f t="shared" si="278"/>
        <v>0</v>
      </c>
      <c r="BJ272" s="243">
        <f t="shared" si="279"/>
        <v>0</v>
      </c>
      <c r="BK272" s="243"/>
      <c r="BL272" s="243">
        <v>732</v>
      </c>
      <c r="BW272" s="243">
        <v>21</v>
      </c>
    </row>
    <row r="273" spans="1:75" ht="13.5" customHeight="1">
      <c r="A273" s="207" t="s">
        <v>817</v>
      </c>
      <c r="B273" s="208" t="s">
        <v>783</v>
      </c>
      <c r="C273" s="208" t="s">
        <v>390</v>
      </c>
      <c r="D273" s="268" t="s">
        <v>391</v>
      </c>
      <c r="E273" s="260"/>
      <c r="F273" s="208" t="s">
        <v>58</v>
      </c>
      <c r="G273" s="243">
        <v>1</v>
      </c>
      <c r="H273" s="244">
        <v>0</v>
      </c>
      <c r="I273" s="244">
        <f t="shared" si="260"/>
        <v>0</v>
      </c>
      <c r="K273" s="231"/>
      <c r="Z273" s="243">
        <f t="shared" si="261"/>
        <v>0</v>
      </c>
      <c r="AB273" s="243">
        <f t="shared" si="262"/>
        <v>0</v>
      </c>
      <c r="AC273" s="243">
        <f t="shared" si="263"/>
        <v>0</v>
      </c>
      <c r="AD273" s="243">
        <f t="shared" si="264"/>
        <v>0</v>
      </c>
      <c r="AE273" s="243">
        <f t="shared" si="265"/>
        <v>0</v>
      </c>
      <c r="AF273" s="243">
        <f t="shared" si="266"/>
        <v>0</v>
      </c>
      <c r="AG273" s="243">
        <f t="shared" si="267"/>
        <v>0</v>
      </c>
      <c r="AH273" s="243">
        <f t="shared" si="268"/>
        <v>0</v>
      </c>
      <c r="AI273" s="232" t="s">
        <v>783</v>
      </c>
      <c r="AJ273" s="243">
        <f t="shared" si="269"/>
        <v>0</v>
      </c>
      <c r="AK273" s="243">
        <f t="shared" si="270"/>
        <v>0</v>
      </c>
      <c r="AL273" s="243">
        <f t="shared" si="271"/>
        <v>0</v>
      </c>
      <c r="AN273" s="243">
        <v>21</v>
      </c>
      <c r="AO273" s="243">
        <f>H273*0.642985041792658</f>
        <v>0</v>
      </c>
      <c r="AP273" s="243">
        <f>H273*(1-0.642985041792658)</f>
        <v>0</v>
      </c>
      <c r="AQ273" s="245" t="s">
        <v>567</v>
      </c>
      <c r="AV273" s="243">
        <f t="shared" si="272"/>
        <v>0</v>
      </c>
      <c r="AW273" s="243">
        <f t="shared" si="273"/>
        <v>0</v>
      </c>
      <c r="AX273" s="243">
        <f t="shared" si="274"/>
        <v>0</v>
      </c>
      <c r="AY273" s="245" t="s">
        <v>580</v>
      </c>
      <c r="AZ273" s="245" t="s">
        <v>813</v>
      </c>
      <c r="BA273" s="232" t="s">
        <v>786</v>
      </c>
      <c r="BC273" s="243">
        <f t="shared" si="275"/>
        <v>0</v>
      </c>
      <c r="BD273" s="243">
        <f t="shared" si="276"/>
        <v>0</v>
      </c>
      <c r="BE273" s="243">
        <v>0</v>
      </c>
      <c r="BF273" s="243">
        <f>273</f>
        <v>273</v>
      </c>
      <c r="BH273" s="243">
        <f t="shared" si="277"/>
        <v>0</v>
      </c>
      <c r="BI273" s="243">
        <f t="shared" si="278"/>
        <v>0</v>
      </c>
      <c r="BJ273" s="243">
        <f t="shared" si="279"/>
        <v>0</v>
      </c>
      <c r="BK273" s="243"/>
      <c r="BL273" s="243">
        <v>732</v>
      </c>
      <c r="BW273" s="243">
        <v>21</v>
      </c>
    </row>
    <row r="274" spans="1:75" ht="13.5" customHeight="1">
      <c r="A274" s="207" t="s">
        <v>818</v>
      </c>
      <c r="B274" s="208" t="s">
        <v>783</v>
      </c>
      <c r="C274" s="208" t="s">
        <v>392</v>
      </c>
      <c r="D274" s="268" t="s">
        <v>1361</v>
      </c>
      <c r="E274" s="260"/>
      <c r="F274" s="208" t="s">
        <v>68</v>
      </c>
      <c r="G274" s="243">
        <v>1</v>
      </c>
      <c r="H274" s="244">
        <v>0</v>
      </c>
      <c r="I274" s="244">
        <f t="shared" si="260"/>
        <v>0</v>
      </c>
      <c r="K274" s="231"/>
      <c r="Z274" s="243">
        <f t="shared" si="261"/>
        <v>0</v>
      </c>
      <c r="AB274" s="243">
        <f t="shared" si="262"/>
        <v>0</v>
      </c>
      <c r="AC274" s="243">
        <f t="shared" si="263"/>
        <v>0</v>
      </c>
      <c r="AD274" s="243">
        <f t="shared" si="264"/>
        <v>0</v>
      </c>
      <c r="AE274" s="243">
        <f t="shared" si="265"/>
        <v>0</v>
      </c>
      <c r="AF274" s="243">
        <f t="shared" si="266"/>
        <v>0</v>
      </c>
      <c r="AG274" s="243">
        <f t="shared" si="267"/>
        <v>0</v>
      </c>
      <c r="AH274" s="243">
        <f t="shared" si="268"/>
        <v>0</v>
      </c>
      <c r="AI274" s="232" t="s">
        <v>783</v>
      </c>
      <c r="AJ274" s="243">
        <f t="shared" si="269"/>
        <v>0</v>
      </c>
      <c r="AK274" s="243">
        <f t="shared" si="270"/>
        <v>0</v>
      </c>
      <c r="AL274" s="243">
        <f t="shared" si="271"/>
        <v>0</v>
      </c>
      <c r="AN274" s="243">
        <v>21</v>
      </c>
      <c r="AO274" s="243">
        <f>H274*1</f>
        <v>0</v>
      </c>
      <c r="AP274" s="243">
        <f>H274*(1-1)</f>
        <v>0</v>
      </c>
      <c r="AQ274" s="245" t="s">
        <v>567</v>
      </c>
      <c r="AV274" s="243">
        <f t="shared" si="272"/>
        <v>0</v>
      </c>
      <c r="AW274" s="243">
        <f t="shared" si="273"/>
        <v>0</v>
      </c>
      <c r="AX274" s="243">
        <f t="shared" si="274"/>
        <v>0</v>
      </c>
      <c r="AY274" s="245" t="s">
        <v>580</v>
      </c>
      <c r="AZ274" s="245" t="s">
        <v>813</v>
      </c>
      <c r="BA274" s="232" t="s">
        <v>786</v>
      </c>
      <c r="BC274" s="243">
        <f t="shared" si="275"/>
        <v>0</v>
      </c>
      <c r="BD274" s="243">
        <f t="shared" si="276"/>
        <v>0</v>
      </c>
      <c r="BE274" s="243">
        <v>0</v>
      </c>
      <c r="BF274" s="243">
        <f>274</f>
        <v>274</v>
      </c>
      <c r="BH274" s="243">
        <f t="shared" si="277"/>
        <v>0</v>
      </c>
      <c r="BI274" s="243">
        <f t="shared" si="278"/>
        <v>0</v>
      </c>
      <c r="BJ274" s="243">
        <f t="shared" si="279"/>
        <v>0</v>
      </c>
      <c r="BK274" s="243"/>
      <c r="BL274" s="243">
        <v>732</v>
      </c>
      <c r="BW274" s="243">
        <v>21</v>
      </c>
    </row>
    <row r="275" spans="1:75" ht="15" customHeight="1">
      <c r="A275" s="238" t="s">
        <v>21</v>
      </c>
      <c r="B275" s="239" t="s">
        <v>783</v>
      </c>
      <c r="C275" s="239" t="s">
        <v>85</v>
      </c>
      <c r="D275" s="309" t="s">
        <v>86</v>
      </c>
      <c r="E275" s="310"/>
      <c r="F275" s="240" t="s">
        <v>20</v>
      </c>
      <c r="G275" s="240" t="s">
        <v>20</v>
      </c>
      <c r="H275" s="241" t="s">
        <v>20</v>
      </c>
      <c r="I275" s="242">
        <f>SUM(I276:I286)</f>
        <v>0</v>
      </c>
      <c r="K275" s="231"/>
      <c r="AI275" s="232" t="s">
        <v>783</v>
      </c>
      <c r="AS275" s="225">
        <f>SUM(AJ276:AJ286)</f>
        <v>0</v>
      </c>
      <c r="AT275" s="225">
        <f>SUM(AK276:AK286)</f>
        <v>0</v>
      </c>
      <c r="AU275" s="225">
        <f>SUM(AL276:AL286)</f>
        <v>0</v>
      </c>
    </row>
    <row r="276" spans="1:75" ht="13.5" customHeight="1">
      <c r="A276" s="207" t="s">
        <v>819</v>
      </c>
      <c r="B276" s="208" t="s">
        <v>783</v>
      </c>
      <c r="C276" s="208" t="s">
        <v>394</v>
      </c>
      <c r="D276" s="268" t="s">
        <v>395</v>
      </c>
      <c r="E276" s="260"/>
      <c r="F276" s="208" t="s">
        <v>68</v>
      </c>
      <c r="G276" s="243">
        <v>4</v>
      </c>
      <c r="H276" s="244">
        <v>0</v>
      </c>
      <c r="I276" s="244">
        <f t="shared" ref="I276:I286" si="280">G276*H276</f>
        <v>0</v>
      </c>
      <c r="K276" s="231"/>
      <c r="Z276" s="243">
        <f t="shared" ref="Z276:Z286" si="281">IF(AQ276="5",BJ276,0)</f>
        <v>0</v>
      </c>
      <c r="AB276" s="243">
        <f t="shared" ref="AB276:AB286" si="282">IF(AQ276="1",BH276,0)</f>
        <v>0</v>
      </c>
      <c r="AC276" s="243">
        <f t="shared" ref="AC276:AC286" si="283">IF(AQ276="1",BI276,0)</f>
        <v>0</v>
      </c>
      <c r="AD276" s="243">
        <f t="shared" ref="AD276:AD286" si="284">IF(AQ276="7",BH276,0)</f>
        <v>0</v>
      </c>
      <c r="AE276" s="243">
        <f t="shared" ref="AE276:AE286" si="285">IF(AQ276="7",BI276,0)</f>
        <v>0</v>
      </c>
      <c r="AF276" s="243">
        <f t="shared" ref="AF276:AF286" si="286">IF(AQ276="2",BH276,0)</f>
        <v>0</v>
      </c>
      <c r="AG276" s="243">
        <f t="shared" ref="AG276:AG286" si="287">IF(AQ276="2",BI276,0)</f>
        <v>0</v>
      </c>
      <c r="AH276" s="243">
        <f t="shared" ref="AH276:AH286" si="288">IF(AQ276="0",BJ276,0)</f>
        <v>0</v>
      </c>
      <c r="AI276" s="232" t="s">
        <v>783</v>
      </c>
      <c r="AJ276" s="243">
        <f t="shared" ref="AJ276:AJ286" si="289">IF(AN276=0,I276,0)</f>
        <v>0</v>
      </c>
      <c r="AK276" s="243">
        <f t="shared" ref="AK276:AK286" si="290">IF(AN276=12,I276,0)</f>
        <v>0</v>
      </c>
      <c r="AL276" s="243">
        <f t="shared" ref="AL276:AL286" si="291">IF(AN276=21,I276,0)</f>
        <v>0</v>
      </c>
      <c r="AN276" s="243">
        <v>21</v>
      </c>
      <c r="AO276" s="243">
        <f>H276*0.620309050772627</f>
        <v>0</v>
      </c>
      <c r="AP276" s="243">
        <f>H276*(1-0.620309050772627)</f>
        <v>0</v>
      </c>
      <c r="AQ276" s="245" t="s">
        <v>567</v>
      </c>
      <c r="AV276" s="243">
        <f t="shared" ref="AV276:AV286" si="292">AW276+AX276</f>
        <v>0</v>
      </c>
      <c r="AW276" s="243">
        <f t="shared" ref="AW276:AW286" si="293">G276*AO276</f>
        <v>0</v>
      </c>
      <c r="AX276" s="243">
        <f t="shared" ref="AX276:AX286" si="294">G276*AP276</f>
        <v>0</v>
      </c>
      <c r="AY276" s="245" t="s">
        <v>588</v>
      </c>
      <c r="AZ276" s="245" t="s">
        <v>813</v>
      </c>
      <c r="BA276" s="232" t="s">
        <v>786</v>
      </c>
      <c r="BC276" s="243">
        <f t="shared" ref="BC276:BC286" si="295">AW276+AX276</f>
        <v>0</v>
      </c>
      <c r="BD276" s="243">
        <f t="shared" ref="BD276:BD286" si="296">H276/(100-BE276)*100</f>
        <v>0</v>
      </c>
      <c r="BE276" s="243">
        <v>0</v>
      </c>
      <c r="BF276" s="243">
        <f>276</f>
        <v>276</v>
      </c>
      <c r="BH276" s="243">
        <f t="shared" ref="BH276:BH286" si="297">G276*AO276</f>
        <v>0</v>
      </c>
      <c r="BI276" s="243">
        <f t="shared" ref="BI276:BI286" si="298">G276*AP276</f>
        <v>0</v>
      </c>
      <c r="BJ276" s="243">
        <f t="shared" ref="BJ276:BJ286" si="299">G276*H276</f>
        <v>0</v>
      </c>
      <c r="BK276" s="243"/>
      <c r="BL276" s="243">
        <v>733</v>
      </c>
      <c r="BW276" s="243">
        <v>21</v>
      </c>
    </row>
    <row r="277" spans="1:75" ht="13.5" customHeight="1">
      <c r="A277" s="207" t="s">
        <v>820</v>
      </c>
      <c r="B277" s="208" t="s">
        <v>783</v>
      </c>
      <c r="C277" s="208" t="s">
        <v>396</v>
      </c>
      <c r="D277" s="268" t="s">
        <v>397</v>
      </c>
      <c r="E277" s="260"/>
      <c r="F277" s="208" t="s">
        <v>68</v>
      </c>
      <c r="G277" s="243">
        <v>4</v>
      </c>
      <c r="H277" s="244">
        <v>0</v>
      </c>
      <c r="I277" s="244">
        <f t="shared" si="280"/>
        <v>0</v>
      </c>
      <c r="K277" s="231"/>
      <c r="Z277" s="243">
        <f t="shared" si="281"/>
        <v>0</v>
      </c>
      <c r="AB277" s="243">
        <f t="shared" si="282"/>
        <v>0</v>
      </c>
      <c r="AC277" s="243">
        <f t="shared" si="283"/>
        <v>0</v>
      </c>
      <c r="AD277" s="243">
        <f t="shared" si="284"/>
        <v>0</v>
      </c>
      <c r="AE277" s="243">
        <f t="shared" si="285"/>
        <v>0</v>
      </c>
      <c r="AF277" s="243">
        <f t="shared" si="286"/>
        <v>0</v>
      </c>
      <c r="AG277" s="243">
        <f t="shared" si="287"/>
        <v>0</v>
      </c>
      <c r="AH277" s="243">
        <f t="shared" si="288"/>
        <v>0</v>
      </c>
      <c r="AI277" s="232" t="s">
        <v>783</v>
      </c>
      <c r="AJ277" s="243">
        <f t="shared" si="289"/>
        <v>0</v>
      </c>
      <c r="AK277" s="243">
        <f t="shared" si="290"/>
        <v>0</v>
      </c>
      <c r="AL277" s="243">
        <f t="shared" si="291"/>
        <v>0</v>
      </c>
      <c r="AN277" s="243">
        <v>21</v>
      </c>
      <c r="AO277" s="243">
        <f>H277*0.259191290824261</f>
        <v>0</v>
      </c>
      <c r="AP277" s="243">
        <f>H277*(1-0.259191290824261)</f>
        <v>0</v>
      </c>
      <c r="AQ277" s="245" t="s">
        <v>567</v>
      </c>
      <c r="AV277" s="243">
        <f t="shared" si="292"/>
        <v>0</v>
      </c>
      <c r="AW277" s="243">
        <f t="shared" si="293"/>
        <v>0</v>
      </c>
      <c r="AX277" s="243">
        <f t="shared" si="294"/>
        <v>0</v>
      </c>
      <c r="AY277" s="245" t="s">
        <v>588</v>
      </c>
      <c r="AZ277" s="245" t="s">
        <v>813</v>
      </c>
      <c r="BA277" s="232" t="s">
        <v>786</v>
      </c>
      <c r="BC277" s="243">
        <f t="shared" si="295"/>
        <v>0</v>
      </c>
      <c r="BD277" s="243">
        <f t="shared" si="296"/>
        <v>0</v>
      </c>
      <c r="BE277" s="243">
        <v>0</v>
      </c>
      <c r="BF277" s="243">
        <f>277</f>
        <v>277</v>
      </c>
      <c r="BH277" s="243">
        <f t="shared" si="297"/>
        <v>0</v>
      </c>
      <c r="BI277" s="243">
        <f t="shared" si="298"/>
        <v>0</v>
      </c>
      <c r="BJ277" s="243">
        <f t="shared" si="299"/>
        <v>0</v>
      </c>
      <c r="BK277" s="243"/>
      <c r="BL277" s="243">
        <v>733</v>
      </c>
      <c r="BW277" s="243">
        <v>21</v>
      </c>
    </row>
    <row r="278" spans="1:75" ht="13.5" customHeight="1">
      <c r="A278" s="207" t="s">
        <v>821</v>
      </c>
      <c r="B278" s="208" t="s">
        <v>783</v>
      </c>
      <c r="C278" s="208" t="s">
        <v>398</v>
      </c>
      <c r="D278" s="268" t="s">
        <v>399</v>
      </c>
      <c r="E278" s="260"/>
      <c r="F278" s="208" t="s">
        <v>68</v>
      </c>
      <c r="G278" s="243">
        <v>4</v>
      </c>
      <c r="H278" s="244">
        <v>0</v>
      </c>
      <c r="I278" s="244">
        <f t="shared" si="280"/>
        <v>0</v>
      </c>
      <c r="K278" s="231"/>
      <c r="Z278" s="243">
        <f t="shared" si="281"/>
        <v>0</v>
      </c>
      <c r="AB278" s="243">
        <f t="shared" si="282"/>
        <v>0</v>
      </c>
      <c r="AC278" s="243">
        <f t="shared" si="283"/>
        <v>0</v>
      </c>
      <c r="AD278" s="243">
        <f t="shared" si="284"/>
        <v>0</v>
      </c>
      <c r="AE278" s="243">
        <f t="shared" si="285"/>
        <v>0</v>
      </c>
      <c r="AF278" s="243">
        <f t="shared" si="286"/>
        <v>0</v>
      </c>
      <c r="AG278" s="243">
        <f t="shared" si="287"/>
        <v>0</v>
      </c>
      <c r="AH278" s="243">
        <f t="shared" si="288"/>
        <v>0</v>
      </c>
      <c r="AI278" s="232" t="s">
        <v>783</v>
      </c>
      <c r="AJ278" s="243">
        <f t="shared" si="289"/>
        <v>0</v>
      </c>
      <c r="AK278" s="243">
        <f t="shared" si="290"/>
        <v>0</v>
      </c>
      <c r="AL278" s="243">
        <f t="shared" si="291"/>
        <v>0</v>
      </c>
      <c r="AN278" s="243">
        <v>21</v>
      </c>
      <c r="AO278" s="243">
        <f>H278*0.345851428571429</f>
        <v>0</v>
      </c>
      <c r="AP278" s="243">
        <f>H278*(1-0.345851428571429)</f>
        <v>0</v>
      </c>
      <c r="AQ278" s="245" t="s">
        <v>567</v>
      </c>
      <c r="AV278" s="243">
        <f t="shared" si="292"/>
        <v>0</v>
      </c>
      <c r="AW278" s="243">
        <f t="shared" si="293"/>
        <v>0</v>
      </c>
      <c r="AX278" s="243">
        <f t="shared" si="294"/>
        <v>0</v>
      </c>
      <c r="AY278" s="245" t="s">
        <v>588</v>
      </c>
      <c r="AZ278" s="245" t="s">
        <v>813</v>
      </c>
      <c r="BA278" s="232" t="s">
        <v>786</v>
      </c>
      <c r="BC278" s="243">
        <f t="shared" si="295"/>
        <v>0</v>
      </c>
      <c r="BD278" s="243">
        <f t="shared" si="296"/>
        <v>0</v>
      </c>
      <c r="BE278" s="243">
        <v>0</v>
      </c>
      <c r="BF278" s="243">
        <f>278</f>
        <v>278</v>
      </c>
      <c r="BH278" s="243">
        <f t="shared" si="297"/>
        <v>0</v>
      </c>
      <c r="BI278" s="243">
        <f t="shared" si="298"/>
        <v>0</v>
      </c>
      <c r="BJ278" s="243">
        <f t="shared" si="299"/>
        <v>0</v>
      </c>
      <c r="BK278" s="243"/>
      <c r="BL278" s="243">
        <v>733</v>
      </c>
      <c r="BW278" s="243">
        <v>21</v>
      </c>
    </row>
    <row r="279" spans="1:75" ht="13.5" customHeight="1">
      <c r="A279" s="207" t="s">
        <v>822</v>
      </c>
      <c r="B279" s="208" t="s">
        <v>783</v>
      </c>
      <c r="C279" s="208" t="s">
        <v>400</v>
      </c>
      <c r="D279" s="268" t="s">
        <v>401</v>
      </c>
      <c r="E279" s="260"/>
      <c r="F279" s="208" t="s">
        <v>63</v>
      </c>
      <c r="G279" s="243">
        <v>12</v>
      </c>
      <c r="H279" s="244">
        <v>0</v>
      </c>
      <c r="I279" s="244">
        <f t="shared" si="280"/>
        <v>0</v>
      </c>
      <c r="K279" s="231"/>
      <c r="Z279" s="243">
        <f t="shared" si="281"/>
        <v>0</v>
      </c>
      <c r="AB279" s="243">
        <f t="shared" si="282"/>
        <v>0</v>
      </c>
      <c r="AC279" s="243">
        <f t="shared" si="283"/>
        <v>0</v>
      </c>
      <c r="AD279" s="243">
        <f t="shared" si="284"/>
        <v>0</v>
      </c>
      <c r="AE279" s="243">
        <f t="shared" si="285"/>
        <v>0</v>
      </c>
      <c r="AF279" s="243">
        <f t="shared" si="286"/>
        <v>0</v>
      </c>
      <c r="AG279" s="243">
        <f t="shared" si="287"/>
        <v>0</v>
      </c>
      <c r="AH279" s="243">
        <f t="shared" si="288"/>
        <v>0</v>
      </c>
      <c r="AI279" s="232" t="s">
        <v>783</v>
      </c>
      <c r="AJ279" s="243">
        <f t="shared" si="289"/>
        <v>0</v>
      </c>
      <c r="AK279" s="243">
        <f t="shared" si="290"/>
        <v>0</v>
      </c>
      <c r="AL279" s="243">
        <f t="shared" si="291"/>
        <v>0</v>
      </c>
      <c r="AN279" s="243">
        <v>21</v>
      </c>
      <c r="AO279" s="243">
        <f>H279*0.212764227642276</f>
        <v>0</v>
      </c>
      <c r="AP279" s="243">
        <f>H279*(1-0.212764227642276)</f>
        <v>0</v>
      </c>
      <c r="AQ279" s="245" t="s">
        <v>567</v>
      </c>
      <c r="AV279" s="243">
        <f t="shared" si="292"/>
        <v>0</v>
      </c>
      <c r="AW279" s="243">
        <f t="shared" si="293"/>
        <v>0</v>
      </c>
      <c r="AX279" s="243">
        <f t="shared" si="294"/>
        <v>0</v>
      </c>
      <c r="AY279" s="245" t="s">
        <v>588</v>
      </c>
      <c r="AZ279" s="245" t="s">
        <v>813</v>
      </c>
      <c r="BA279" s="232" t="s">
        <v>786</v>
      </c>
      <c r="BC279" s="243">
        <f t="shared" si="295"/>
        <v>0</v>
      </c>
      <c r="BD279" s="243">
        <f t="shared" si="296"/>
        <v>0</v>
      </c>
      <c r="BE279" s="243">
        <v>0</v>
      </c>
      <c r="BF279" s="243">
        <f>279</f>
        <v>279</v>
      </c>
      <c r="BH279" s="243">
        <f t="shared" si="297"/>
        <v>0</v>
      </c>
      <c r="BI279" s="243">
        <f t="shared" si="298"/>
        <v>0</v>
      </c>
      <c r="BJ279" s="243">
        <f t="shared" si="299"/>
        <v>0</v>
      </c>
      <c r="BK279" s="243"/>
      <c r="BL279" s="243">
        <v>733</v>
      </c>
      <c r="BW279" s="243">
        <v>21</v>
      </c>
    </row>
    <row r="280" spans="1:75" ht="13.5" customHeight="1">
      <c r="A280" s="207" t="s">
        <v>823</v>
      </c>
      <c r="B280" s="208" t="s">
        <v>783</v>
      </c>
      <c r="C280" s="208" t="s">
        <v>402</v>
      </c>
      <c r="D280" s="268" t="s">
        <v>403</v>
      </c>
      <c r="E280" s="260"/>
      <c r="F280" s="208" t="s">
        <v>63</v>
      </c>
      <c r="G280" s="243">
        <v>6</v>
      </c>
      <c r="H280" s="244">
        <v>0</v>
      </c>
      <c r="I280" s="244">
        <f t="shared" si="280"/>
        <v>0</v>
      </c>
      <c r="K280" s="231"/>
      <c r="Z280" s="243">
        <f t="shared" si="281"/>
        <v>0</v>
      </c>
      <c r="AB280" s="243">
        <f t="shared" si="282"/>
        <v>0</v>
      </c>
      <c r="AC280" s="243">
        <f t="shared" si="283"/>
        <v>0</v>
      </c>
      <c r="AD280" s="243">
        <f t="shared" si="284"/>
        <v>0</v>
      </c>
      <c r="AE280" s="243">
        <f t="shared" si="285"/>
        <v>0</v>
      </c>
      <c r="AF280" s="243">
        <f t="shared" si="286"/>
        <v>0</v>
      </c>
      <c r="AG280" s="243">
        <f t="shared" si="287"/>
        <v>0</v>
      </c>
      <c r="AH280" s="243">
        <f t="shared" si="288"/>
        <v>0</v>
      </c>
      <c r="AI280" s="232" t="s">
        <v>783</v>
      </c>
      <c r="AJ280" s="243">
        <f t="shared" si="289"/>
        <v>0</v>
      </c>
      <c r="AK280" s="243">
        <f t="shared" si="290"/>
        <v>0</v>
      </c>
      <c r="AL280" s="243">
        <f t="shared" si="291"/>
        <v>0</v>
      </c>
      <c r="AN280" s="243">
        <v>21</v>
      </c>
      <c r="AO280" s="243">
        <f>H280*0.58344860710855</f>
        <v>0</v>
      </c>
      <c r="AP280" s="243">
        <f>H280*(1-0.58344860710855)</f>
        <v>0</v>
      </c>
      <c r="AQ280" s="245" t="s">
        <v>567</v>
      </c>
      <c r="AV280" s="243">
        <f t="shared" si="292"/>
        <v>0</v>
      </c>
      <c r="AW280" s="243">
        <f t="shared" si="293"/>
        <v>0</v>
      </c>
      <c r="AX280" s="243">
        <f t="shared" si="294"/>
        <v>0</v>
      </c>
      <c r="AY280" s="245" t="s">
        <v>588</v>
      </c>
      <c r="AZ280" s="245" t="s">
        <v>813</v>
      </c>
      <c r="BA280" s="232" t="s">
        <v>786</v>
      </c>
      <c r="BC280" s="243">
        <f t="shared" si="295"/>
        <v>0</v>
      </c>
      <c r="BD280" s="243">
        <f t="shared" si="296"/>
        <v>0</v>
      </c>
      <c r="BE280" s="243">
        <v>0</v>
      </c>
      <c r="BF280" s="243">
        <f>280</f>
        <v>280</v>
      </c>
      <c r="BH280" s="243">
        <f t="shared" si="297"/>
        <v>0</v>
      </c>
      <c r="BI280" s="243">
        <f t="shared" si="298"/>
        <v>0</v>
      </c>
      <c r="BJ280" s="243">
        <f t="shared" si="299"/>
        <v>0</v>
      </c>
      <c r="BK280" s="243"/>
      <c r="BL280" s="243">
        <v>733</v>
      </c>
      <c r="BW280" s="243">
        <v>21</v>
      </c>
    </row>
    <row r="281" spans="1:75" ht="13.5" customHeight="1">
      <c r="A281" s="207" t="s">
        <v>824</v>
      </c>
      <c r="B281" s="208" t="s">
        <v>783</v>
      </c>
      <c r="C281" s="208" t="s">
        <v>404</v>
      </c>
      <c r="D281" s="268" t="s">
        <v>405</v>
      </c>
      <c r="E281" s="260"/>
      <c r="F281" s="208" t="s">
        <v>63</v>
      </c>
      <c r="G281" s="243">
        <v>8</v>
      </c>
      <c r="H281" s="244">
        <v>0</v>
      </c>
      <c r="I281" s="244">
        <f t="shared" si="280"/>
        <v>0</v>
      </c>
      <c r="K281" s="231"/>
      <c r="Z281" s="243">
        <f t="shared" si="281"/>
        <v>0</v>
      </c>
      <c r="AB281" s="243">
        <f t="shared" si="282"/>
        <v>0</v>
      </c>
      <c r="AC281" s="243">
        <f t="shared" si="283"/>
        <v>0</v>
      </c>
      <c r="AD281" s="243">
        <f t="shared" si="284"/>
        <v>0</v>
      </c>
      <c r="AE281" s="243">
        <f t="shared" si="285"/>
        <v>0</v>
      </c>
      <c r="AF281" s="243">
        <f t="shared" si="286"/>
        <v>0</v>
      </c>
      <c r="AG281" s="243">
        <f t="shared" si="287"/>
        <v>0</v>
      </c>
      <c r="AH281" s="243">
        <f t="shared" si="288"/>
        <v>0</v>
      </c>
      <c r="AI281" s="232" t="s">
        <v>783</v>
      </c>
      <c r="AJ281" s="243">
        <f t="shared" si="289"/>
        <v>0</v>
      </c>
      <c r="AK281" s="243">
        <f t="shared" si="290"/>
        <v>0</v>
      </c>
      <c r="AL281" s="243">
        <f t="shared" si="291"/>
        <v>0</v>
      </c>
      <c r="AN281" s="243">
        <v>21</v>
      </c>
      <c r="AO281" s="243">
        <f>H281*0.144233333333333</f>
        <v>0</v>
      </c>
      <c r="AP281" s="243">
        <f>H281*(1-0.144233333333333)</f>
        <v>0</v>
      </c>
      <c r="AQ281" s="245" t="s">
        <v>567</v>
      </c>
      <c r="AV281" s="243">
        <f t="shared" si="292"/>
        <v>0</v>
      </c>
      <c r="AW281" s="243">
        <f t="shared" si="293"/>
        <v>0</v>
      </c>
      <c r="AX281" s="243">
        <f t="shared" si="294"/>
        <v>0</v>
      </c>
      <c r="AY281" s="245" t="s">
        <v>588</v>
      </c>
      <c r="AZ281" s="245" t="s">
        <v>813</v>
      </c>
      <c r="BA281" s="232" t="s">
        <v>786</v>
      </c>
      <c r="BC281" s="243">
        <f t="shared" si="295"/>
        <v>0</v>
      </c>
      <c r="BD281" s="243">
        <f t="shared" si="296"/>
        <v>0</v>
      </c>
      <c r="BE281" s="243">
        <v>0</v>
      </c>
      <c r="BF281" s="243">
        <f>281</f>
        <v>281</v>
      </c>
      <c r="BH281" s="243">
        <f t="shared" si="297"/>
        <v>0</v>
      </c>
      <c r="BI281" s="243">
        <f t="shared" si="298"/>
        <v>0</v>
      </c>
      <c r="BJ281" s="243">
        <f t="shared" si="299"/>
        <v>0</v>
      </c>
      <c r="BK281" s="243"/>
      <c r="BL281" s="243">
        <v>733</v>
      </c>
      <c r="BW281" s="243">
        <v>21</v>
      </c>
    </row>
    <row r="282" spans="1:75" ht="13.5" customHeight="1">
      <c r="A282" s="207" t="s">
        <v>825</v>
      </c>
      <c r="B282" s="208" t="s">
        <v>783</v>
      </c>
      <c r="C282" s="208" t="s">
        <v>406</v>
      </c>
      <c r="D282" s="268" t="s">
        <v>407</v>
      </c>
      <c r="E282" s="260"/>
      <c r="F282" s="208" t="s">
        <v>63</v>
      </c>
      <c r="G282" s="243">
        <v>0.5</v>
      </c>
      <c r="H282" s="244">
        <v>0</v>
      </c>
      <c r="I282" s="244">
        <f t="shared" si="280"/>
        <v>0</v>
      </c>
      <c r="K282" s="231"/>
      <c r="Z282" s="243">
        <f t="shared" si="281"/>
        <v>0</v>
      </c>
      <c r="AB282" s="243">
        <f t="shared" si="282"/>
        <v>0</v>
      </c>
      <c r="AC282" s="243">
        <f t="shared" si="283"/>
        <v>0</v>
      </c>
      <c r="AD282" s="243">
        <f t="shared" si="284"/>
        <v>0</v>
      </c>
      <c r="AE282" s="243">
        <f t="shared" si="285"/>
        <v>0</v>
      </c>
      <c r="AF282" s="243">
        <f t="shared" si="286"/>
        <v>0</v>
      </c>
      <c r="AG282" s="243">
        <f t="shared" si="287"/>
        <v>0</v>
      </c>
      <c r="AH282" s="243">
        <f t="shared" si="288"/>
        <v>0</v>
      </c>
      <c r="AI282" s="232" t="s">
        <v>783</v>
      </c>
      <c r="AJ282" s="243">
        <f t="shared" si="289"/>
        <v>0</v>
      </c>
      <c r="AK282" s="243">
        <f t="shared" si="290"/>
        <v>0</v>
      </c>
      <c r="AL282" s="243">
        <f t="shared" si="291"/>
        <v>0</v>
      </c>
      <c r="AN282" s="243">
        <v>21</v>
      </c>
      <c r="AO282" s="243">
        <f>H282*0.0775828460038986</f>
        <v>0</v>
      </c>
      <c r="AP282" s="243">
        <f>H282*(1-0.0775828460038986)</f>
        <v>0</v>
      </c>
      <c r="AQ282" s="245" t="s">
        <v>567</v>
      </c>
      <c r="AV282" s="243">
        <f t="shared" si="292"/>
        <v>0</v>
      </c>
      <c r="AW282" s="243">
        <f t="shared" si="293"/>
        <v>0</v>
      </c>
      <c r="AX282" s="243">
        <f t="shared" si="294"/>
        <v>0</v>
      </c>
      <c r="AY282" s="245" t="s">
        <v>588</v>
      </c>
      <c r="AZ282" s="245" t="s">
        <v>813</v>
      </c>
      <c r="BA282" s="232" t="s">
        <v>786</v>
      </c>
      <c r="BC282" s="243">
        <f t="shared" si="295"/>
        <v>0</v>
      </c>
      <c r="BD282" s="243">
        <f t="shared" si="296"/>
        <v>0</v>
      </c>
      <c r="BE282" s="243">
        <v>0</v>
      </c>
      <c r="BF282" s="243">
        <f>282</f>
        <v>282</v>
      </c>
      <c r="BH282" s="243">
        <f t="shared" si="297"/>
        <v>0</v>
      </c>
      <c r="BI282" s="243">
        <f t="shared" si="298"/>
        <v>0</v>
      </c>
      <c r="BJ282" s="243">
        <f t="shared" si="299"/>
        <v>0</v>
      </c>
      <c r="BK282" s="243"/>
      <c r="BL282" s="243">
        <v>733</v>
      </c>
      <c r="BW282" s="243">
        <v>21</v>
      </c>
    </row>
    <row r="283" spans="1:75" ht="13.5" customHeight="1">
      <c r="A283" s="207" t="s">
        <v>826</v>
      </c>
      <c r="B283" s="208" t="s">
        <v>783</v>
      </c>
      <c r="C283" s="208" t="s">
        <v>189</v>
      </c>
      <c r="D283" s="268" t="s">
        <v>190</v>
      </c>
      <c r="E283" s="260"/>
      <c r="F283" s="208" t="s">
        <v>63</v>
      </c>
      <c r="G283" s="243">
        <v>14.5</v>
      </c>
      <c r="H283" s="244">
        <v>0</v>
      </c>
      <c r="I283" s="244">
        <f t="shared" si="280"/>
        <v>0</v>
      </c>
      <c r="K283" s="231"/>
      <c r="Z283" s="243">
        <f t="shared" si="281"/>
        <v>0</v>
      </c>
      <c r="AB283" s="243">
        <f t="shared" si="282"/>
        <v>0</v>
      </c>
      <c r="AC283" s="243">
        <f t="shared" si="283"/>
        <v>0</v>
      </c>
      <c r="AD283" s="243">
        <f t="shared" si="284"/>
        <v>0</v>
      </c>
      <c r="AE283" s="243">
        <f t="shared" si="285"/>
        <v>0</v>
      </c>
      <c r="AF283" s="243">
        <f t="shared" si="286"/>
        <v>0</v>
      </c>
      <c r="AG283" s="243">
        <f t="shared" si="287"/>
        <v>0</v>
      </c>
      <c r="AH283" s="243">
        <f t="shared" si="288"/>
        <v>0</v>
      </c>
      <c r="AI283" s="232" t="s">
        <v>783</v>
      </c>
      <c r="AJ283" s="243">
        <f t="shared" si="289"/>
        <v>0</v>
      </c>
      <c r="AK283" s="243">
        <f t="shared" si="290"/>
        <v>0</v>
      </c>
      <c r="AL283" s="243">
        <f t="shared" si="291"/>
        <v>0</v>
      </c>
      <c r="AN283" s="243">
        <v>21</v>
      </c>
      <c r="AO283" s="243">
        <f>H283*0</f>
        <v>0</v>
      </c>
      <c r="AP283" s="243">
        <f>H283*(1-0)</f>
        <v>0</v>
      </c>
      <c r="AQ283" s="245" t="s">
        <v>567</v>
      </c>
      <c r="AV283" s="243">
        <f t="shared" si="292"/>
        <v>0</v>
      </c>
      <c r="AW283" s="243">
        <f t="shared" si="293"/>
        <v>0</v>
      </c>
      <c r="AX283" s="243">
        <f t="shared" si="294"/>
        <v>0</v>
      </c>
      <c r="AY283" s="245" t="s">
        <v>588</v>
      </c>
      <c r="AZ283" s="245" t="s">
        <v>813</v>
      </c>
      <c r="BA283" s="232" t="s">
        <v>786</v>
      </c>
      <c r="BC283" s="243">
        <f t="shared" si="295"/>
        <v>0</v>
      </c>
      <c r="BD283" s="243">
        <f t="shared" si="296"/>
        <v>0</v>
      </c>
      <c r="BE283" s="243">
        <v>0</v>
      </c>
      <c r="BF283" s="243">
        <f>283</f>
        <v>283</v>
      </c>
      <c r="BH283" s="243">
        <f t="shared" si="297"/>
        <v>0</v>
      </c>
      <c r="BI283" s="243">
        <f t="shared" si="298"/>
        <v>0</v>
      </c>
      <c r="BJ283" s="243">
        <f t="shared" si="299"/>
        <v>0</v>
      </c>
      <c r="BK283" s="243"/>
      <c r="BL283" s="243">
        <v>733</v>
      </c>
      <c r="BW283" s="243">
        <v>21</v>
      </c>
    </row>
    <row r="284" spans="1:75" ht="13.5" customHeight="1">
      <c r="A284" s="207" t="s">
        <v>827</v>
      </c>
      <c r="B284" s="208" t="s">
        <v>783</v>
      </c>
      <c r="C284" s="208" t="s">
        <v>408</v>
      </c>
      <c r="D284" s="268" t="s">
        <v>1351</v>
      </c>
      <c r="E284" s="260"/>
      <c r="F284" s="208" t="s">
        <v>63</v>
      </c>
      <c r="G284" s="243">
        <v>6</v>
      </c>
      <c r="H284" s="244">
        <v>0</v>
      </c>
      <c r="I284" s="244">
        <f t="shared" si="280"/>
        <v>0</v>
      </c>
      <c r="K284" s="231"/>
      <c r="Z284" s="243">
        <f t="shared" si="281"/>
        <v>0</v>
      </c>
      <c r="AB284" s="243">
        <f t="shared" si="282"/>
        <v>0</v>
      </c>
      <c r="AC284" s="243">
        <f t="shared" si="283"/>
        <v>0</v>
      </c>
      <c r="AD284" s="243">
        <f t="shared" si="284"/>
        <v>0</v>
      </c>
      <c r="AE284" s="243">
        <f t="shared" si="285"/>
        <v>0</v>
      </c>
      <c r="AF284" s="243">
        <f t="shared" si="286"/>
        <v>0</v>
      </c>
      <c r="AG284" s="243">
        <f t="shared" si="287"/>
        <v>0</v>
      </c>
      <c r="AH284" s="243">
        <f t="shared" si="288"/>
        <v>0</v>
      </c>
      <c r="AI284" s="232" t="s">
        <v>783</v>
      </c>
      <c r="AJ284" s="243">
        <f t="shared" si="289"/>
        <v>0</v>
      </c>
      <c r="AK284" s="243">
        <f t="shared" si="290"/>
        <v>0</v>
      </c>
      <c r="AL284" s="243">
        <f t="shared" si="291"/>
        <v>0</v>
      </c>
      <c r="AN284" s="243">
        <v>21</v>
      </c>
      <c r="AO284" s="243">
        <f>H284*1</f>
        <v>0</v>
      </c>
      <c r="AP284" s="243">
        <f>H284*(1-1)</f>
        <v>0</v>
      </c>
      <c r="AQ284" s="245" t="s">
        <v>567</v>
      </c>
      <c r="AV284" s="243">
        <f t="shared" si="292"/>
        <v>0</v>
      </c>
      <c r="AW284" s="243">
        <f t="shared" si="293"/>
        <v>0</v>
      </c>
      <c r="AX284" s="243">
        <f t="shared" si="294"/>
        <v>0</v>
      </c>
      <c r="AY284" s="245" t="s">
        <v>588</v>
      </c>
      <c r="AZ284" s="245" t="s">
        <v>813</v>
      </c>
      <c r="BA284" s="232" t="s">
        <v>786</v>
      </c>
      <c r="BC284" s="243">
        <f t="shared" si="295"/>
        <v>0</v>
      </c>
      <c r="BD284" s="243">
        <f t="shared" si="296"/>
        <v>0</v>
      </c>
      <c r="BE284" s="243">
        <v>0</v>
      </c>
      <c r="BF284" s="243">
        <f>284</f>
        <v>284</v>
      </c>
      <c r="BH284" s="243">
        <f t="shared" si="297"/>
        <v>0</v>
      </c>
      <c r="BI284" s="243">
        <f t="shared" si="298"/>
        <v>0</v>
      </c>
      <c r="BJ284" s="243">
        <f t="shared" si="299"/>
        <v>0</v>
      </c>
      <c r="BK284" s="243"/>
      <c r="BL284" s="243">
        <v>733</v>
      </c>
      <c r="BW284" s="243">
        <v>21</v>
      </c>
    </row>
    <row r="285" spans="1:75" ht="13.5" customHeight="1">
      <c r="A285" s="207" t="s">
        <v>828</v>
      </c>
      <c r="B285" s="208" t="s">
        <v>783</v>
      </c>
      <c r="C285" s="208" t="s">
        <v>410</v>
      </c>
      <c r="D285" s="268" t="s">
        <v>1352</v>
      </c>
      <c r="E285" s="260"/>
      <c r="F285" s="208" t="s">
        <v>63</v>
      </c>
      <c r="G285" s="243">
        <v>8</v>
      </c>
      <c r="H285" s="244">
        <v>0</v>
      </c>
      <c r="I285" s="244">
        <f t="shared" si="280"/>
        <v>0</v>
      </c>
      <c r="K285" s="231"/>
      <c r="Z285" s="243">
        <f t="shared" si="281"/>
        <v>0</v>
      </c>
      <c r="AB285" s="243">
        <f t="shared" si="282"/>
        <v>0</v>
      </c>
      <c r="AC285" s="243">
        <f t="shared" si="283"/>
        <v>0</v>
      </c>
      <c r="AD285" s="243">
        <f t="shared" si="284"/>
        <v>0</v>
      </c>
      <c r="AE285" s="243">
        <f t="shared" si="285"/>
        <v>0</v>
      </c>
      <c r="AF285" s="243">
        <f t="shared" si="286"/>
        <v>0</v>
      </c>
      <c r="AG285" s="243">
        <f t="shared" si="287"/>
        <v>0</v>
      </c>
      <c r="AH285" s="243">
        <f t="shared" si="288"/>
        <v>0</v>
      </c>
      <c r="AI285" s="232" t="s">
        <v>783</v>
      </c>
      <c r="AJ285" s="243">
        <f t="shared" si="289"/>
        <v>0</v>
      </c>
      <c r="AK285" s="243">
        <f t="shared" si="290"/>
        <v>0</v>
      </c>
      <c r="AL285" s="243">
        <f t="shared" si="291"/>
        <v>0</v>
      </c>
      <c r="AN285" s="243">
        <v>21</v>
      </c>
      <c r="AO285" s="243">
        <f>H285*1</f>
        <v>0</v>
      </c>
      <c r="AP285" s="243">
        <f>H285*(1-1)</f>
        <v>0</v>
      </c>
      <c r="AQ285" s="245" t="s">
        <v>567</v>
      </c>
      <c r="AV285" s="243">
        <f t="shared" si="292"/>
        <v>0</v>
      </c>
      <c r="AW285" s="243">
        <f t="shared" si="293"/>
        <v>0</v>
      </c>
      <c r="AX285" s="243">
        <f t="shared" si="294"/>
        <v>0</v>
      </c>
      <c r="AY285" s="245" t="s">
        <v>588</v>
      </c>
      <c r="AZ285" s="245" t="s">
        <v>813</v>
      </c>
      <c r="BA285" s="232" t="s">
        <v>786</v>
      </c>
      <c r="BC285" s="243">
        <f t="shared" si="295"/>
        <v>0</v>
      </c>
      <c r="BD285" s="243">
        <f t="shared" si="296"/>
        <v>0</v>
      </c>
      <c r="BE285" s="243">
        <v>0</v>
      </c>
      <c r="BF285" s="243">
        <f>285</f>
        <v>285</v>
      </c>
      <c r="BH285" s="243">
        <f t="shared" si="297"/>
        <v>0</v>
      </c>
      <c r="BI285" s="243">
        <f t="shared" si="298"/>
        <v>0</v>
      </c>
      <c r="BJ285" s="243">
        <f t="shared" si="299"/>
        <v>0</v>
      </c>
      <c r="BK285" s="243"/>
      <c r="BL285" s="243">
        <v>733</v>
      </c>
      <c r="BW285" s="243">
        <v>21</v>
      </c>
    </row>
    <row r="286" spans="1:75" ht="13.5" customHeight="1">
      <c r="A286" s="207" t="s">
        <v>829</v>
      </c>
      <c r="B286" s="208" t="s">
        <v>783</v>
      </c>
      <c r="C286" s="208" t="s">
        <v>412</v>
      </c>
      <c r="D286" s="268" t="s">
        <v>1353</v>
      </c>
      <c r="E286" s="260"/>
      <c r="F286" s="208" t="s">
        <v>63</v>
      </c>
      <c r="G286" s="243">
        <v>0.5</v>
      </c>
      <c r="H286" s="244">
        <v>0</v>
      </c>
      <c r="I286" s="244">
        <f t="shared" si="280"/>
        <v>0</v>
      </c>
      <c r="K286" s="231"/>
      <c r="Z286" s="243">
        <f t="shared" si="281"/>
        <v>0</v>
      </c>
      <c r="AB286" s="243">
        <f t="shared" si="282"/>
        <v>0</v>
      </c>
      <c r="AC286" s="243">
        <f t="shared" si="283"/>
        <v>0</v>
      </c>
      <c r="AD286" s="243">
        <f t="shared" si="284"/>
        <v>0</v>
      </c>
      <c r="AE286" s="243">
        <f t="shared" si="285"/>
        <v>0</v>
      </c>
      <c r="AF286" s="243">
        <f t="shared" si="286"/>
        <v>0</v>
      </c>
      <c r="AG286" s="243">
        <f t="shared" si="287"/>
        <v>0</v>
      </c>
      <c r="AH286" s="243">
        <f t="shared" si="288"/>
        <v>0</v>
      </c>
      <c r="AI286" s="232" t="s">
        <v>783</v>
      </c>
      <c r="AJ286" s="243">
        <f t="shared" si="289"/>
        <v>0</v>
      </c>
      <c r="AK286" s="243">
        <f t="shared" si="290"/>
        <v>0</v>
      </c>
      <c r="AL286" s="243">
        <f t="shared" si="291"/>
        <v>0</v>
      </c>
      <c r="AN286" s="243">
        <v>21</v>
      </c>
      <c r="AO286" s="243">
        <f>H286*1</f>
        <v>0</v>
      </c>
      <c r="AP286" s="243">
        <f>H286*(1-1)</f>
        <v>0</v>
      </c>
      <c r="AQ286" s="245" t="s">
        <v>567</v>
      </c>
      <c r="AV286" s="243">
        <f t="shared" si="292"/>
        <v>0</v>
      </c>
      <c r="AW286" s="243">
        <f t="shared" si="293"/>
        <v>0</v>
      </c>
      <c r="AX286" s="243">
        <f t="shared" si="294"/>
        <v>0</v>
      </c>
      <c r="AY286" s="245" t="s">
        <v>588</v>
      </c>
      <c r="AZ286" s="245" t="s">
        <v>813</v>
      </c>
      <c r="BA286" s="232" t="s">
        <v>786</v>
      </c>
      <c r="BC286" s="243">
        <f t="shared" si="295"/>
        <v>0</v>
      </c>
      <c r="BD286" s="243">
        <f t="shared" si="296"/>
        <v>0</v>
      </c>
      <c r="BE286" s="243">
        <v>0</v>
      </c>
      <c r="BF286" s="243">
        <f>286</f>
        <v>286</v>
      </c>
      <c r="BH286" s="243">
        <f t="shared" si="297"/>
        <v>0</v>
      </c>
      <c r="BI286" s="243">
        <f t="shared" si="298"/>
        <v>0</v>
      </c>
      <c r="BJ286" s="243">
        <f t="shared" si="299"/>
        <v>0</v>
      </c>
      <c r="BK286" s="243"/>
      <c r="BL286" s="243">
        <v>733</v>
      </c>
      <c r="BW286" s="243">
        <v>21</v>
      </c>
    </row>
    <row r="287" spans="1:75" ht="15" customHeight="1">
      <c r="A287" s="238" t="s">
        <v>21</v>
      </c>
      <c r="B287" s="239" t="s">
        <v>783</v>
      </c>
      <c r="C287" s="239" t="s">
        <v>95</v>
      </c>
      <c r="D287" s="309" t="s">
        <v>96</v>
      </c>
      <c r="E287" s="310"/>
      <c r="F287" s="240" t="s">
        <v>20</v>
      </c>
      <c r="G287" s="240" t="s">
        <v>20</v>
      </c>
      <c r="H287" s="241" t="s">
        <v>20</v>
      </c>
      <c r="I287" s="242">
        <f>SUM(I288:I302)</f>
        <v>0</v>
      </c>
      <c r="K287" s="231"/>
      <c r="AI287" s="232" t="s">
        <v>783</v>
      </c>
      <c r="AS287" s="225">
        <f>SUM(AJ288:AJ302)</f>
        <v>0</v>
      </c>
      <c r="AT287" s="225">
        <f>SUM(AK288:AK302)</f>
        <v>0</v>
      </c>
      <c r="AU287" s="225">
        <f>SUM(AL288:AL302)</f>
        <v>0</v>
      </c>
    </row>
    <row r="288" spans="1:75" ht="13.5" customHeight="1">
      <c r="A288" s="207" t="s">
        <v>830</v>
      </c>
      <c r="B288" s="208" t="s">
        <v>783</v>
      </c>
      <c r="C288" s="208" t="s">
        <v>99</v>
      </c>
      <c r="D288" s="268" t="s">
        <v>100</v>
      </c>
      <c r="E288" s="260"/>
      <c r="F288" s="208" t="s">
        <v>68</v>
      </c>
      <c r="G288" s="243">
        <v>6</v>
      </c>
      <c r="H288" s="244">
        <v>0</v>
      </c>
      <c r="I288" s="244">
        <f t="shared" ref="I288:I302" si="300">G288*H288</f>
        <v>0</v>
      </c>
      <c r="K288" s="231"/>
      <c r="Z288" s="243">
        <f t="shared" ref="Z288:Z302" si="301">IF(AQ288="5",BJ288,0)</f>
        <v>0</v>
      </c>
      <c r="AB288" s="243">
        <f t="shared" ref="AB288:AB302" si="302">IF(AQ288="1",BH288,0)</f>
        <v>0</v>
      </c>
      <c r="AC288" s="243">
        <f t="shared" ref="AC288:AC302" si="303">IF(AQ288="1",BI288,0)</f>
        <v>0</v>
      </c>
      <c r="AD288" s="243">
        <f t="shared" ref="AD288:AD302" si="304">IF(AQ288="7",BH288,0)</f>
        <v>0</v>
      </c>
      <c r="AE288" s="243">
        <f t="shared" ref="AE288:AE302" si="305">IF(AQ288="7",BI288,0)</f>
        <v>0</v>
      </c>
      <c r="AF288" s="243">
        <f t="shared" ref="AF288:AF302" si="306">IF(AQ288="2",BH288,0)</f>
        <v>0</v>
      </c>
      <c r="AG288" s="243">
        <f t="shared" ref="AG288:AG302" si="307">IF(AQ288="2",BI288,0)</f>
        <v>0</v>
      </c>
      <c r="AH288" s="243">
        <f t="shared" ref="AH288:AH302" si="308">IF(AQ288="0",BJ288,0)</f>
        <v>0</v>
      </c>
      <c r="AI288" s="232" t="s">
        <v>783</v>
      </c>
      <c r="AJ288" s="243">
        <f t="shared" ref="AJ288:AJ302" si="309">IF(AN288=0,I288,0)</f>
        <v>0</v>
      </c>
      <c r="AK288" s="243">
        <f t="shared" ref="AK288:AK302" si="310">IF(AN288=12,I288,0)</f>
        <v>0</v>
      </c>
      <c r="AL288" s="243">
        <f t="shared" ref="AL288:AL302" si="311">IF(AN288=21,I288,0)</f>
        <v>0</v>
      </c>
      <c r="AN288" s="243">
        <v>21</v>
      </c>
      <c r="AO288" s="243">
        <f>H288*0.289347179920003</f>
        <v>0</v>
      </c>
      <c r="AP288" s="243">
        <f>H288*(1-0.289347179920003)</f>
        <v>0</v>
      </c>
      <c r="AQ288" s="245" t="s">
        <v>567</v>
      </c>
      <c r="AV288" s="243">
        <f t="shared" ref="AV288:AV302" si="312">AW288+AX288</f>
        <v>0</v>
      </c>
      <c r="AW288" s="243">
        <f t="shared" ref="AW288:AW302" si="313">G288*AO288</f>
        <v>0</v>
      </c>
      <c r="AX288" s="243">
        <f t="shared" ref="AX288:AX302" si="314">G288*AP288</f>
        <v>0</v>
      </c>
      <c r="AY288" s="245" t="s">
        <v>593</v>
      </c>
      <c r="AZ288" s="245" t="s">
        <v>813</v>
      </c>
      <c r="BA288" s="232" t="s">
        <v>786</v>
      </c>
      <c r="BC288" s="243">
        <f t="shared" ref="BC288:BC302" si="315">AW288+AX288</f>
        <v>0</v>
      </c>
      <c r="BD288" s="243">
        <f t="shared" ref="BD288:BD302" si="316">H288/(100-BE288)*100</f>
        <v>0</v>
      </c>
      <c r="BE288" s="243">
        <v>0</v>
      </c>
      <c r="BF288" s="243">
        <f>288</f>
        <v>288</v>
      </c>
      <c r="BH288" s="243">
        <f t="shared" ref="BH288:BH302" si="317">G288*AO288</f>
        <v>0</v>
      </c>
      <c r="BI288" s="243">
        <f t="shared" ref="BI288:BI302" si="318">G288*AP288</f>
        <v>0</v>
      </c>
      <c r="BJ288" s="243">
        <f t="shared" ref="BJ288:BJ302" si="319">G288*H288</f>
        <v>0</v>
      </c>
      <c r="BK288" s="243"/>
      <c r="BL288" s="243">
        <v>734</v>
      </c>
      <c r="BW288" s="243">
        <v>21</v>
      </c>
    </row>
    <row r="289" spans="1:75" ht="13.5" customHeight="1">
      <c r="A289" s="207" t="s">
        <v>831</v>
      </c>
      <c r="B289" s="208" t="s">
        <v>783</v>
      </c>
      <c r="C289" s="208" t="s">
        <v>97</v>
      </c>
      <c r="D289" s="268" t="s">
        <v>98</v>
      </c>
      <c r="E289" s="260"/>
      <c r="F289" s="208" t="s">
        <v>68</v>
      </c>
      <c r="G289" s="243">
        <v>4</v>
      </c>
      <c r="H289" s="244">
        <v>0</v>
      </c>
      <c r="I289" s="244">
        <f t="shared" si="300"/>
        <v>0</v>
      </c>
      <c r="K289" s="231"/>
      <c r="Z289" s="243">
        <f t="shared" si="301"/>
        <v>0</v>
      </c>
      <c r="AB289" s="243">
        <f t="shared" si="302"/>
        <v>0</v>
      </c>
      <c r="AC289" s="243">
        <f t="shared" si="303"/>
        <v>0</v>
      </c>
      <c r="AD289" s="243">
        <f t="shared" si="304"/>
        <v>0</v>
      </c>
      <c r="AE289" s="243">
        <f t="shared" si="305"/>
        <v>0</v>
      </c>
      <c r="AF289" s="243">
        <f t="shared" si="306"/>
        <v>0</v>
      </c>
      <c r="AG289" s="243">
        <f t="shared" si="307"/>
        <v>0</v>
      </c>
      <c r="AH289" s="243">
        <f t="shared" si="308"/>
        <v>0</v>
      </c>
      <c r="AI289" s="232" t="s">
        <v>783</v>
      </c>
      <c r="AJ289" s="243">
        <f t="shared" si="309"/>
        <v>0</v>
      </c>
      <c r="AK289" s="243">
        <f t="shared" si="310"/>
        <v>0</v>
      </c>
      <c r="AL289" s="243">
        <f t="shared" si="311"/>
        <v>0</v>
      </c>
      <c r="AN289" s="243">
        <v>21</v>
      </c>
      <c r="AO289" s="243">
        <f>H289*0.0054421768707483</f>
        <v>0</v>
      </c>
      <c r="AP289" s="243">
        <f>H289*(1-0.0054421768707483)</f>
        <v>0</v>
      </c>
      <c r="AQ289" s="245" t="s">
        <v>567</v>
      </c>
      <c r="AV289" s="243">
        <f t="shared" si="312"/>
        <v>0</v>
      </c>
      <c r="AW289" s="243">
        <f t="shared" si="313"/>
        <v>0</v>
      </c>
      <c r="AX289" s="243">
        <f t="shared" si="314"/>
        <v>0</v>
      </c>
      <c r="AY289" s="245" t="s">
        <v>593</v>
      </c>
      <c r="AZ289" s="245" t="s">
        <v>813</v>
      </c>
      <c r="BA289" s="232" t="s">
        <v>786</v>
      </c>
      <c r="BC289" s="243">
        <f t="shared" si="315"/>
        <v>0</v>
      </c>
      <c r="BD289" s="243">
        <f t="shared" si="316"/>
        <v>0</v>
      </c>
      <c r="BE289" s="243">
        <v>0</v>
      </c>
      <c r="BF289" s="243">
        <f>289</f>
        <v>289</v>
      </c>
      <c r="BH289" s="243">
        <f t="shared" si="317"/>
        <v>0</v>
      </c>
      <c r="BI289" s="243">
        <f t="shared" si="318"/>
        <v>0</v>
      </c>
      <c r="BJ289" s="243">
        <f t="shared" si="319"/>
        <v>0</v>
      </c>
      <c r="BK289" s="243"/>
      <c r="BL289" s="243">
        <v>734</v>
      </c>
      <c r="BW289" s="243">
        <v>21</v>
      </c>
    </row>
    <row r="290" spans="1:75" ht="13.5" customHeight="1">
      <c r="A290" s="207" t="s">
        <v>832</v>
      </c>
      <c r="B290" s="208" t="s">
        <v>783</v>
      </c>
      <c r="C290" s="208" t="s">
        <v>414</v>
      </c>
      <c r="D290" s="268" t="s">
        <v>1362</v>
      </c>
      <c r="E290" s="260"/>
      <c r="F290" s="208" t="s">
        <v>68</v>
      </c>
      <c r="G290" s="243">
        <v>2</v>
      </c>
      <c r="H290" s="244">
        <v>0</v>
      </c>
      <c r="I290" s="244">
        <f t="shared" si="300"/>
        <v>0</v>
      </c>
      <c r="K290" s="231"/>
      <c r="Z290" s="243">
        <f t="shared" si="301"/>
        <v>0</v>
      </c>
      <c r="AB290" s="243">
        <f t="shared" si="302"/>
        <v>0</v>
      </c>
      <c r="AC290" s="243">
        <f t="shared" si="303"/>
        <v>0</v>
      </c>
      <c r="AD290" s="243">
        <f t="shared" si="304"/>
        <v>0</v>
      </c>
      <c r="AE290" s="243">
        <f t="shared" si="305"/>
        <v>0</v>
      </c>
      <c r="AF290" s="243">
        <f t="shared" si="306"/>
        <v>0</v>
      </c>
      <c r="AG290" s="243">
        <f t="shared" si="307"/>
        <v>0</v>
      </c>
      <c r="AH290" s="243">
        <f t="shared" si="308"/>
        <v>0</v>
      </c>
      <c r="AI290" s="232" t="s">
        <v>783</v>
      </c>
      <c r="AJ290" s="243">
        <f t="shared" si="309"/>
        <v>0</v>
      </c>
      <c r="AK290" s="243">
        <f t="shared" si="310"/>
        <v>0</v>
      </c>
      <c r="AL290" s="243">
        <f t="shared" si="311"/>
        <v>0</v>
      </c>
      <c r="AN290" s="243">
        <v>21</v>
      </c>
      <c r="AO290" s="243">
        <f>H290*0.925843353557639</f>
        <v>0</v>
      </c>
      <c r="AP290" s="243">
        <f>H290*(1-0.925843353557639)</f>
        <v>0</v>
      </c>
      <c r="AQ290" s="245" t="s">
        <v>567</v>
      </c>
      <c r="AV290" s="243">
        <f t="shared" si="312"/>
        <v>0</v>
      </c>
      <c r="AW290" s="243">
        <f t="shared" si="313"/>
        <v>0</v>
      </c>
      <c r="AX290" s="243">
        <f t="shared" si="314"/>
        <v>0</v>
      </c>
      <c r="AY290" s="245" t="s">
        <v>593</v>
      </c>
      <c r="AZ290" s="245" t="s">
        <v>813</v>
      </c>
      <c r="BA290" s="232" t="s">
        <v>786</v>
      </c>
      <c r="BC290" s="243">
        <f t="shared" si="315"/>
        <v>0</v>
      </c>
      <c r="BD290" s="243">
        <f t="shared" si="316"/>
        <v>0</v>
      </c>
      <c r="BE290" s="243">
        <v>0</v>
      </c>
      <c r="BF290" s="243">
        <f>290</f>
        <v>290</v>
      </c>
      <c r="BH290" s="243">
        <f t="shared" si="317"/>
        <v>0</v>
      </c>
      <c r="BI290" s="243">
        <f t="shared" si="318"/>
        <v>0</v>
      </c>
      <c r="BJ290" s="243">
        <f t="shared" si="319"/>
        <v>0</v>
      </c>
      <c r="BK290" s="243"/>
      <c r="BL290" s="243">
        <v>734</v>
      </c>
      <c r="BW290" s="243">
        <v>21</v>
      </c>
    </row>
    <row r="291" spans="1:75" ht="13.5" customHeight="1">
      <c r="A291" s="207" t="s">
        <v>833</v>
      </c>
      <c r="B291" s="208" t="s">
        <v>783</v>
      </c>
      <c r="C291" s="208" t="s">
        <v>416</v>
      </c>
      <c r="D291" s="268" t="s">
        <v>417</v>
      </c>
      <c r="E291" s="260"/>
      <c r="F291" s="208" t="s">
        <v>68</v>
      </c>
      <c r="G291" s="243">
        <v>6</v>
      </c>
      <c r="H291" s="244">
        <v>0</v>
      </c>
      <c r="I291" s="244">
        <f t="shared" si="300"/>
        <v>0</v>
      </c>
      <c r="K291" s="231"/>
      <c r="Z291" s="243">
        <f t="shared" si="301"/>
        <v>0</v>
      </c>
      <c r="AB291" s="243">
        <f t="shared" si="302"/>
        <v>0</v>
      </c>
      <c r="AC291" s="243">
        <f t="shared" si="303"/>
        <v>0</v>
      </c>
      <c r="AD291" s="243">
        <f t="shared" si="304"/>
        <v>0</v>
      </c>
      <c r="AE291" s="243">
        <f t="shared" si="305"/>
        <v>0</v>
      </c>
      <c r="AF291" s="243">
        <f t="shared" si="306"/>
        <v>0</v>
      </c>
      <c r="AG291" s="243">
        <f t="shared" si="307"/>
        <v>0</v>
      </c>
      <c r="AH291" s="243">
        <f t="shared" si="308"/>
        <v>0</v>
      </c>
      <c r="AI291" s="232" t="s">
        <v>783</v>
      </c>
      <c r="AJ291" s="243">
        <f t="shared" si="309"/>
        <v>0</v>
      </c>
      <c r="AK291" s="243">
        <f t="shared" si="310"/>
        <v>0</v>
      </c>
      <c r="AL291" s="243">
        <f t="shared" si="311"/>
        <v>0</v>
      </c>
      <c r="AN291" s="243">
        <v>21</v>
      </c>
      <c r="AO291" s="243">
        <f>H291*0.711852348993289</f>
        <v>0</v>
      </c>
      <c r="AP291" s="243">
        <f>H291*(1-0.711852348993289)</f>
        <v>0</v>
      </c>
      <c r="AQ291" s="245" t="s">
        <v>567</v>
      </c>
      <c r="AV291" s="243">
        <f t="shared" si="312"/>
        <v>0</v>
      </c>
      <c r="AW291" s="243">
        <f t="shared" si="313"/>
        <v>0</v>
      </c>
      <c r="AX291" s="243">
        <f t="shared" si="314"/>
        <v>0</v>
      </c>
      <c r="AY291" s="245" t="s">
        <v>593</v>
      </c>
      <c r="AZ291" s="245" t="s">
        <v>813</v>
      </c>
      <c r="BA291" s="232" t="s">
        <v>786</v>
      </c>
      <c r="BC291" s="243">
        <f t="shared" si="315"/>
        <v>0</v>
      </c>
      <c r="BD291" s="243">
        <f t="shared" si="316"/>
        <v>0</v>
      </c>
      <c r="BE291" s="243">
        <v>0</v>
      </c>
      <c r="BF291" s="243">
        <f>291</f>
        <v>291</v>
      </c>
      <c r="BH291" s="243">
        <f t="shared" si="317"/>
        <v>0</v>
      </c>
      <c r="BI291" s="243">
        <f t="shared" si="318"/>
        <v>0</v>
      </c>
      <c r="BJ291" s="243">
        <f t="shared" si="319"/>
        <v>0</v>
      </c>
      <c r="BK291" s="243"/>
      <c r="BL291" s="243">
        <v>734</v>
      </c>
      <c r="BW291" s="243">
        <v>21</v>
      </c>
    </row>
    <row r="292" spans="1:75" ht="13.5" customHeight="1">
      <c r="A292" s="207" t="s">
        <v>834</v>
      </c>
      <c r="B292" s="208" t="s">
        <v>783</v>
      </c>
      <c r="C292" s="208" t="s">
        <v>418</v>
      </c>
      <c r="D292" s="268" t="s">
        <v>419</v>
      </c>
      <c r="E292" s="260"/>
      <c r="F292" s="208" t="s">
        <v>68</v>
      </c>
      <c r="G292" s="243">
        <v>3</v>
      </c>
      <c r="H292" s="244">
        <v>0</v>
      </c>
      <c r="I292" s="244">
        <f t="shared" si="300"/>
        <v>0</v>
      </c>
      <c r="K292" s="231"/>
      <c r="Z292" s="243">
        <f t="shared" si="301"/>
        <v>0</v>
      </c>
      <c r="AB292" s="243">
        <f t="shared" si="302"/>
        <v>0</v>
      </c>
      <c r="AC292" s="243">
        <f t="shared" si="303"/>
        <v>0</v>
      </c>
      <c r="AD292" s="243">
        <f t="shared" si="304"/>
        <v>0</v>
      </c>
      <c r="AE292" s="243">
        <f t="shared" si="305"/>
        <v>0</v>
      </c>
      <c r="AF292" s="243">
        <f t="shared" si="306"/>
        <v>0</v>
      </c>
      <c r="AG292" s="243">
        <f t="shared" si="307"/>
        <v>0</v>
      </c>
      <c r="AH292" s="243">
        <f t="shared" si="308"/>
        <v>0</v>
      </c>
      <c r="AI292" s="232" t="s">
        <v>783</v>
      </c>
      <c r="AJ292" s="243">
        <f t="shared" si="309"/>
        <v>0</v>
      </c>
      <c r="AK292" s="243">
        <f t="shared" si="310"/>
        <v>0</v>
      </c>
      <c r="AL292" s="243">
        <f t="shared" si="311"/>
        <v>0</v>
      </c>
      <c r="AN292" s="243">
        <v>21</v>
      </c>
      <c r="AO292" s="243">
        <f>H292*0.893467248908297</f>
        <v>0</v>
      </c>
      <c r="AP292" s="243">
        <f>H292*(1-0.893467248908297)</f>
        <v>0</v>
      </c>
      <c r="AQ292" s="245" t="s">
        <v>567</v>
      </c>
      <c r="AV292" s="243">
        <f t="shared" si="312"/>
        <v>0</v>
      </c>
      <c r="AW292" s="243">
        <f t="shared" si="313"/>
        <v>0</v>
      </c>
      <c r="AX292" s="243">
        <f t="shared" si="314"/>
        <v>0</v>
      </c>
      <c r="AY292" s="245" t="s">
        <v>593</v>
      </c>
      <c r="AZ292" s="245" t="s">
        <v>813</v>
      </c>
      <c r="BA292" s="232" t="s">
        <v>786</v>
      </c>
      <c r="BC292" s="243">
        <f t="shared" si="315"/>
        <v>0</v>
      </c>
      <c r="BD292" s="243">
        <f t="shared" si="316"/>
        <v>0</v>
      </c>
      <c r="BE292" s="243">
        <v>0</v>
      </c>
      <c r="BF292" s="243">
        <f>292</f>
        <v>292</v>
      </c>
      <c r="BH292" s="243">
        <f t="shared" si="317"/>
        <v>0</v>
      </c>
      <c r="BI292" s="243">
        <f t="shared" si="318"/>
        <v>0</v>
      </c>
      <c r="BJ292" s="243">
        <f t="shared" si="319"/>
        <v>0</v>
      </c>
      <c r="BK292" s="243"/>
      <c r="BL292" s="243">
        <v>734</v>
      </c>
      <c r="BW292" s="243">
        <v>21</v>
      </c>
    </row>
    <row r="293" spans="1:75" ht="13.5" customHeight="1">
      <c r="A293" s="207" t="s">
        <v>835</v>
      </c>
      <c r="B293" s="208" t="s">
        <v>783</v>
      </c>
      <c r="C293" s="208" t="s">
        <v>420</v>
      </c>
      <c r="D293" s="268" t="s">
        <v>421</v>
      </c>
      <c r="E293" s="260"/>
      <c r="F293" s="208" t="s">
        <v>68</v>
      </c>
      <c r="G293" s="243">
        <v>1</v>
      </c>
      <c r="H293" s="244">
        <v>0</v>
      </c>
      <c r="I293" s="244">
        <f t="shared" si="300"/>
        <v>0</v>
      </c>
      <c r="K293" s="231"/>
      <c r="Z293" s="243">
        <f t="shared" si="301"/>
        <v>0</v>
      </c>
      <c r="AB293" s="243">
        <f t="shared" si="302"/>
        <v>0</v>
      </c>
      <c r="AC293" s="243">
        <f t="shared" si="303"/>
        <v>0</v>
      </c>
      <c r="AD293" s="243">
        <f t="shared" si="304"/>
        <v>0</v>
      </c>
      <c r="AE293" s="243">
        <f t="shared" si="305"/>
        <v>0</v>
      </c>
      <c r="AF293" s="243">
        <f t="shared" si="306"/>
        <v>0</v>
      </c>
      <c r="AG293" s="243">
        <f t="shared" si="307"/>
        <v>0</v>
      </c>
      <c r="AH293" s="243">
        <f t="shared" si="308"/>
        <v>0</v>
      </c>
      <c r="AI293" s="232" t="s">
        <v>783</v>
      </c>
      <c r="AJ293" s="243">
        <f t="shared" si="309"/>
        <v>0</v>
      </c>
      <c r="AK293" s="243">
        <f t="shared" si="310"/>
        <v>0</v>
      </c>
      <c r="AL293" s="243">
        <f t="shared" si="311"/>
        <v>0</v>
      </c>
      <c r="AN293" s="243">
        <v>21</v>
      </c>
      <c r="AO293" s="243">
        <f>H293*0.945546104928458</f>
        <v>0</v>
      </c>
      <c r="AP293" s="243">
        <f>H293*(1-0.945546104928458)</f>
        <v>0</v>
      </c>
      <c r="AQ293" s="245" t="s">
        <v>567</v>
      </c>
      <c r="AV293" s="243">
        <f t="shared" si="312"/>
        <v>0</v>
      </c>
      <c r="AW293" s="243">
        <f t="shared" si="313"/>
        <v>0</v>
      </c>
      <c r="AX293" s="243">
        <f t="shared" si="314"/>
        <v>0</v>
      </c>
      <c r="AY293" s="245" t="s">
        <v>593</v>
      </c>
      <c r="AZ293" s="245" t="s">
        <v>813</v>
      </c>
      <c r="BA293" s="232" t="s">
        <v>786</v>
      </c>
      <c r="BC293" s="243">
        <f t="shared" si="315"/>
        <v>0</v>
      </c>
      <c r="BD293" s="243">
        <f t="shared" si="316"/>
        <v>0</v>
      </c>
      <c r="BE293" s="243">
        <v>0</v>
      </c>
      <c r="BF293" s="243">
        <f>293</f>
        <v>293</v>
      </c>
      <c r="BH293" s="243">
        <f t="shared" si="317"/>
        <v>0</v>
      </c>
      <c r="BI293" s="243">
        <f t="shared" si="318"/>
        <v>0</v>
      </c>
      <c r="BJ293" s="243">
        <f t="shared" si="319"/>
        <v>0</v>
      </c>
      <c r="BK293" s="243"/>
      <c r="BL293" s="243">
        <v>734</v>
      </c>
      <c r="BW293" s="243">
        <v>21</v>
      </c>
    </row>
    <row r="294" spans="1:75" ht="13.5" customHeight="1">
      <c r="A294" s="207" t="s">
        <v>836</v>
      </c>
      <c r="B294" s="208" t="s">
        <v>783</v>
      </c>
      <c r="C294" s="208" t="s">
        <v>422</v>
      </c>
      <c r="D294" s="268" t="s">
        <v>423</v>
      </c>
      <c r="E294" s="260"/>
      <c r="F294" s="208" t="s">
        <v>68</v>
      </c>
      <c r="G294" s="243">
        <v>1</v>
      </c>
      <c r="H294" s="244">
        <v>0</v>
      </c>
      <c r="I294" s="244">
        <f t="shared" si="300"/>
        <v>0</v>
      </c>
      <c r="K294" s="231"/>
      <c r="Z294" s="243">
        <f t="shared" si="301"/>
        <v>0</v>
      </c>
      <c r="AB294" s="243">
        <f t="shared" si="302"/>
        <v>0</v>
      </c>
      <c r="AC294" s="243">
        <f t="shared" si="303"/>
        <v>0</v>
      </c>
      <c r="AD294" s="243">
        <f t="shared" si="304"/>
        <v>0</v>
      </c>
      <c r="AE294" s="243">
        <f t="shared" si="305"/>
        <v>0</v>
      </c>
      <c r="AF294" s="243">
        <f t="shared" si="306"/>
        <v>0</v>
      </c>
      <c r="AG294" s="243">
        <f t="shared" si="307"/>
        <v>0</v>
      </c>
      <c r="AH294" s="243">
        <f t="shared" si="308"/>
        <v>0</v>
      </c>
      <c r="AI294" s="232" t="s">
        <v>783</v>
      </c>
      <c r="AJ294" s="243">
        <f t="shared" si="309"/>
        <v>0</v>
      </c>
      <c r="AK294" s="243">
        <f t="shared" si="310"/>
        <v>0</v>
      </c>
      <c r="AL294" s="243">
        <f t="shared" si="311"/>
        <v>0</v>
      </c>
      <c r="AN294" s="243">
        <v>21</v>
      </c>
      <c r="AO294" s="243">
        <f>H294*0.913686165273909</f>
        <v>0</v>
      </c>
      <c r="AP294" s="243">
        <f>H294*(1-0.913686165273909)</f>
        <v>0</v>
      </c>
      <c r="AQ294" s="245" t="s">
        <v>567</v>
      </c>
      <c r="AV294" s="243">
        <f t="shared" si="312"/>
        <v>0</v>
      </c>
      <c r="AW294" s="243">
        <f t="shared" si="313"/>
        <v>0</v>
      </c>
      <c r="AX294" s="243">
        <f t="shared" si="314"/>
        <v>0</v>
      </c>
      <c r="AY294" s="245" t="s">
        <v>593</v>
      </c>
      <c r="AZ294" s="245" t="s">
        <v>813</v>
      </c>
      <c r="BA294" s="232" t="s">
        <v>786</v>
      </c>
      <c r="BC294" s="243">
        <f t="shared" si="315"/>
        <v>0</v>
      </c>
      <c r="BD294" s="243">
        <f t="shared" si="316"/>
        <v>0</v>
      </c>
      <c r="BE294" s="243">
        <v>0</v>
      </c>
      <c r="BF294" s="243">
        <f>294</f>
        <v>294</v>
      </c>
      <c r="BH294" s="243">
        <f t="shared" si="317"/>
        <v>0</v>
      </c>
      <c r="BI294" s="243">
        <f t="shared" si="318"/>
        <v>0</v>
      </c>
      <c r="BJ294" s="243">
        <f t="shared" si="319"/>
        <v>0</v>
      </c>
      <c r="BK294" s="243"/>
      <c r="BL294" s="243">
        <v>734</v>
      </c>
      <c r="BW294" s="243">
        <v>21</v>
      </c>
    </row>
    <row r="295" spans="1:75" ht="13.5" customHeight="1">
      <c r="A295" s="207" t="s">
        <v>837</v>
      </c>
      <c r="B295" s="208" t="s">
        <v>783</v>
      </c>
      <c r="C295" s="208" t="s">
        <v>424</v>
      </c>
      <c r="D295" s="268" t="s">
        <v>1363</v>
      </c>
      <c r="E295" s="260"/>
      <c r="F295" s="208" t="s">
        <v>68</v>
      </c>
      <c r="G295" s="243">
        <v>2</v>
      </c>
      <c r="H295" s="244">
        <v>0</v>
      </c>
      <c r="I295" s="244">
        <f t="shared" si="300"/>
        <v>0</v>
      </c>
      <c r="K295" s="231"/>
      <c r="Z295" s="243">
        <f t="shared" si="301"/>
        <v>0</v>
      </c>
      <c r="AB295" s="243">
        <f t="shared" si="302"/>
        <v>0</v>
      </c>
      <c r="AC295" s="243">
        <f t="shared" si="303"/>
        <v>0</v>
      </c>
      <c r="AD295" s="243">
        <f t="shared" si="304"/>
        <v>0</v>
      </c>
      <c r="AE295" s="243">
        <f t="shared" si="305"/>
        <v>0</v>
      </c>
      <c r="AF295" s="243">
        <f t="shared" si="306"/>
        <v>0</v>
      </c>
      <c r="AG295" s="243">
        <f t="shared" si="307"/>
        <v>0</v>
      </c>
      <c r="AH295" s="243">
        <f t="shared" si="308"/>
        <v>0</v>
      </c>
      <c r="AI295" s="232" t="s">
        <v>783</v>
      </c>
      <c r="AJ295" s="243">
        <f t="shared" si="309"/>
        <v>0</v>
      </c>
      <c r="AK295" s="243">
        <f t="shared" si="310"/>
        <v>0</v>
      </c>
      <c r="AL295" s="243">
        <f t="shared" si="311"/>
        <v>0</v>
      </c>
      <c r="AN295" s="243">
        <v>21</v>
      </c>
      <c r="AO295" s="243">
        <f>H295*0.869366700715015</f>
        <v>0</v>
      </c>
      <c r="AP295" s="243">
        <f>H295*(1-0.869366700715015)</f>
        <v>0</v>
      </c>
      <c r="AQ295" s="245" t="s">
        <v>567</v>
      </c>
      <c r="AV295" s="243">
        <f t="shared" si="312"/>
        <v>0</v>
      </c>
      <c r="AW295" s="243">
        <f t="shared" si="313"/>
        <v>0</v>
      </c>
      <c r="AX295" s="243">
        <f t="shared" si="314"/>
        <v>0</v>
      </c>
      <c r="AY295" s="245" t="s">
        <v>593</v>
      </c>
      <c r="AZ295" s="245" t="s">
        <v>813</v>
      </c>
      <c r="BA295" s="232" t="s">
        <v>786</v>
      </c>
      <c r="BC295" s="243">
        <f t="shared" si="315"/>
        <v>0</v>
      </c>
      <c r="BD295" s="243">
        <f t="shared" si="316"/>
        <v>0</v>
      </c>
      <c r="BE295" s="243">
        <v>0</v>
      </c>
      <c r="BF295" s="243">
        <f>295</f>
        <v>295</v>
      </c>
      <c r="BH295" s="243">
        <f t="shared" si="317"/>
        <v>0</v>
      </c>
      <c r="BI295" s="243">
        <f t="shared" si="318"/>
        <v>0</v>
      </c>
      <c r="BJ295" s="243">
        <f t="shared" si="319"/>
        <v>0</v>
      </c>
      <c r="BK295" s="243"/>
      <c r="BL295" s="243">
        <v>734</v>
      </c>
      <c r="BW295" s="243">
        <v>21</v>
      </c>
    </row>
    <row r="296" spans="1:75" ht="13.5" customHeight="1">
      <c r="A296" s="207" t="s">
        <v>838</v>
      </c>
      <c r="B296" s="208" t="s">
        <v>783</v>
      </c>
      <c r="C296" s="208" t="s">
        <v>426</v>
      </c>
      <c r="D296" s="268" t="s">
        <v>1356</v>
      </c>
      <c r="E296" s="260"/>
      <c r="F296" s="208" t="s">
        <v>68</v>
      </c>
      <c r="G296" s="243">
        <v>1</v>
      </c>
      <c r="H296" s="244">
        <v>0</v>
      </c>
      <c r="I296" s="244">
        <f t="shared" si="300"/>
        <v>0</v>
      </c>
      <c r="K296" s="231"/>
      <c r="Z296" s="243">
        <f t="shared" si="301"/>
        <v>0</v>
      </c>
      <c r="AB296" s="243">
        <f t="shared" si="302"/>
        <v>0</v>
      </c>
      <c r="AC296" s="243">
        <f t="shared" si="303"/>
        <v>0</v>
      </c>
      <c r="AD296" s="243">
        <f t="shared" si="304"/>
        <v>0</v>
      </c>
      <c r="AE296" s="243">
        <f t="shared" si="305"/>
        <v>0</v>
      </c>
      <c r="AF296" s="243">
        <f t="shared" si="306"/>
        <v>0</v>
      </c>
      <c r="AG296" s="243">
        <f t="shared" si="307"/>
        <v>0</v>
      </c>
      <c r="AH296" s="243">
        <f t="shared" si="308"/>
        <v>0</v>
      </c>
      <c r="AI296" s="232" t="s">
        <v>783</v>
      </c>
      <c r="AJ296" s="243">
        <f t="shared" si="309"/>
        <v>0</v>
      </c>
      <c r="AK296" s="243">
        <f t="shared" si="310"/>
        <v>0</v>
      </c>
      <c r="AL296" s="243">
        <f t="shared" si="311"/>
        <v>0</v>
      </c>
      <c r="AN296" s="243">
        <v>21</v>
      </c>
      <c r="AO296" s="243">
        <f>H296*0.929993168165776</f>
        <v>0</v>
      </c>
      <c r="AP296" s="243">
        <f>H296*(1-0.929993168165776)</f>
        <v>0</v>
      </c>
      <c r="AQ296" s="245" t="s">
        <v>567</v>
      </c>
      <c r="AV296" s="243">
        <f t="shared" si="312"/>
        <v>0</v>
      </c>
      <c r="AW296" s="243">
        <f t="shared" si="313"/>
        <v>0</v>
      </c>
      <c r="AX296" s="243">
        <f t="shared" si="314"/>
        <v>0</v>
      </c>
      <c r="AY296" s="245" t="s">
        <v>593</v>
      </c>
      <c r="AZ296" s="245" t="s">
        <v>813</v>
      </c>
      <c r="BA296" s="232" t="s">
        <v>786</v>
      </c>
      <c r="BC296" s="243">
        <f t="shared" si="315"/>
        <v>0</v>
      </c>
      <c r="BD296" s="243">
        <f t="shared" si="316"/>
        <v>0</v>
      </c>
      <c r="BE296" s="243">
        <v>0</v>
      </c>
      <c r="BF296" s="243">
        <f>296</f>
        <v>296</v>
      </c>
      <c r="BH296" s="243">
        <f t="shared" si="317"/>
        <v>0</v>
      </c>
      <c r="BI296" s="243">
        <f t="shared" si="318"/>
        <v>0</v>
      </c>
      <c r="BJ296" s="243">
        <f t="shared" si="319"/>
        <v>0</v>
      </c>
      <c r="BK296" s="243"/>
      <c r="BL296" s="243">
        <v>734</v>
      </c>
      <c r="BW296" s="243">
        <v>21</v>
      </c>
    </row>
    <row r="297" spans="1:75" ht="13.5" customHeight="1">
      <c r="A297" s="207" t="s">
        <v>839</v>
      </c>
      <c r="B297" s="208" t="s">
        <v>783</v>
      </c>
      <c r="C297" s="208" t="s">
        <v>428</v>
      </c>
      <c r="D297" s="268" t="s">
        <v>1357</v>
      </c>
      <c r="E297" s="260"/>
      <c r="F297" s="208" t="s">
        <v>68</v>
      </c>
      <c r="G297" s="243">
        <v>1</v>
      </c>
      <c r="H297" s="244">
        <v>0</v>
      </c>
      <c r="I297" s="244">
        <f t="shared" si="300"/>
        <v>0</v>
      </c>
      <c r="K297" s="231"/>
      <c r="Z297" s="243">
        <f t="shared" si="301"/>
        <v>0</v>
      </c>
      <c r="AB297" s="243">
        <f t="shared" si="302"/>
        <v>0</v>
      </c>
      <c r="AC297" s="243">
        <f t="shared" si="303"/>
        <v>0</v>
      </c>
      <c r="AD297" s="243">
        <f t="shared" si="304"/>
        <v>0</v>
      </c>
      <c r="AE297" s="243">
        <f t="shared" si="305"/>
        <v>0</v>
      </c>
      <c r="AF297" s="243">
        <f t="shared" si="306"/>
        <v>0</v>
      </c>
      <c r="AG297" s="243">
        <f t="shared" si="307"/>
        <v>0</v>
      </c>
      <c r="AH297" s="243">
        <f t="shared" si="308"/>
        <v>0</v>
      </c>
      <c r="AI297" s="232" t="s">
        <v>783</v>
      </c>
      <c r="AJ297" s="243">
        <f t="shared" si="309"/>
        <v>0</v>
      </c>
      <c r="AK297" s="243">
        <f t="shared" si="310"/>
        <v>0</v>
      </c>
      <c r="AL297" s="243">
        <f t="shared" si="311"/>
        <v>0</v>
      </c>
      <c r="AN297" s="243">
        <v>21</v>
      </c>
      <c r="AO297" s="243">
        <f>H297*0.76990099009901</f>
        <v>0</v>
      </c>
      <c r="AP297" s="243">
        <f>H297*(1-0.76990099009901)</f>
        <v>0</v>
      </c>
      <c r="AQ297" s="245" t="s">
        <v>567</v>
      </c>
      <c r="AV297" s="243">
        <f t="shared" si="312"/>
        <v>0</v>
      </c>
      <c r="AW297" s="243">
        <f t="shared" si="313"/>
        <v>0</v>
      </c>
      <c r="AX297" s="243">
        <f t="shared" si="314"/>
        <v>0</v>
      </c>
      <c r="AY297" s="245" t="s">
        <v>593</v>
      </c>
      <c r="AZ297" s="245" t="s">
        <v>813</v>
      </c>
      <c r="BA297" s="232" t="s">
        <v>786</v>
      </c>
      <c r="BC297" s="243">
        <f t="shared" si="315"/>
        <v>0</v>
      </c>
      <c r="BD297" s="243">
        <f t="shared" si="316"/>
        <v>0</v>
      </c>
      <c r="BE297" s="243">
        <v>0</v>
      </c>
      <c r="BF297" s="243">
        <f>297</f>
        <v>297</v>
      </c>
      <c r="BH297" s="243">
        <f t="shared" si="317"/>
        <v>0</v>
      </c>
      <c r="BI297" s="243">
        <f t="shared" si="318"/>
        <v>0</v>
      </c>
      <c r="BJ297" s="243">
        <f t="shared" si="319"/>
        <v>0</v>
      </c>
      <c r="BK297" s="243"/>
      <c r="BL297" s="243">
        <v>734</v>
      </c>
      <c r="BW297" s="243">
        <v>21</v>
      </c>
    </row>
    <row r="298" spans="1:75" ht="13.5" customHeight="1">
      <c r="A298" s="207" t="s">
        <v>840</v>
      </c>
      <c r="B298" s="208" t="s">
        <v>783</v>
      </c>
      <c r="C298" s="208" t="s">
        <v>430</v>
      </c>
      <c r="D298" s="268" t="s">
        <v>1364</v>
      </c>
      <c r="E298" s="260"/>
      <c r="F298" s="208" t="s">
        <v>68</v>
      </c>
      <c r="G298" s="243">
        <v>1</v>
      </c>
      <c r="H298" s="244">
        <v>0</v>
      </c>
      <c r="I298" s="244">
        <f t="shared" si="300"/>
        <v>0</v>
      </c>
      <c r="K298" s="231"/>
      <c r="Z298" s="243">
        <f t="shared" si="301"/>
        <v>0</v>
      </c>
      <c r="AB298" s="243">
        <f t="shared" si="302"/>
        <v>0</v>
      </c>
      <c r="AC298" s="243">
        <f t="shared" si="303"/>
        <v>0</v>
      </c>
      <c r="AD298" s="243">
        <f t="shared" si="304"/>
        <v>0</v>
      </c>
      <c r="AE298" s="243">
        <f t="shared" si="305"/>
        <v>0</v>
      </c>
      <c r="AF298" s="243">
        <f t="shared" si="306"/>
        <v>0</v>
      </c>
      <c r="AG298" s="243">
        <f t="shared" si="307"/>
        <v>0</v>
      </c>
      <c r="AH298" s="243">
        <f t="shared" si="308"/>
        <v>0</v>
      </c>
      <c r="AI298" s="232" t="s">
        <v>783</v>
      </c>
      <c r="AJ298" s="243">
        <f t="shared" si="309"/>
        <v>0</v>
      </c>
      <c r="AK298" s="243">
        <f t="shared" si="310"/>
        <v>0</v>
      </c>
      <c r="AL298" s="243">
        <f t="shared" si="311"/>
        <v>0</v>
      </c>
      <c r="AN298" s="243">
        <v>21</v>
      </c>
      <c r="AO298" s="243">
        <f>H298*0.872981818181818</f>
        <v>0</v>
      </c>
      <c r="AP298" s="243">
        <f>H298*(1-0.872981818181818)</f>
        <v>0</v>
      </c>
      <c r="AQ298" s="245" t="s">
        <v>567</v>
      </c>
      <c r="AV298" s="243">
        <f t="shared" si="312"/>
        <v>0</v>
      </c>
      <c r="AW298" s="243">
        <f t="shared" si="313"/>
        <v>0</v>
      </c>
      <c r="AX298" s="243">
        <f t="shared" si="314"/>
        <v>0</v>
      </c>
      <c r="AY298" s="245" t="s">
        <v>593</v>
      </c>
      <c r="AZ298" s="245" t="s">
        <v>813</v>
      </c>
      <c r="BA298" s="232" t="s">
        <v>786</v>
      </c>
      <c r="BC298" s="243">
        <f t="shared" si="315"/>
        <v>0</v>
      </c>
      <c r="BD298" s="243">
        <f t="shared" si="316"/>
        <v>0</v>
      </c>
      <c r="BE298" s="243">
        <v>0</v>
      </c>
      <c r="BF298" s="243">
        <f>298</f>
        <v>298</v>
      </c>
      <c r="BH298" s="243">
        <f t="shared" si="317"/>
        <v>0</v>
      </c>
      <c r="BI298" s="243">
        <f t="shared" si="318"/>
        <v>0</v>
      </c>
      <c r="BJ298" s="243">
        <f t="shared" si="319"/>
        <v>0</v>
      </c>
      <c r="BK298" s="243"/>
      <c r="BL298" s="243">
        <v>734</v>
      </c>
      <c r="BW298" s="243">
        <v>21</v>
      </c>
    </row>
    <row r="299" spans="1:75" ht="13.5" customHeight="1">
      <c r="A299" s="207" t="s">
        <v>841</v>
      </c>
      <c r="B299" s="208" t="s">
        <v>783</v>
      </c>
      <c r="C299" s="208" t="s">
        <v>432</v>
      </c>
      <c r="D299" s="268" t="s">
        <v>433</v>
      </c>
      <c r="E299" s="260"/>
      <c r="F299" s="208" t="s">
        <v>58</v>
      </c>
      <c r="G299" s="243">
        <v>1</v>
      </c>
      <c r="H299" s="244">
        <v>0</v>
      </c>
      <c r="I299" s="244">
        <f t="shared" si="300"/>
        <v>0</v>
      </c>
      <c r="K299" s="231"/>
      <c r="Z299" s="243">
        <f t="shared" si="301"/>
        <v>0</v>
      </c>
      <c r="AB299" s="243">
        <f t="shared" si="302"/>
        <v>0</v>
      </c>
      <c r="AC299" s="243">
        <f t="shared" si="303"/>
        <v>0</v>
      </c>
      <c r="AD299" s="243">
        <f t="shared" si="304"/>
        <v>0</v>
      </c>
      <c r="AE299" s="243">
        <f t="shared" si="305"/>
        <v>0</v>
      </c>
      <c r="AF299" s="243">
        <f t="shared" si="306"/>
        <v>0</v>
      </c>
      <c r="AG299" s="243">
        <f t="shared" si="307"/>
        <v>0</v>
      </c>
      <c r="AH299" s="243">
        <f t="shared" si="308"/>
        <v>0</v>
      </c>
      <c r="AI299" s="232" t="s">
        <v>783</v>
      </c>
      <c r="AJ299" s="243">
        <f t="shared" si="309"/>
        <v>0</v>
      </c>
      <c r="AK299" s="243">
        <f t="shared" si="310"/>
        <v>0</v>
      </c>
      <c r="AL299" s="243">
        <f t="shared" si="311"/>
        <v>0</v>
      </c>
      <c r="AN299" s="243">
        <v>21</v>
      </c>
      <c r="AO299" s="243">
        <f>H299*0.924761904761905</f>
        <v>0</v>
      </c>
      <c r="AP299" s="243">
        <f>H299*(1-0.924761904761905)</f>
        <v>0</v>
      </c>
      <c r="AQ299" s="245" t="s">
        <v>567</v>
      </c>
      <c r="AV299" s="243">
        <f t="shared" si="312"/>
        <v>0</v>
      </c>
      <c r="AW299" s="243">
        <f t="shared" si="313"/>
        <v>0</v>
      </c>
      <c r="AX299" s="243">
        <f t="shared" si="314"/>
        <v>0</v>
      </c>
      <c r="AY299" s="245" t="s">
        <v>593</v>
      </c>
      <c r="AZ299" s="245" t="s">
        <v>813</v>
      </c>
      <c r="BA299" s="232" t="s">
        <v>786</v>
      </c>
      <c r="BC299" s="243">
        <f t="shared" si="315"/>
        <v>0</v>
      </c>
      <c r="BD299" s="243">
        <f t="shared" si="316"/>
        <v>0</v>
      </c>
      <c r="BE299" s="243">
        <v>0</v>
      </c>
      <c r="BF299" s="243">
        <f>299</f>
        <v>299</v>
      </c>
      <c r="BH299" s="243">
        <f t="shared" si="317"/>
        <v>0</v>
      </c>
      <c r="BI299" s="243">
        <f t="shared" si="318"/>
        <v>0</v>
      </c>
      <c r="BJ299" s="243">
        <f t="shared" si="319"/>
        <v>0</v>
      </c>
      <c r="BK299" s="243"/>
      <c r="BL299" s="243">
        <v>734</v>
      </c>
      <c r="BW299" s="243">
        <v>21</v>
      </c>
    </row>
    <row r="300" spans="1:75" ht="13.5" customHeight="1">
      <c r="A300" s="207" t="s">
        <v>842</v>
      </c>
      <c r="B300" s="208" t="s">
        <v>783</v>
      </c>
      <c r="C300" s="208" t="s">
        <v>434</v>
      </c>
      <c r="D300" s="268" t="s">
        <v>435</v>
      </c>
      <c r="E300" s="260"/>
      <c r="F300" s="208" t="s">
        <v>68</v>
      </c>
      <c r="G300" s="243">
        <v>1</v>
      </c>
      <c r="H300" s="244">
        <v>0</v>
      </c>
      <c r="I300" s="244">
        <f t="shared" si="300"/>
        <v>0</v>
      </c>
      <c r="K300" s="231"/>
      <c r="Z300" s="243">
        <f t="shared" si="301"/>
        <v>0</v>
      </c>
      <c r="AB300" s="243">
        <f t="shared" si="302"/>
        <v>0</v>
      </c>
      <c r="AC300" s="243">
        <f t="shared" si="303"/>
        <v>0</v>
      </c>
      <c r="AD300" s="243">
        <f t="shared" si="304"/>
        <v>0</v>
      </c>
      <c r="AE300" s="243">
        <f t="shared" si="305"/>
        <v>0</v>
      </c>
      <c r="AF300" s="243">
        <f t="shared" si="306"/>
        <v>0</v>
      </c>
      <c r="AG300" s="243">
        <f t="shared" si="307"/>
        <v>0</v>
      </c>
      <c r="AH300" s="243">
        <f t="shared" si="308"/>
        <v>0</v>
      </c>
      <c r="AI300" s="232" t="s">
        <v>783</v>
      </c>
      <c r="AJ300" s="243">
        <f t="shared" si="309"/>
        <v>0</v>
      </c>
      <c r="AK300" s="243">
        <f t="shared" si="310"/>
        <v>0</v>
      </c>
      <c r="AL300" s="243">
        <f t="shared" si="311"/>
        <v>0</v>
      </c>
      <c r="AN300" s="243">
        <v>21</v>
      </c>
      <c r="AO300" s="243">
        <f>H300*0.698084842146545</f>
        <v>0</v>
      </c>
      <c r="AP300" s="243">
        <f>H300*(1-0.698084842146545)</f>
        <v>0</v>
      </c>
      <c r="AQ300" s="245" t="s">
        <v>567</v>
      </c>
      <c r="AV300" s="243">
        <f t="shared" si="312"/>
        <v>0</v>
      </c>
      <c r="AW300" s="243">
        <f t="shared" si="313"/>
        <v>0</v>
      </c>
      <c r="AX300" s="243">
        <f t="shared" si="314"/>
        <v>0</v>
      </c>
      <c r="AY300" s="245" t="s">
        <v>593</v>
      </c>
      <c r="AZ300" s="245" t="s">
        <v>813</v>
      </c>
      <c r="BA300" s="232" t="s">
        <v>786</v>
      </c>
      <c r="BC300" s="243">
        <f t="shared" si="315"/>
        <v>0</v>
      </c>
      <c r="BD300" s="243">
        <f t="shared" si="316"/>
        <v>0</v>
      </c>
      <c r="BE300" s="243">
        <v>0</v>
      </c>
      <c r="BF300" s="243">
        <f>300</f>
        <v>300</v>
      </c>
      <c r="BH300" s="243">
        <f t="shared" si="317"/>
        <v>0</v>
      </c>
      <c r="BI300" s="243">
        <f t="shared" si="318"/>
        <v>0</v>
      </c>
      <c r="BJ300" s="243">
        <f t="shared" si="319"/>
        <v>0</v>
      </c>
      <c r="BK300" s="243"/>
      <c r="BL300" s="243">
        <v>734</v>
      </c>
      <c r="BW300" s="243">
        <v>21</v>
      </c>
    </row>
    <row r="301" spans="1:75" ht="13.5" customHeight="1">
      <c r="A301" s="207" t="s">
        <v>843</v>
      </c>
      <c r="B301" s="208" t="s">
        <v>783</v>
      </c>
      <c r="C301" s="208" t="s">
        <v>436</v>
      </c>
      <c r="D301" s="268" t="s">
        <v>1359</v>
      </c>
      <c r="E301" s="260"/>
      <c r="F301" s="208" t="s">
        <v>68</v>
      </c>
      <c r="G301" s="243">
        <v>1</v>
      </c>
      <c r="H301" s="244">
        <v>0</v>
      </c>
      <c r="I301" s="244">
        <f t="shared" si="300"/>
        <v>0</v>
      </c>
      <c r="K301" s="231"/>
      <c r="Z301" s="243">
        <f t="shared" si="301"/>
        <v>0</v>
      </c>
      <c r="AB301" s="243">
        <f t="shared" si="302"/>
        <v>0</v>
      </c>
      <c r="AC301" s="243">
        <f t="shared" si="303"/>
        <v>0</v>
      </c>
      <c r="AD301" s="243">
        <f t="shared" si="304"/>
        <v>0</v>
      </c>
      <c r="AE301" s="243">
        <f t="shared" si="305"/>
        <v>0</v>
      </c>
      <c r="AF301" s="243">
        <f t="shared" si="306"/>
        <v>0</v>
      </c>
      <c r="AG301" s="243">
        <f t="shared" si="307"/>
        <v>0</v>
      </c>
      <c r="AH301" s="243">
        <f t="shared" si="308"/>
        <v>0</v>
      </c>
      <c r="AI301" s="232" t="s">
        <v>783</v>
      </c>
      <c r="AJ301" s="243">
        <f t="shared" si="309"/>
        <v>0</v>
      </c>
      <c r="AK301" s="243">
        <f t="shared" si="310"/>
        <v>0</v>
      </c>
      <c r="AL301" s="243">
        <f t="shared" si="311"/>
        <v>0</v>
      </c>
      <c r="AN301" s="243">
        <v>21</v>
      </c>
      <c r="AO301" s="243">
        <f>H301*0.796243845047714</f>
        <v>0</v>
      </c>
      <c r="AP301" s="243">
        <f>H301*(1-0.796243845047714)</f>
        <v>0</v>
      </c>
      <c r="AQ301" s="245" t="s">
        <v>567</v>
      </c>
      <c r="AV301" s="243">
        <f t="shared" si="312"/>
        <v>0</v>
      </c>
      <c r="AW301" s="243">
        <f t="shared" si="313"/>
        <v>0</v>
      </c>
      <c r="AX301" s="243">
        <f t="shared" si="314"/>
        <v>0</v>
      </c>
      <c r="AY301" s="245" t="s">
        <v>593</v>
      </c>
      <c r="AZ301" s="245" t="s">
        <v>813</v>
      </c>
      <c r="BA301" s="232" t="s">
        <v>786</v>
      </c>
      <c r="BC301" s="243">
        <f t="shared" si="315"/>
        <v>0</v>
      </c>
      <c r="BD301" s="243">
        <f t="shared" si="316"/>
        <v>0</v>
      </c>
      <c r="BE301" s="243">
        <v>0</v>
      </c>
      <c r="BF301" s="243">
        <f>301</f>
        <v>301</v>
      </c>
      <c r="BH301" s="243">
        <f t="shared" si="317"/>
        <v>0</v>
      </c>
      <c r="BI301" s="243">
        <f t="shared" si="318"/>
        <v>0</v>
      </c>
      <c r="BJ301" s="243">
        <f t="shared" si="319"/>
        <v>0</v>
      </c>
      <c r="BK301" s="243"/>
      <c r="BL301" s="243">
        <v>734</v>
      </c>
      <c r="BW301" s="243">
        <v>21</v>
      </c>
    </row>
    <row r="302" spans="1:75" ht="13.5" customHeight="1">
      <c r="A302" s="207" t="s">
        <v>844</v>
      </c>
      <c r="B302" s="208" t="s">
        <v>783</v>
      </c>
      <c r="C302" s="208" t="s">
        <v>438</v>
      </c>
      <c r="D302" s="268" t="s">
        <v>1360</v>
      </c>
      <c r="E302" s="260"/>
      <c r="F302" s="208" t="s">
        <v>68</v>
      </c>
      <c r="G302" s="243">
        <v>3</v>
      </c>
      <c r="H302" s="244">
        <v>0</v>
      </c>
      <c r="I302" s="244">
        <f t="shared" si="300"/>
        <v>0</v>
      </c>
      <c r="K302" s="231"/>
      <c r="Z302" s="243">
        <f t="shared" si="301"/>
        <v>0</v>
      </c>
      <c r="AB302" s="243">
        <f t="shared" si="302"/>
        <v>0</v>
      </c>
      <c r="AC302" s="243">
        <f t="shared" si="303"/>
        <v>0</v>
      </c>
      <c r="AD302" s="243">
        <f t="shared" si="304"/>
        <v>0</v>
      </c>
      <c r="AE302" s="243">
        <f t="shared" si="305"/>
        <v>0</v>
      </c>
      <c r="AF302" s="243">
        <f t="shared" si="306"/>
        <v>0</v>
      </c>
      <c r="AG302" s="243">
        <f t="shared" si="307"/>
        <v>0</v>
      </c>
      <c r="AH302" s="243">
        <f t="shared" si="308"/>
        <v>0</v>
      </c>
      <c r="AI302" s="232" t="s">
        <v>783</v>
      </c>
      <c r="AJ302" s="243">
        <f t="shared" si="309"/>
        <v>0</v>
      </c>
      <c r="AK302" s="243">
        <f t="shared" si="310"/>
        <v>0</v>
      </c>
      <c r="AL302" s="243">
        <f t="shared" si="311"/>
        <v>0</v>
      </c>
      <c r="AN302" s="243">
        <v>21</v>
      </c>
      <c r="AO302" s="243">
        <f>H302*0.893386019482375</f>
        <v>0</v>
      </c>
      <c r="AP302" s="243">
        <f>H302*(1-0.893386019482375)</f>
        <v>0</v>
      </c>
      <c r="AQ302" s="245" t="s">
        <v>567</v>
      </c>
      <c r="AV302" s="243">
        <f t="shared" si="312"/>
        <v>0</v>
      </c>
      <c r="AW302" s="243">
        <f t="shared" si="313"/>
        <v>0</v>
      </c>
      <c r="AX302" s="243">
        <f t="shared" si="314"/>
        <v>0</v>
      </c>
      <c r="AY302" s="245" t="s">
        <v>593</v>
      </c>
      <c r="AZ302" s="245" t="s">
        <v>813</v>
      </c>
      <c r="BA302" s="232" t="s">
        <v>786</v>
      </c>
      <c r="BC302" s="243">
        <f t="shared" si="315"/>
        <v>0</v>
      </c>
      <c r="BD302" s="243">
        <f t="shared" si="316"/>
        <v>0</v>
      </c>
      <c r="BE302" s="243">
        <v>0</v>
      </c>
      <c r="BF302" s="243">
        <f>302</f>
        <v>302</v>
      </c>
      <c r="BH302" s="243">
        <f t="shared" si="317"/>
        <v>0</v>
      </c>
      <c r="BI302" s="243">
        <f t="shared" si="318"/>
        <v>0</v>
      </c>
      <c r="BJ302" s="243">
        <f t="shared" si="319"/>
        <v>0</v>
      </c>
      <c r="BK302" s="243"/>
      <c r="BL302" s="243">
        <v>734</v>
      </c>
      <c r="BW302" s="243">
        <v>21</v>
      </c>
    </row>
    <row r="303" spans="1:75" ht="15" customHeight="1">
      <c r="A303" s="238" t="s">
        <v>21</v>
      </c>
      <c r="B303" s="239" t="s">
        <v>783</v>
      </c>
      <c r="C303" s="239" t="s">
        <v>101</v>
      </c>
      <c r="D303" s="309" t="s">
        <v>102</v>
      </c>
      <c r="E303" s="310"/>
      <c r="F303" s="240" t="s">
        <v>20</v>
      </c>
      <c r="G303" s="240" t="s">
        <v>20</v>
      </c>
      <c r="H303" s="241" t="s">
        <v>20</v>
      </c>
      <c r="I303" s="242">
        <f>SUM(I304:I305)</f>
        <v>0</v>
      </c>
      <c r="K303" s="231"/>
      <c r="AI303" s="232" t="s">
        <v>783</v>
      </c>
      <c r="AS303" s="225">
        <f>SUM(AJ304:AJ305)</f>
        <v>0</v>
      </c>
      <c r="AT303" s="225">
        <f>SUM(AK304:AK305)</f>
        <v>0</v>
      </c>
      <c r="AU303" s="225">
        <f>SUM(AL304:AL305)</f>
        <v>0</v>
      </c>
    </row>
    <row r="304" spans="1:75" ht="13.5" customHeight="1">
      <c r="A304" s="207" t="s">
        <v>845</v>
      </c>
      <c r="B304" s="208" t="s">
        <v>783</v>
      </c>
      <c r="C304" s="208" t="s">
        <v>440</v>
      </c>
      <c r="D304" s="268" t="s">
        <v>441</v>
      </c>
      <c r="E304" s="260"/>
      <c r="F304" s="208" t="s">
        <v>105</v>
      </c>
      <c r="G304" s="243">
        <v>50</v>
      </c>
      <c r="H304" s="244">
        <v>0</v>
      </c>
      <c r="I304" s="244">
        <f>G304*H304</f>
        <v>0</v>
      </c>
      <c r="K304" s="231"/>
      <c r="Z304" s="243">
        <f>IF(AQ304="5",BJ304,0)</f>
        <v>0</v>
      </c>
      <c r="AB304" s="243">
        <f>IF(AQ304="1",BH304,0)</f>
        <v>0</v>
      </c>
      <c r="AC304" s="243">
        <f>IF(AQ304="1",BI304,0)</f>
        <v>0</v>
      </c>
      <c r="AD304" s="243">
        <f>IF(AQ304="7",BH304,0)</f>
        <v>0</v>
      </c>
      <c r="AE304" s="243">
        <f>IF(AQ304="7",BI304,0)</f>
        <v>0</v>
      </c>
      <c r="AF304" s="243">
        <f>IF(AQ304="2",BH304,0)</f>
        <v>0</v>
      </c>
      <c r="AG304" s="243">
        <f>IF(AQ304="2",BI304,0)</f>
        <v>0</v>
      </c>
      <c r="AH304" s="243">
        <f>IF(AQ304="0",BJ304,0)</f>
        <v>0</v>
      </c>
      <c r="AI304" s="232" t="s">
        <v>783</v>
      </c>
      <c r="AJ304" s="243">
        <f>IF(AN304=0,I304,0)</f>
        <v>0</v>
      </c>
      <c r="AK304" s="243">
        <f>IF(AN304=12,I304,0)</f>
        <v>0</v>
      </c>
      <c r="AL304" s="243">
        <f>IF(AN304=21,I304,0)</f>
        <v>0</v>
      </c>
      <c r="AN304" s="243">
        <v>21</v>
      </c>
      <c r="AO304" s="243">
        <f>H304*0.166280991735537</f>
        <v>0</v>
      </c>
      <c r="AP304" s="243">
        <f>H304*(1-0.166280991735537)</f>
        <v>0</v>
      </c>
      <c r="AQ304" s="245" t="s">
        <v>567</v>
      </c>
      <c r="AV304" s="243">
        <f>AW304+AX304</f>
        <v>0</v>
      </c>
      <c r="AW304" s="243">
        <f>G304*AO304</f>
        <v>0</v>
      </c>
      <c r="AX304" s="243">
        <f>G304*AP304</f>
        <v>0</v>
      </c>
      <c r="AY304" s="245" t="s">
        <v>596</v>
      </c>
      <c r="AZ304" s="245" t="s">
        <v>848</v>
      </c>
      <c r="BA304" s="232" t="s">
        <v>786</v>
      </c>
      <c r="BC304" s="243">
        <f>AW304+AX304</f>
        <v>0</v>
      </c>
      <c r="BD304" s="243">
        <f>H304/(100-BE304)*100</f>
        <v>0</v>
      </c>
      <c r="BE304" s="243">
        <v>0</v>
      </c>
      <c r="BF304" s="243">
        <f>304</f>
        <v>304</v>
      </c>
      <c r="BH304" s="243">
        <f>G304*AO304</f>
        <v>0</v>
      </c>
      <c r="BI304" s="243">
        <f>G304*AP304</f>
        <v>0</v>
      </c>
      <c r="BJ304" s="243">
        <f>G304*H304</f>
        <v>0</v>
      </c>
      <c r="BK304" s="243"/>
      <c r="BL304" s="243">
        <v>767</v>
      </c>
      <c r="BW304" s="243">
        <v>21</v>
      </c>
    </row>
    <row r="305" spans="1:75" ht="13.5" customHeight="1">
      <c r="A305" s="207" t="s">
        <v>846</v>
      </c>
      <c r="B305" s="208" t="s">
        <v>783</v>
      </c>
      <c r="C305" s="208" t="s">
        <v>442</v>
      </c>
      <c r="D305" s="268" t="s">
        <v>443</v>
      </c>
      <c r="E305" s="260"/>
      <c r="F305" s="208" t="s">
        <v>105</v>
      </c>
      <c r="G305" s="243">
        <v>60</v>
      </c>
      <c r="H305" s="244">
        <v>0</v>
      </c>
      <c r="I305" s="244">
        <f>G305*H305</f>
        <v>0</v>
      </c>
      <c r="K305" s="231"/>
      <c r="Z305" s="243">
        <f>IF(AQ305="5",BJ305,0)</f>
        <v>0</v>
      </c>
      <c r="AB305" s="243">
        <f>IF(AQ305="1",BH305,0)</f>
        <v>0</v>
      </c>
      <c r="AC305" s="243">
        <f>IF(AQ305="1",BI305,0)</f>
        <v>0</v>
      </c>
      <c r="AD305" s="243">
        <f>IF(AQ305="7",BH305,0)</f>
        <v>0</v>
      </c>
      <c r="AE305" s="243">
        <f>IF(AQ305="7",BI305,0)</f>
        <v>0</v>
      </c>
      <c r="AF305" s="243">
        <f>IF(AQ305="2",BH305,0)</f>
        <v>0</v>
      </c>
      <c r="AG305" s="243">
        <f>IF(AQ305="2",BI305,0)</f>
        <v>0</v>
      </c>
      <c r="AH305" s="243">
        <f>IF(AQ305="0",BJ305,0)</f>
        <v>0</v>
      </c>
      <c r="AI305" s="232" t="s">
        <v>783</v>
      </c>
      <c r="AJ305" s="243">
        <f>IF(AN305=0,I305,0)</f>
        <v>0</v>
      </c>
      <c r="AK305" s="243">
        <f>IF(AN305=12,I305,0)</f>
        <v>0</v>
      </c>
      <c r="AL305" s="243">
        <f>IF(AN305=21,I305,0)</f>
        <v>0</v>
      </c>
      <c r="AN305" s="243">
        <v>21</v>
      </c>
      <c r="AO305" s="243">
        <f>H305*0.329041487839771</f>
        <v>0</v>
      </c>
      <c r="AP305" s="243">
        <f>H305*(1-0.329041487839771)</f>
        <v>0</v>
      </c>
      <c r="AQ305" s="245" t="s">
        <v>567</v>
      </c>
      <c r="AV305" s="243">
        <f>AW305+AX305</f>
        <v>0</v>
      </c>
      <c r="AW305" s="243">
        <f>G305*AO305</f>
        <v>0</v>
      </c>
      <c r="AX305" s="243">
        <f>G305*AP305</f>
        <v>0</v>
      </c>
      <c r="AY305" s="245" t="s">
        <v>596</v>
      </c>
      <c r="AZ305" s="245" t="s">
        <v>848</v>
      </c>
      <c r="BA305" s="232" t="s">
        <v>786</v>
      </c>
      <c r="BC305" s="243">
        <f>AW305+AX305</f>
        <v>0</v>
      </c>
      <c r="BD305" s="243">
        <f>H305/(100-BE305)*100</f>
        <v>0</v>
      </c>
      <c r="BE305" s="243">
        <v>0</v>
      </c>
      <c r="BF305" s="243">
        <f>305</f>
        <v>305</v>
      </c>
      <c r="BH305" s="243">
        <f>G305*AO305</f>
        <v>0</v>
      </c>
      <c r="BI305" s="243">
        <f>G305*AP305</f>
        <v>0</v>
      </c>
      <c r="BJ305" s="243">
        <f>G305*H305</f>
        <v>0</v>
      </c>
      <c r="BK305" s="243"/>
      <c r="BL305" s="243">
        <v>767</v>
      </c>
      <c r="BW305" s="243">
        <v>21</v>
      </c>
    </row>
    <row r="306" spans="1:75" ht="15" customHeight="1">
      <c r="A306" s="238" t="s">
        <v>21</v>
      </c>
      <c r="B306" s="239" t="s">
        <v>783</v>
      </c>
      <c r="C306" s="239" t="s">
        <v>21</v>
      </c>
      <c r="D306" s="309" t="s">
        <v>1310</v>
      </c>
      <c r="E306" s="310"/>
      <c r="F306" s="240" t="s">
        <v>20</v>
      </c>
      <c r="G306" s="240" t="s">
        <v>20</v>
      </c>
      <c r="H306" s="241" t="s">
        <v>20</v>
      </c>
      <c r="I306" s="242">
        <f>I307</f>
        <v>0</v>
      </c>
      <c r="K306" s="231"/>
      <c r="AI306" s="232" t="s">
        <v>783</v>
      </c>
    </row>
    <row r="307" spans="1:75" ht="15" customHeight="1">
      <c r="A307" s="238" t="s">
        <v>21</v>
      </c>
      <c r="B307" s="239" t="s">
        <v>783</v>
      </c>
      <c r="C307" s="239" t="s">
        <v>348</v>
      </c>
      <c r="D307" s="309" t="s">
        <v>349</v>
      </c>
      <c r="E307" s="310"/>
      <c r="F307" s="240" t="s">
        <v>20</v>
      </c>
      <c r="G307" s="240" t="s">
        <v>20</v>
      </c>
      <c r="H307" s="241" t="s">
        <v>20</v>
      </c>
      <c r="I307" s="242">
        <f>SUM(I308:I308)</f>
        <v>0</v>
      </c>
      <c r="K307" s="231"/>
      <c r="AI307" s="232" t="s">
        <v>783</v>
      </c>
      <c r="AS307" s="225">
        <f>SUM(AJ308:AJ308)</f>
        <v>0</v>
      </c>
      <c r="AT307" s="225">
        <f>SUM(AK308:AK308)</f>
        <v>0</v>
      </c>
      <c r="AU307" s="225">
        <f>SUM(AL308:AL308)</f>
        <v>0</v>
      </c>
    </row>
    <row r="308" spans="1:75" ht="13.5" customHeight="1">
      <c r="A308" s="207" t="s">
        <v>847</v>
      </c>
      <c r="B308" s="208" t="s">
        <v>783</v>
      </c>
      <c r="C308" s="208" t="s">
        <v>350</v>
      </c>
      <c r="D308" s="268" t="s">
        <v>447</v>
      </c>
      <c r="E308" s="260"/>
      <c r="F308" s="208" t="s">
        <v>29</v>
      </c>
      <c r="G308" s="243">
        <v>1</v>
      </c>
      <c r="H308" s="244">
        <v>0</v>
      </c>
      <c r="I308" s="244">
        <f>G308*H308</f>
        <v>0</v>
      </c>
      <c r="K308" s="231"/>
      <c r="Z308" s="243">
        <f>IF(AQ308="5",BJ308,0)</f>
        <v>0</v>
      </c>
      <c r="AB308" s="243">
        <f>IF(AQ308="1",BH308,0)</f>
        <v>0</v>
      </c>
      <c r="AC308" s="243">
        <f>IF(AQ308="1",BI308,0)</f>
        <v>0</v>
      </c>
      <c r="AD308" s="243">
        <f>IF(AQ308="7",BH308,0)</f>
        <v>0</v>
      </c>
      <c r="AE308" s="243">
        <f>IF(AQ308="7",BI308,0)</f>
        <v>0</v>
      </c>
      <c r="AF308" s="243">
        <f>IF(AQ308="2",BH308,0)</f>
        <v>0</v>
      </c>
      <c r="AG308" s="243">
        <f>IF(AQ308="2",BI308,0)</f>
        <v>0</v>
      </c>
      <c r="AH308" s="243">
        <f>IF(AQ308="0",BJ308,0)</f>
        <v>0</v>
      </c>
      <c r="AI308" s="232" t="s">
        <v>783</v>
      </c>
      <c r="AJ308" s="243">
        <f>IF(AN308=0,I308,0)</f>
        <v>0</v>
      </c>
      <c r="AK308" s="243">
        <f>IF(AN308=12,I308,0)</f>
        <v>0</v>
      </c>
      <c r="AL308" s="243">
        <f>IF(AN308=21,I308,0)</f>
        <v>0</v>
      </c>
      <c r="AN308" s="243">
        <v>21</v>
      </c>
      <c r="AO308" s="243">
        <f>H308*0</f>
        <v>0</v>
      </c>
      <c r="AP308" s="243">
        <f>H308*(1-0)</f>
        <v>0</v>
      </c>
      <c r="AQ308" s="245" t="s">
        <v>556</v>
      </c>
      <c r="AV308" s="243">
        <f>AW308+AX308</f>
        <v>0</v>
      </c>
      <c r="AW308" s="243">
        <f>G308*AO308</f>
        <v>0</v>
      </c>
      <c r="AX308" s="243">
        <f>G308*AP308</f>
        <v>0</v>
      </c>
      <c r="AY308" s="245" t="s">
        <v>711</v>
      </c>
      <c r="AZ308" s="245" t="s">
        <v>1365</v>
      </c>
      <c r="BA308" s="232" t="s">
        <v>786</v>
      </c>
      <c r="BC308" s="243">
        <f>AW308+AX308</f>
        <v>0</v>
      </c>
      <c r="BD308" s="243">
        <f>H308/(100-BE308)*100</f>
        <v>0</v>
      </c>
      <c r="BE308" s="243">
        <v>0</v>
      </c>
      <c r="BF308" s="243">
        <f>308</f>
        <v>308</v>
      </c>
      <c r="BH308" s="243">
        <f>G308*AO308</f>
        <v>0</v>
      </c>
      <c r="BI308" s="243">
        <f>G308*AP308</f>
        <v>0</v>
      </c>
      <c r="BJ308" s="243">
        <f>G308*H308</f>
        <v>0</v>
      </c>
      <c r="BK308" s="243"/>
      <c r="BL308" s="243"/>
      <c r="BR308" s="243">
        <f>G308*H308</f>
        <v>0</v>
      </c>
      <c r="BW308" s="243">
        <v>21</v>
      </c>
    </row>
    <row r="309" spans="1:75" ht="15" customHeight="1">
      <c r="A309" s="238" t="s">
        <v>21</v>
      </c>
      <c r="B309" s="239" t="s">
        <v>852</v>
      </c>
      <c r="C309" s="239" t="s">
        <v>21</v>
      </c>
      <c r="D309" s="309" t="s">
        <v>448</v>
      </c>
      <c r="E309" s="310"/>
      <c r="F309" s="240" t="s">
        <v>20</v>
      </c>
      <c r="G309" s="240" t="s">
        <v>20</v>
      </c>
      <c r="H309" s="241" t="s">
        <v>20</v>
      </c>
      <c r="I309" s="242">
        <f>I310+I320+I322+I335+I337+I345+I357+I373+I377</f>
        <v>0</v>
      </c>
      <c r="K309" s="231"/>
    </row>
    <row r="310" spans="1:75" ht="15" customHeight="1">
      <c r="A310" s="238" t="s">
        <v>21</v>
      </c>
      <c r="B310" s="239" t="s">
        <v>852</v>
      </c>
      <c r="C310" s="239" t="s">
        <v>54</v>
      </c>
      <c r="D310" s="309" t="s">
        <v>55</v>
      </c>
      <c r="E310" s="310"/>
      <c r="F310" s="240" t="s">
        <v>20</v>
      </c>
      <c r="G310" s="240" t="s">
        <v>20</v>
      </c>
      <c r="H310" s="241" t="s">
        <v>20</v>
      </c>
      <c r="I310" s="242">
        <f>SUM(I311:I319)</f>
        <v>0</v>
      </c>
      <c r="K310" s="231"/>
      <c r="AI310" s="232" t="s">
        <v>852</v>
      </c>
      <c r="AS310" s="225">
        <f>SUM(AJ311:AJ319)</f>
        <v>0</v>
      </c>
      <c r="AT310" s="225">
        <f>SUM(AK311:AK319)</f>
        <v>0</v>
      </c>
      <c r="AU310" s="225">
        <f>SUM(AL311:AL319)</f>
        <v>0</v>
      </c>
    </row>
    <row r="311" spans="1:75" ht="13.5" customHeight="1">
      <c r="A311" s="207" t="s">
        <v>849</v>
      </c>
      <c r="B311" s="208" t="s">
        <v>852</v>
      </c>
      <c r="C311" s="208" t="s">
        <v>69</v>
      </c>
      <c r="D311" s="268" t="s">
        <v>356</v>
      </c>
      <c r="E311" s="260"/>
      <c r="F311" s="208" t="s">
        <v>68</v>
      </c>
      <c r="G311" s="243">
        <v>1</v>
      </c>
      <c r="H311" s="244">
        <v>0</v>
      </c>
      <c r="I311" s="244">
        <f t="shared" ref="I311:I319" si="320">G311*H311</f>
        <v>0</v>
      </c>
      <c r="K311" s="231"/>
      <c r="Z311" s="243">
        <f t="shared" ref="Z311:Z319" si="321">IF(AQ311="5",BJ311,0)</f>
        <v>0</v>
      </c>
      <c r="AB311" s="243">
        <f t="shared" ref="AB311:AB319" si="322">IF(AQ311="1",BH311,0)</f>
        <v>0</v>
      </c>
      <c r="AC311" s="243">
        <f t="shared" ref="AC311:AC319" si="323">IF(AQ311="1",BI311,0)</f>
        <v>0</v>
      </c>
      <c r="AD311" s="243">
        <f t="shared" ref="AD311:AD319" si="324">IF(AQ311="7",BH311,0)</f>
        <v>0</v>
      </c>
      <c r="AE311" s="243">
        <f t="shared" ref="AE311:AE319" si="325">IF(AQ311="7",BI311,0)</f>
        <v>0</v>
      </c>
      <c r="AF311" s="243">
        <f t="shared" ref="AF311:AF319" si="326">IF(AQ311="2",BH311,0)</f>
        <v>0</v>
      </c>
      <c r="AG311" s="243">
        <f t="shared" ref="AG311:AG319" si="327">IF(AQ311="2",BI311,0)</f>
        <v>0</v>
      </c>
      <c r="AH311" s="243">
        <f t="shared" ref="AH311:AH319" si="328">IF(AQ311="0",BJ311,0)</f>
        <v>0</v>
      </c>
      <c r="AI311" s="232" t="s">
        <v>852</v>
      </c>
      <c r="AJ311" s="243">
        <f t="shared" ref="AJ311:AJ319" si="329">IF(AN311=0,I311,0)</f>
        <v>0</v>
      </c>
      <c r="AK311" s="243">
        <f t="shared" ref="AK311:AK319" si="330">IF(AN311=12,I311,0)</f>
        <v>0</v>
      </c>
      <c r="AL311" s="243">
        <f t="shared" ref="AL311:AL319" si="331">IF(AN311=21,I311,0)</f>
        <v>0</v>
      </c>
      <c r="AN311" s="243">
        <v>21</v>
      </c>
      <c r="AO311" s="243">
        <f>H311*0</f>
        <v>0</v>
      </c>
      <c r="AP311" s="243">
        <f>H311*(1-0)</f>
        <v>0</v>
      </c>
      <c r="AQ311" s="245" t="s">
        <v>553</v>
      </c>
      <c r="AV311" s="243">
        <f t="shared" ref="AV311:AV319" si="332">AW311+AX311</f>
        <v>0</v>
      </c>
      <c r="AW311" s="243">
        <f t="shared" ref="AW311:AW319" si="333">G311*AO311</f>
        <v>0</v>
      </c>
      <c r="AX311" s="243">
        <f t="shared" ref="AX311:AX319" si="334">G311*AP311</f>
        <v>0</v>
      </c>
      <c r="AY311" s="245" t="s">
        <v>574</v>
      </c>
      <c r="AZ311" s="245" t="s">
        <v>854</v>
      </c>
      <c r="BA311" s="232" t="s">
        <v>855</v>
      </c>
      <c r="BC311" s="243">
        <f t="shared" ref="BC311:BC319" si="335">AW311+AX311</f>
        <v>0</v>
      </c>
      <c r="BD311" s="243">
        <f t="shared" ref="BD311:BD319" si="336">H311/(100-BE311)*100</f>
        <v>0</v>
      </c>
      <c r="BE311" s="243">
        <v>0</v>
      </c>
      <c r="BF311" s="243">
        <f>311</f>
        <v>311</v>
      </c>
      <c r="BH311" s="243">
        <f t="shared" ref="BH311:BH319" si="337">G311*AO311</f>
        <v>0</v>
      </c>
      <c r="BI311" s="243">
        <f t="shared" ref="BI311:BI319" si="338">G311*AP311</f>
        <v>0</v>
      </c>
      <c r="BJ311" s="243">
        <f t="shared" ref="BJ311:BJ319" si="339">G311*H311</f>
        <v>0</v>
      </c>
      <c r="BK311" s="243"/>
      <c r="BL311" s="243">
        <v>0</v>
      </c>
      <c r="BW311" s="243">
        <v>21</v>
      </c>
    </row>
    <row r="312" spans="1:75" ht="13.5" customHeight="1">
      <c r="A312" s="207" t="s">
        <v>850</v>
      </c>
      <c r="B312" s="208" t="s">
        <v>852</v>
      </c>
      <c r="C312" s="208" t="s">
        <v>107</v>
      </c>
      <c r="D312" s="268" t="s">
        <v>108</v>
      </c>
      <c r="E312" s="260"/>
      <c r="F312" s="208" t="s">
        <v>109</v>
      </c>
      <c r="G312" s="243">
        <v>8</v>
      </c>
      <c r="H312" s="244">
        <v>0</v>
      </c>
      <c r="I312" s="244">
        <f t="shared" si="320"/>
        <v>0</v>
      </c>
      <c r="K312" s="231"/>
      <c r="Z312" s="243">
        <f t="shared" si="321"/>
        <v>0</v>
      </c>
      <c r="AB312" s="243">
        <f t="shared" si="322"/>
        <v>0</v>
      </c>
      <c r="AC312" s="243">
        <f t="shared" si="323"/>
        <v>0</v>
      </c>
      <c r="AD312" s="243">
        <f t="shared" si="324"/>
        <v>0</v>
      </c>
      <c r="AE312" s="243">
        <f t="shared" si="325"/>
        <v>0</v>
      </c>
      <c r="AF312" s="243">
        <f t="shared" si="326"/>
        <v>0</v>
      </c>
      <c r="AG312" s="243">
        <f t="shared" si="327"/>
        <v>0</v>
      </c>
      <c r="AH312" s="243">
        <f t="shared" si="328"/>
        <v>0</v>
      </c>
      <c r="AI312" s="232" t="s">
        <v>852</v>
      </c>
      <c r="AJ312" s="243">
        <f t="shared" si="329"/>
        <v>0</v>
      </c>
      <c r="AK312" s="243">
        <f t="shared" si="330"/>
        <v>0</v>
      </c>
      <c r="AL312" s="243">
        <f t="shared" si="331"/>
        <v>0</v>
      </c>
      <c r="AN312" s="243">
        <v>21</v>
      </c>
      <c r="AO312" s="243">
        <f>H312*0</f>
        <v>0</v>
      </c>
      <c r="AP312" s="243">
        <f>H312*(1-0)</f>
        <v>0</v>
      </c>
      <c r="AQ312" s="245" t="s">
        <v>553</v>
      </c>
      <c r="AV312" s="243">
        <f t="shared" si="332"/>
        <v>0</v>
      </c>
      <c r="AW312" s="243">
        <f t="shared" si="333"/>
        <v>0</v>
      </c>
      <c r="AX312" s="243">
        <f t="shared" si="334"/>
        <v>0</v>
      </c>
      <c r="AY312" s="245" t="s">
        <v>574</v>
      </c>
      <c r="AZ312" s="245" t="s">
        <v>854</v>
      </c>
      <c r="BA312" s="232" t="s">
        <v>855</v>
      </c>
      <c r="BC312" s="243">
        <f t="shared" si="335"/>
        <v>0</v>
      </c>
      <c r="BD312" s="243">
        <f t="shared" si="336"/>
        <v>0</v>
      </c>
      <c r="BE312" s="243">
        <v>0</v>
      </c>
      <c r="BF312" s="243">
        <f>312</f>
        <v>312</v>
      </c>
      <c r="BH312" s="243">
        <f t="shared" si="337"/>
        <v>0</v>
      </c>
      <c r="BI312" s="243">
        <f t="shared" si="338"/>
        <v>0</v>
      </c>
      <c r="BJ312" s="243">
        <f t="shared" si="339"/>
        <v>0</v>
      </c>
      <c r="BK312" s="243"/>
      <c r="BL312" s="243">
        <v>0</v>
      </c>
      <c r="BW312" s="243">
        <v>21</v>
      </c>
    </row>
    <row r="313" spans="1:75" ht="27" customHeight="1">
      <c r="A313" s="207" t="s">
        <v>853</v>
      </c>
      <c r="B313" s="208" t="s">
        <v>852</v>
      </c>
      <c r="C313" s="208" t="s">
        <v>110</v>
      </c>
      <c r="D313" s="268" t="s">
        <v>111</v>
      </c>
      <c r="E313" s="260"/>
      <c r="F313" s="208" t="s">
        <v>112</v>
      </c>
      <c r="G313" s="243">
        <v>8</v>
      </c>
      <c r="H313" s="244">
        <v>0</v>
      </c>
      <c r="I313" s="244">
        <f t="shared" si="320"/>
        <v>0</v>
      </c>
      <c r="K313" s="231"/>
      <c r="Z313" s="243">
        <f t="shared" si="321"/>
        <v>0</v>
      </c>
      <c r="AB313" s="243">
        <f t="shared" si="322"/>
        <v>0</v>
      </c>
      <c r="AC313" s="243">
        <f t="shared" si="323"/>
        <v>0</v>
      </c>
      <c r="AD313" s="243">
        <f t="shared" si="324"/>
        <v>0</v>
      </c>
      <c r="AE313" s="243">
        <f t="shared" si="325"/>
        <v>0</v>
      </c>
      <c r="AF313" s="243">
        <f t="shared" si="326"/>
        <v>0</v>
      </c>
      <c r="AG313" s="243">
        <f t="shared" si="327"/>
        <v>0</v>
      </c>
      <c r="AH313" s="243">
        <f t="shared" si="328"/>
        <v>0</v>
      </c>
      <c r="AI313" s="232" t="s">
        <v>852</v>
      </c>
      <c r="AJ313" s="243">
        <f t="shared" si="329"/>
        <v>0</v>
      </c>
      <c r="AK313" s="243">
        <f t="shared" si="330"/>
        <v>0</v>
      </c>
      <c r="AL313" s="243">
        <f t="shared" si="331"/>
        <v>0</v>
      </c>
      <c r="AN313" s="243">
        <v>21</v>
      </c>
      <c r="AO313" s="243">
        <f>H313*0.298352654057352</f>
        <v>0</v>
      </c>
      <c r="AP313" s="243">
        <f>H313*(1-0.298352654057352)</f>
        <v>0</v>
      </c>
      <c r="AQ313" s="245" t="s">
        <v>553</v>
      </c>
      <c r="AV313" s="243">
        <f t="shared" si="332"/>
        <v>0</v>
      </c>
      <c r="AW313" s="243">
        <f t="shared" si="333"/>
        <v>0</v>
      </c>
      <c r="AX313" s="243">
        <f t="shared" si="334"/>
        <v>0</v>
      </c>
      <c r="AY313" s="245" t="s">
        <v>574</v>
      </c>
      <c r="AZ313" s="245" t="s">
        <v>854</v>
      </c>
      <c r="BA313" s="232" t="s">
        <v>855</v>
      </c>
      <c r="BC313" s="243">
        <f t="shared" si="335"/>
        <v>0</v>
      </c>
      <c r="BD313" s="243">
        <f t="shared" si="336"/>
        <v>0</v>
      </c>
      <c r="BE313" s="243">
        <v>0</v>
      </c>
      <c r="BF313" s="243">
        <f>313</f>
        <v>313</v>
      </c>
      <c r="BH313" s="243">
        <f t="shared" si="337"/>
        <v>0</v>
      </c>
      <c r="BI313" s="243">
        <f t="shared" si="338"/>
        <v>0</v>
      </c>
      <c r="BJ313" s="243">
        <f t="shared" si="339"/>
        <v>0</v>
      </c>
      <c r="BK313" s="243"/>
      <c r="BL313" s="243">
        <v>0</v>
      </c>
      <c r="BW313" s="243">
        <v>21</v>
      </c>
    </row>
    <row r="314" spans="1:75" ht="13.5" customHeight="1">
      <c r="A314" s="207" t="s">
        <v>856</v>
      </c>
      <c r="B314" s="208" t="s">
        <v>852</v>
      </c>
      <c r="C314" s="208" t="s">
        <v>115</v>
      </c>
      <c r="D314" s="268" t="s">
        <v>116</v>
      </c>
      <c r="E314" s="260"/>
      <c r="F314" s="208" t="s">
        <v>58</v>
      </c>
      <c r="G314" s="243">
        <v>1</v>
      </c>
      <c r="H314" s="244">
        <v>0</v>
      </c>
      <c r="I314" s="244">
        <f t="shared" si="320"/>
        <v>0</v>
      </c>
      <c r="K314" s="231"/>
      <c r="Z314" s="243">
        <f t="shared" si="321"/>
        <v>0</v>
      </c>
      <c r="AB314" s="243">
        <f t="shared" si="322"/>
        <v>0</v>
      </c>
      <c r="AC314" s="243">
        <f t="shared" si="323"/>
        <v>0</v>
      </c>
      <c r="AD314" s="243">
        <f t="shared" si="324"/>
        <v>0</v>
      </c>
      <c r="AE314" s="243">
        <f t="shared" si="325"/>
        <v>0</v>
      </c>
      <c r="AF314" s="243">
        <f t="shared" si="326"/>
        <v>0</v>
      </c>
      <c r="AG314" s="243">
        <f t="shared" si="327"/>
        <v>0</v>
      </c>
      <c r="AH314" s="243">
        <f t="shared" si="328"/>
        <v>0</v>
      </c>
      <c r="AI314" s="232" t="s">
        <v>852</v>
      </c>
      <c r="AJ314" s="243">
        <f t="shared" si="329"/>
        <v>0</v>
      </c>
      <c r="AK314" s="243">
        <f t="shared" si="330"/>
        <v>0</v>
      </c>
      <c r="AL314" s="243">
        <f t="shared" si="331"/>
        <v>0</v>
      </c>
      <c r="AN314" s="243">
        <v>21</v>
      </c>
      <c r="AO314" s="243">
        <f>H314*0</f>
        <v>0</v>
      </c>
      <c r="AP314" s="243">
        <f>H314*(1-0)</f>
        <v>0</v>
      </c>
      <c r="AQ314" s="245" t="s">
        <v>553</v>
      </c>
      <c r="AV314" s="243">
        <f t="shared" si="332"/>
        <v>0</v>
      </c>
      <c r="AW314" s="243">
        <f t="shared" si="333"/>
        <v>0</v>
      </c>
      <c r="AX314" s="243">
        <f t="shared" si="334"/>
        <v>0</v>
      </c>
      <c r="AY314" s="245" t="s">
        <v>574</v>
      </c>
      <c r="AZ314" s="245" t="s">
        <v>854</v>
      </c>
      <c r="BA314" s="232" t="s">
        <v>855</v>
      </c>
      <c r="BC314" s="243">
        <f t="shared" si="335"/>
        <v>0</v>
      </c>
      <c r="BD314" s="243">
        <f t="shared" si="336"/>
        <v>0</v>
      </c>
      <c r="BE314" s="243">
        <v>0</v>
      </c>
      <c r="BF314" s="243">
        <f>314</f>
        <v>314</v>
      </c>
      <c r="BH314" s="243">
        <f t="shared" si="337"/>
        <v>0</v>
      </c>
      <c r="BI314" s="243">
        <f t="shared" si="338"/>
        <v>0</v>
      </c>
      <c r="BJ314" s="243">
        <f t="shared" si="339"/>
        <v>0</v>
      </c>
      <c r="BK314" s="243"/>
      <c r="BL314" s="243">
        <v>0</v>
      </c>
      <c r="BW314" s="243">
        <v>21</v>
      </c>
    </row>
    <row r="315" spans="1:75" ht="13.5" customHeight="1">
      <c r="A315" s="207" t="s">
        <v>857</v>
      </c>
      <c r="B315" s="208" t="s">
        <v>852</v>
      </c>
      <c r="C315" s="208" t="s">
        <v>119</v>
      </c>
      <c r="D315" s="268" t="s">
        <v>120</v>
      </c>
      <c r="E315" s="260"/>
      <c r="F315" s="208" t="s">
        <v>58</v>
      </c>
      <c r="G315" s="243">
        <v>1</v>
      </c>
      <c r="H315" s="244">
        <v>0</v>
      </c>
      <c r="I315" s="244">
        <f t="shared" si="320"/>
        <v>0</v>
      </c>
      <c r="K315" s="231"/>
      <c r="Z315" s="243">
        <f t="shared" si="321"/>
        <v>0</v>
      </c>
      <c r="AB315" s="243">
        <f t="shared" si="322"/>
        <v>0</v>
      </c>
      <c r="AC315" s="243">
        <f t="shared" si="323"/>
        <v>0</v>
      </c>
      <c r="AD315" s="243">
        <f t="shared" si="324"/>
        <v>0</v>
      </c>
      <c r="AE315" s="243">
        <f t="shared" si="325"/>
        <v>0</v>
      </c>
      <c r="AF315" s="243">
        <f t="shared" si="326"/>
        <v>0</v>
      </c>
      <c r="AG315" s="243">
        <f t="shared" si="327"/>
        <v>0</v>
      </c>
      <c r="AH315" s="243">
        <f t="shared" si="328"/>
        <v>0</v>
      </c>
      <c r="AI315" s="232" t="s">
        <v>852</v>
      </c>
      <c r="AJ315" s="243">
        <f t="shared" si="329"/>
        <v>0</v>
      </c>
      <c r="AK315" s="243">
        <f t="shared" si="330"/>
        <v>0</v>
      </c>
      <c r="AL315" s="243">
        <f t="shared" si="331"/>
        <v>0</v>
      </c>
      <c r="AN315" s="243">
        <v>21</v>
      </c>
      <c r="AO315" s="243">
        <f>H315*0</f>
        <v>0</v>
      </c>
      <c r="AP315" s="243">
        <f>H315*(1-0)</f>
        <v>0</v>
      </c>
      <c r="AQ315" s="245" t="s">
        <v>553</v>
      </c>
      <c r="AV315" s="243">
        <f t="shared" si="332"/>
        <v>0</v>
      </c>
      <c r="AW315" s="243">
        <f t="shared" si="333"/>
        <v>0</v>
      </c>
      <c r="AX315" s="243">
        <f t="shared" si="334"/>
        <v>0</v>
      </c>
      <c r="AY315" s="245" t="s">
        <v>574</v>
      </c>
      <c r="AZ315" s="245" t="s">
        <v>854</v>
      </c>
      <c r="BA315" s="232" t="s">
        <v>855</v>
      </c>
      <c r="BC315" s="243">
        <f t="shared" si="335"/>
        <v>0</v>
      </c>
      <c r="BD315" s="243">
        <f t="shared" si="336"/>
        <v>0</v>
      </c>
      <c r="BE315" s="243">
        <v>0</v>
      </c>
      <c r="BF315" s="243">
        <f>315</f>
        <v>315</v>
      </c>
      <c r="BH315" s="243">
        <f t="shared" si="337"/>
        <v>0</v>
      </c>
      <c r="BI315" s="243">
        <f t="shared" si="338"/>
        <v>0</v>
      </c>
      <c r="BJ315" s="243">
        <f t="shared" si="339"/>
        <v>0</v>
      </c>
      <c r="BK315" s="243"/>
      <c r="BL315" s="243">
        <v>0</v>
      </c>
      <c r="BW315" s="243">
        <v>21</v>
      </c>
    </row>
    <row r="316" spans="1:75" ht="13.5" customHeight="1">
      <c r="A316" s="207" t="s">
        <v>858</v>
      </c>
      <c r="B316" s="208" t="s">
        <v>852</v>
      </c>
      <c r="C316" s="208" t="s">
        <v>71</v>
      </c>
      <c r="D316" s="268" t="s">
        <v>72</v>
      </c>
      <c r="E316" s="260"/>
      <c r="F316" s="208" t="s">
        <v>58</v>
      </c>
      <c r="G316" s="243">
        <v>1</v>
      </c>
      <c r="H316" s="244">
        <v>0</v>
      </c>
      <c r="I316" s="244">
        <f t="shared" si="320"/>
        <v>0</v>
      </c>
      <c r="K316" s="231"/>
      <c r="Z316" s="243">
        <f t="shared" si="321"/>
        <v>0</v>
      </c>
      <c r="AB316" s="243">
        <f t="shared" si="322"/>
        <v>0</v>
      </c>
      <c r="AC316" s="243">
        <f t="shared" si="323"/>
        <v>0</v>
      </c>
      <c r="AD316" s="243">
        <f t="shared" si="324"/>
        <v>0</v>
      </c>
      <c r="AE316" s="243">
        <f t="shared" si="325"/>
        <v>0</v>
      </c>
      <c r="AF316" s="243">
        <f t="shared" si="326"/>
        <v>0</v>
      </c>
      <c r="AG316" s="243">
        <f t="shared" si="327"/>
        <v>0</v>
      </c>
      <c r="AH316" s="243">
        <f t="shared" si="328"/>
        <v>0</v>
      </c>
      <c r="AI316" s="232" t="s">
        <v>852</v>
      </c>
      <c r="AJ316" s="243">
        <f t="shared" si="329"/>
        <v>0</v>
      </c>
      <c r="AK316" s="243">
        <f t="shared" si="330"/>
        <v>0</v>
      </c>
      <c r="AL316" s="243">
        <f t="shared" si="331"/>
        <v>0</v>
      </c>
      <c r="AN316" s="243">
        <v>21</v>
      </c>
      <c r="AO316" s="243">
        <f>H316*0.632508123680949</f>
        <v>0</v>
      </c>
      <c r="AP316" s="243">
        <f>H316*(1-0.632508123680949)</f>
        <v>0</v>
      </c>
      <c r="AQ316" s="245" t="s">
        <v>553</v>
      </c>
      <c r="AV316" s="243">
        <f t="shared" si="332"/>
        <v>0</v>
      </c>
      <c r="AW316" s="243">
        <f t="shared" si="333"/>
        <v>0</v>
      </c>
      <c r="AX316" s="243">
        <f t="shared" si="334"/>
        <v>0</v>
      </c>
      <c r="AY316" s="245" t="s">
        <v>574</v>
      </c>
      <c r="AZ316" s="245" t="s">
        <v>854</v>
      </c>
      <c r="BA316" s="232" t="s">
        <v>855</v>
      </c>
      <c r="BC316" s="243">
        <f t="shared" si="335"/>
        <v>0</v>
      </c>
      <c r="BD316" s="243">
        <f t="shared" si="336"/>
        <v>0</v>
      </c>
      <c r="BE316" s="243">
        <v>0</v>
      </c>
      <c r="BF316" s="243">
        <f>316</f>
        <v>316</v>
      </c>
      <c r="BH316" s="243">
        <f t="shared" si="337"/>
        <v>0</v>
      </c>
      <c r="BI316" s="243">
        <f t="shared" si="338"/>
        <v>0</v>
      </c>
      <c r="BJ316" s="243">
        <f t="shared" si="339"/>
        <v>0</v>
      </c>
      <c r="BK316" s="243"/>
      <c r="BL316" s="243">
        <v>0</v>
      </c>
      <c r="BW316" s="243">
        <v>21</v>
      </c>
    </row>
    <row r="317" spans="1:75" ht="13.5" customHeight="1">
      <c r="A317" s="207" t="s">
        <v>859</v>
      </c>
      <c r="B317" s="208" t="s">
        <v>852</v>
      </c>
      <c r="C317" s="208" t="s">
        <v>66</v>
      </c>
      <c r="D317" s="268" t="s">
        <v>67</v>
      </c>
      <c r="E317" s="260"/>
      <c r="F317" s="208" t="s">
        <v>68</v>
      </c>
      <c r="G317" s="243">
        <v>1</v>
      </c>
      <c r="H317" s="244">
        <v>0</v>
      </c>
      <c r="I317" s="244">
        <f t="shared" si="320"/>
        <v>0</v>
      </c>
      <c r="K317" s="231"/>
      <c r="Z317" s="243">
        <f t="shared" si="321"/>
        <v>0</v>
      </c>
      <c r="AB317" s="243">
        <f t="shared" si="322"/>
        <v>0</v>
      </c>
      <c r="AC317" s="243">
        <f t="shared" si="323"/>
        <v>0</v>
      </c>
      <c r="AD317" s="243">
        <f t="shared" si="324"/>
        <v>0</v>
      </c>
      <c r="AE317" s="243">
        <f t="shared" si="325"/>
        <v>0</v>
      </c>
      <c r="AF317" s="243">
        <f t="shared" si="326"/>
        <v>0</v>
      </c>
      <c r="AG317" s="243">
        <f t="shared" si="327"/>
        <v>0</v>
      </c>
      <c r="AH317" s="243">
        <f t="shared" si="328"/>
        <v>0</v>
      </c>
      <c r="AI317" s="232" t="s">
        <v>852</v>
      </c>
      <c r="AJ317" s="243">
        <f t="shared" si="329"/>
        <v>0</v>
      </c>
      <c r="AK317" s="243">
        <f t="shared" si="330"/>
        <v>0</v>
      </c>
      <c r="AL317" s="243">
        <f t="shared" si="331"/>
        <v>0</v>
      </c>
      <c r="AN317" s="243">
        <v>21</v>
      </c>
      <c r="AO317" s="243">
        <f>H317*0</f>
        <v>0</v>
      </c>
      <c r="AP317" s="243">
        <f>H317*(1-0)</f>
        <v>0</v>
      </c>
      <c r="AQ317" s="245" t="s">
        <v>553</v>
      </c>
      <c r="AV317" s="243">
        <f t="shared" si="332"/>
        <v>0</v>
      </c>
      <c r="AW317" s="243">
        <f t="shared" si="333"/>
        <v>0</v>
      </c>
      <c r="AX317" s="243">
        <f t="shared" si="334"/>
        <v>0</v>
      </c>
      <c r="AY317" s="245" t="s">
        <v>574</v>
      </c>
      <c r="AZ317" s="245" t="s">
        <v>854</v>
      </c>
      <c r="BA317" s="232" t="s">
        <v>855</v>
      </c>
      <c r="BC317" s="243">
        <f t="shared" si="335"/>
        <v>0</v>
      </c>
      <c r="BD317" s="243">
        <f t="shared" si="336"/>
        <v>0</v>
      </c>
      <c r="BE317" s="243">
        <v>0</v>
      </c>
      <c r="BF317" s="243">
        <f>317</f>
        <v>317</v>
      </c>
      <c r="BH317" s="243">
        <f t="shared" si="337"/>
        <v>0</v>
      </c>
      <c r="BI317" s="243">
        <f t="shared" si="338"/>
        <v>0</v>
      </c>
      <c r="BJ317" s="243">
        <f t="shared" si="339"/>
        <v>0</v>
      </c>
      <c r="BK317" s="243"/>
      <c r="BL317" s="243">
        <v>0</v>
      </c>
      <c r="BW317" s="243">
        <v>21</v>
      </c>
    </row>
    <row r="318" spans="1:75" ht="13.5" customHeight="1">
      <c r="A318" s="207" t="s">
        <v>860</v>
      </c>
      <c r="B318" s="208" t="s">
        <v>852</v>
      </c>
      <c r="C318" s="208" t="s">
        <v>124</v>
      </c>
      <c r="D318" s="268" t="s">
        <v>125</v>
      </c>
      <c r="E318" s="260"/>
      <c r="F318" s="208" t="s">
        <v>123</v>
      </c>
      <c r="G318" s="243">
        <v>1.04924</v>
      </c>
      <c r="H318" s="244">
        <v>0</v>
      </c>
      <c r="I318" s="244">
        <f t="shared" si="320"/>
        <v>0</v>
      </c>
      <c r="K318" s="231"/>
      <c r="Z318" s="243">
        <f t="shared" si="321"/>
        <v>0</v>
      </c>
      <c r="AB318" s="243">
        <f t="shared" si="322"/>
        <v>0</v>
      </c>
      <c r="AC318" s="243">
        <f t="shared" si="323"/>
        <v>0</v>
      </c>
      <c r="AD318" s="243">
        <f t="shared" si="324"/>
        <v>0</v>
      </c>
      <c r="AE318" s="243">
        <f t="shared" si="325"/>
        <v>0</v>
      </c>
      <c r="AF318" s="243">
        <f t="shared" si="326"/>
        <v>0</v>
      </c>
      <c r="AG318" s="243">
        <f t="shared" si="327"/>
        <v>0</v>
      </c>
      <c r="AH318" s="243">
        <f t="shared" si="328"/>
        <v>0</v>
      </c>
      <c r="AI318" s="232" t="s">
        <v>852</v>
      </c>
      <c r="AJ318" s="243">
        <f t="shared" si="329"/>
        <v>0</v>
      </c>
      <c r="AK318" s="243">
        <f t="shared" si="330"/>
        <v>0</v>
      </c>
      <c r="AL318" s="243">
        <f t="shared" si="331"/>
        <v>0</v>
      </c>
      <c r="AN318" s="243">
        <v>21</v>
      </c>
      <c r="AO318" s="243">
        <f>H318*0</f>
        <v>0</v>
      </c>
      <c r="AP318" s="243">
        <f>H318*(1-0)</f>
        <v>0</v>
      </c>
      <c r="AQ318" s="245" t="s">
        <v>564</v>
      </c>
      <c r="AV318" s="243">
        <f t="shared" si="332"/>
        <v>0</v>
      </c>
      <c r="AW318" s="243">
        <f t="shared" si="333"/>
        <v>0</v>
      </c>
      <c r="AX318" s="243">
        <f t="shared" si="334"/>
        <v>0</v>
      </c>
      <c r="AY318" s="245" t="s">
        <v>574</v>
      </c>
      <c r="AZ318" s="245" t="s">
        <v>854</v>
      </c>
      <c r="BA318" s="232" t="s">
        <v>855</v>
      </c>
      <c r="BC318" s="243">
        <f t="shared" si="335"/>
        <v>0</v>
      </c>
      <c r="BD318" s="243">
        <f t="shared" si="336"/>
        <v>0</v>
      </c>
      <c r="BE318" s="243">
        <v>0</v>
      </c>
      <c r="BF318" s="243">
        <f>318</f>
        <v>318</v>
      </c>
      <c r="BH318" s="243">
        <f t="shared" si="337"/>
        <v>0</v>
      </c>
      <c r="BI318" s="243">
        <f t="shared" si="338"/>
        <v>0</v>
      </c>
      <c r="BJ318" s="243">
        <f t="shared" si="339"/>
        <v>0</v>
      </c>
      <c r="BK318" s="243"/>
      <c r="BL318" s="243">
        <v>0</v>
      </c>
      <c r="BW318" s="243">
        <v>21</v>
      </c>
    </row>
    <row r="319" spans="1:75" ht="13.5" customHeight="1">
      <c r="A319" s="207" t="s">
        <v>861</v>
      </c>
      <c r="B319" s="208" t="s">
        <v>852</v>
      </c>
      <c r="C319" s="208" t="s">
        <v>121</v>
      </c>
      <c r="D319" s="268" t="s">
        <v>122</v>
      </c>
      <c r="E319" s="260"/>
      <c r="F319" s="208" t="s">
        <v>123</v>
      </c>
      <c r="G319" s="243">
        <v>1.04925</v>
      </c>
      <c r="H319" s="244">
        <v>0</v>
      </c>
      <c r="I319" s="244">
        <f t="shared" si="320"/>
        <v>0</v>
      </c>
      <c r="K319" s="231"/>
      <c r="Z319" s="243">
        <f t="shared" si="321"/>
        <v>0</v>
      </c>
      <c r="AB319" s="243">
        <f t="shared" si="322"/>
        <v>0</v>
      </c>
      <c r="AC319" s="243">
        <f t="shared" si="323"/>
        <v>0</v>
      </c>
      <c r="AD319" s="243">
        <f t="shared" si="324"/>
        <v>0</v>
      </c>
      <c r="AE319" s="243">
        <f t="shared" si="325"/>
        <v>0</v>
      </c>
      <c r="AF319" s="243">
        <f t="shared" si="326"/>
        <v>0</v>
      </c>
      <c r="AG319" s="243">
        <f t="shared" si="327"/>
        <v>0</v>
      </c>
      <c r="AH319" s="243">
        <f t="shared" si="328"/>
        <v>0</v>
      </c>
      <c r="AI319" s="232" t="s">
        <v>852</v>
      </c>
      <c r="AJ319" s="243">
        <f t="shared" si="329"/>
        <v>0</v>
      </c>
      <c r="AK319" s="243">
        <f t="shared" si="330"/>
        <v>0</v>
      </c>
      <c r="AL319" s="243">
        <f t="shared" si="331"/>
        <v>0</v>
      </c>
      <c r="AN319" s="243">
        <v>21</v>
      </c>
      <c r="AO319" s="243">
        <f>H319*0</f>
        <v>0</v>
      </c>
      <c r="AP319" s="243">
        <f>H319*(1-0)</f>
        <v>0</v>
      </c>
      <c r="AQ319" s="245" t="s">
        <v>564</v>
      </c>
      <c r="AV319" s="243">
        <f t="shared" si="332"/>
        <v>0</v>
      </c>
      <c r="AW319" s="243">
        <f t="shared" si="333"/>
        <v>0</v>
      </c>
      <c r="AX319" s="243">
        <f t="shared" si="334"/>
        <v>0</v>
      </c>
      <c r="AY319" s="245" t="s">
        <v>574</v>
      </c>
      <c r="AZ319" s="245" t="s">
        <v>854</v>
      </c>
      <c r="BA319" s="232" t="s">
        <v>855</v>
      </c>
      <c r="BC319" s="243">
        <f t="shared" si="335"/>
        <v>0</v>
      </c>
      <c r="BD319" s="243">
        <f t="shared" si="336"/>
        <v>0</v>
      </c>
      <c r="BE319" s="243">
        <v>0</v>
      </c>
      <c r="BF319" s="243">
        <f>319</f>
        <v>319</v>
      </c>
      <c r="BH319" s="243">
        <f t="shared" si="337"/>
        <v>0</v>
      </c>
      <c r="BI319" s="243">
        <f t="shared" si="338"/>
        <v>0</v>
      </c>
      <c r="BJ319" s="243">
        <f t="shared" si="339"/>
        <v>0</v>
      </c>
      <c r="BK319" s="243"/>
      <c r="BL319" s="243">
        <v>0</v>
      </c>
      <c r="BW319" s="243">
        <v>21</v>
      </c>
    </row>
    <row r="320" spans="1:75" ht="15" customHeight="1">
      <c r="A320" s="238" t="s">
        <v>21</v>
      </c>
      <c r="B320" s="239" t="s">
        <v>852</v>
      </c>
      <c r="C320" s="239" t="s">
        <v>59</v>
      </c>
      <c r="D320" s="309" t="s">
        <v>60</v>
      </c>
      <c r="E320" s="310"/>
      <c r="F320" s="240" t="s">
        <v>20</v>
      </c>
      <c r="G320" s="240" t="s">
        <v>20</v>
      </c>
      <c r="H320" s="241" t="s">
        <v>20</v>
      </c>
      <c r="I320" s="242">
        <f>SUM(I321:I321)</f>
        <v>0</v>
      </c>
      <c r="K320" s="231"/>
      <c r="AI320" s="232" t="s">
        <v>852</v>
      </c>
      <c r="AS320" s="225">
        <f>SUM(AJ321:AJ321)</f>
        <v>0</v>
      </c>
      <c r="AT320" s="225">
        <f>SUM(AK321:AK321)</f>
        <v>0</v>
      </c>
      <c r="AU320" s="225">
        <f>SUM(AL321:AL321)</f>
        <v>0</v>
      </c>
    </row>
    <row r="321" spans="1:75" ht="13.5" customHeight="1">
      <c r="A321" s="207" t="s">
        <v>862</v>
      </c>
      <c r="B321" s="208" t="s">
        <v>852</v>
      </c>
      <c r="C321" s="208" t="s">
        <v>61</v>
      </c>
      <c r="D321" s="268" t="s">
        <v>62</v>
      </c>
      <c r="E321" s="260"/>
      <c r="F321" s="208" t="s">
        <v>63</v>
      </c>
      <c r="G321" s="243">
        <v>20</v>
      </c>
      <c r="H321" s="244">
        <v>0</v>
      </c>
      <c r="I321" s="244">
        <f>G321*H321</f>
        <v>0</v>
      </c>
      <c r="K321" s="231"/>
      <c r="Z321" s="243">
        <f>IF(AQ321="5",BJ321,0)</f>
        <v>0</v>
      </c>
      <c r="AB321" s="243">
        <f>IF(AQ321="1",BH321,0)</f>
        <v>0</v>
      </c>
      <c r="AC321" s="243">
        <f>IF(AQ321="1",BI321,0)</f>
        <v>0</v>
      </c>
      <c r="AD321" s="243">
        <f>IF(AQ321="7",BH321,0)</f>
        <v>0</v>
      </c>
      <c r="AE321" s="243">
        <f>IF(AQ321="7",BI321,0)</f>
        <v>0</v>
      </c>
      <c r="AF321" s="243">
        <f>IF(AQ321="2",BH321,0)</f>
        <v>0</v>
      </c>
      <c r="AG321" s="243">
        <f>IF(AQ321="2",BI321,0)</f>
        <v>0</v>
      </c>
      <c r="AH321" s="243">
        <f>IF(AQ321="0",BJ321,0)</f>
        <v>0</v>
      </c>
      <c r="AI321" s="232" t="s">
        <v>852</v>
      </c>
      <c r="AJ321" s="243">
        <f>IF(AN321=0,I321,0)</f>
        <v>0</v>
      </c>
      <c r="AK321" s="243">
        <f>IF(AN321=12,I321,0)</f>
        <v>0</v>
      </c>
      <c r="AL321" s="243">
        <f>IF(AN321=21,I321,0)</f>
        <v>0</v>
      </c>
      <c r="AN321" s="243">
        <v>21</v>
      </c>
      <c r="AO321" s="243">
        <f>H321*0</f>
        <v>0</v>
      </c>
      <c r="AP321" s="243">
        <f>H321*(1-0)</f>
        <v>0</v>
      </c>
      <c r="AQ321" s="245" t="s">
        <v>567</v>
      </c>
      <c r="AV321" s="243">
        <f>AW321+AX321</f>
        <v>0</v>
      </c>
      <c r="AW321" s="243">
        <f>G321*AO321</f>
        <v>0</v>
      </c>
      <c r="AX321" s="243">
        <f>G321*AP321</f>
        <v>0</v>
      </c>
      <c r="AY321" s="245" t="s">
        <v>578</v>
      </c>
      <c r="AZ321" s="245" t="s">
        <v>865</v>
      </c>
      <c r="BA321" s="232" t="s">
        <v>855</v>
      </c>
      <c r="BC321" s="243">
        <f>AW321+AX321</f>
        <v>0</v>
      </c>
      <c r="BD321" s="243">
        <f>H321/(100-BE321)*100</f>
        <v>0</v>
      </c>
      <c r="BE321" s="243">
        <v>0</v>
      </c>
      <c r="BF321" s="243">
        <f>321</f>
        <v>321</v>
      </c>
      <c r="BH321" s="243">
        <f>G321*AO321</f>
        <v>0</v>
      </c>
      <c r="BI321" s="243">
        <f>G321*AP321</f>
        <v>0</v>
      </c>
      <c r="BJ321" s="243">
        <f>G321*H321</f>
        <v>0</v>
      </c>
      <c r="BK321" s="243"/>
      <c r="BL321" s="243">
        <v>713</v>
      </c>
      <c r="BW321" s="243">
        <v>21</v>
      </c>
    </row>
    <row r="322" spans="1:75" ht="15" customHeight="1">
      <c r="A322" s="238" t="s">
        <v>21</v>
      </c>
      <c r="B322" s="239" t="s">
        <v>852</v>
      </c>
      <c r="C322" s="239" t="s">
        <v>126</v>
      </c>
      <c r="D322" s="309" t="s">
        <v>127</v>
      </c>
      <c r="E322" s="310"/>
      <c r="F322" s="240" t="s">
        <v>20</v>
      </c>
      <c r="G322" s="240" t="s">
        <v>20</v>
      </c>
      <c r="H322" s="241" t="s">
        <v>20</v>
      </c>
      <c r="I322" s="242">
        <f>SUM(I323:I334)</f>
        <v>0</v>
      </c>
      <c r="K322" s="231"/>
      <c r="AI322" s="232" t="s">
        <v>852</v>
      </c>
      <c r="AS322" s="225">
        <f>SUM(AJ323:AJ334)</f>
        <v>0</v>
      </c>
      <c r="AT322" s="225">
        <f>SUM(AK323:AK334)</f>
        <v>0</v>
      </c>
      <c r="AU322" s="225">
        <f>SUM(AL323:AL334)</f>
        <v>0</v>
      </c>
    </row>
    <row r="323" spans="1:75" ht="13.5" customHeight="1">
      <c r="A323" s="207" t="s">
        <v>863</v>
      </c>
      <c r="B323" s="208" t="s">
        <v>852</v>
      </c>
      <c r="C323" s="208" t="s">
        <v>357</v>
      </c>
      <c r="D323" s="268" t="s">
        <v>358</v>
      </c>
      <c r="E323" s="260"/>
      <c r="F323" s="208" t="s">
        <v>68</v>
      </c>
      <c r="G323" s="243">
        <v>8</v>
      </c>
      <c r="H323" s="244">
        <v>0</v>
      </c>
      <c r="I323" s="244">
        <f t="shared" ref="I323:I334" si="340">G323*H323</f>
        <v>0</v>
      </c>
      <c r="K323" s="231"/>
      <c r="Z323" s="243">
        <f t="shared" ref="Z323:Z334" si="341">IF(AQ323="5",BJ323,0)</f>
        <v>0</v>
      </c>
      <c r="AB323" s="243">
        <f t="shared" ref="AB323:AB334" si="342">IF(AQ323="1",BH323,0)</f>
        <v>0</v>
      </c>
      <c r="AC323" s="243">
        <f t="shared" ref="AC323:AC334" si="343">IF(AQ323="1",BI323,0)</f>
        <v>0</v>
      </c>
      <c r="AD323" s="243">
        <f t="shared" ref="AD323:AD334" si="344">IF(AQ323="7",BH323,0)</f>
        <v>0</v>
      </c>
      <c r="AE323" s="243">
        <f t="shared" ref="AE323:AE334" si="345">IF(AQ323="7",BI323,0)</f>
        <v>0</v>
      </c>
      <c r="AF323" s="243">
        <f t="shared" ref="AF323:AF334" si="346">IF(AQ323="2",BH323,0)</f>
        <v>0</v>
      </c>
      <c r="AG323" s="243">
        <f t="shared" ref="AG323:AG334" si="347">IF(AQ323="2",BI323,0)</f>
        <v>0</v>
      </c>
      <c r="AH323" s="243">
        <f t="shared" ref="AH323:AH334" si="348">IF(AQ323="0",BJ323,0)</f>
        <v>0</v>
      </c>
      <c r="AI323" s="232" t="s">
        <v>852</v>
      </c>
      <c r="AJ323" s="243">
        <f t="shared" ref="AJ323:AJ334" si="349">IF(AN323=0,I323,0)</f>
        <v>0</v>
      </c>
      <c r="AK323" s="243">
        <f t="shared" ref="AK323:AK334" si="350">IF(AN323=12,I323,0)</f>
        <v>0</v>
      </c>
      <c r="AL323" s="243">
        <f t="shared" ref="AL323:AL334" si="351">IF(AN323=21,I323,0)</f>
        <v>0</v>
      </c>
      <c r="AN323" s="243">
        <v>21</v>
      </c>
      <c r="AO323" s="243">
        <f>H323*0</f>
        <v>0</v>
      </c>
      <c r="AP323" s="243">
        <f>H323*(1-0)</f>
        <v>0</v>
      </c>
      <c r="AQ323" s="245" t="s">
        <v>567</v>
      </c>
      <c r="AV323" s="243">
        <f t="shared" ref="AV323:AV334" si="352">AW323+AX323</f>
        <v>0</v>
      </c>
      <c r="AW323" s="243">
        <f t="shared" ref="AW323:AW334" si="353">G323*AO323</f>
        <v>0</v>
      </c>
      <c r="AX323" s="243">
        <f t="shared" ref="AX323:AX334" si="354">G323*AP323</f>
        <v>0</v>
      </c>
      <c r="AY323" s="245" t="s">
        <v>610</v>
      </c>
      <c r="AZ323" s="245" t="s">
        <v>867</v>
      </c>
      <c r="BA323" s="232" t="s">
        <v>855</v>
      </c>
      <c r="BC323" s="243">
        <f t="shared" ref="BC323:BC334" si="355">AW323+AX323</f>
        <v>0</v>
      </c>
      <c r="BD323" s="243">
        <f t="shared" ref="BD323:BD334" si="356">H323/(100-BE323)*100</f>
        <v>0</v>
      </c>
      <c r="BE323" s="243">
        <v>0</v>
      </c>
      <c r="BF323" s="243">
        <f>323</f>
        <v>323</v>
      </c>
      <c r="BH323" s="243">
        <f t="shared" ref="BH323:BH334" si="357">G323*AO323</f>
        <v>0</v>
      </c>
      <c r="BI323" s="243">
        <f t="shared" ref="BI323:BI334" si="358">G323*AP323</f>
        <v>0</v>
      </c>
      <c r="BJ323" s="243">
        <f t="shared" ref="BJ323:BJ334" si="359">G323*H323</f>
        <v>0</v>
      </c>
      <c r="BK323" s="243"/>
      <c r="BL323" s="243">
        <v>722</v>
      </c>
      <c r="BW323" s="243">
        <v>21</v>
      </c>
    </row>
    <row r="324" spans="1:75" ht="13.5" customHeight="1">
      <c r="A324" s="207" t="s">
        <v>864</v>
      </c>
      <c r="B324" s="208" t="s">
        <v>852</v>
      </c>
      <c r="C324" s="208" t="s">
        <v>359</v>
      </c>
      <c r="D324" s="268" t="s">
        <v>360</v>
      </c>
      <c r="E324" s="260"/>
      <c r="F324" s="208" t="s">
        <v>63</v>
      </c>
      <c r="G324" s="243">
        <v>8</v>
      </c>
      <c r="H324" s="244">
        <v>0</v>
      </c>
      <c r="I324" s="244">
        <f t="shared" si="340"/>
        <v>0</v>
      </c>
      <c r="K324" s="231"/>
      <c r="Z324" s="243">
        <f t="shared" si="341"/>
        <v>0</v>
      </c>
      <c r="AB324" s="243">
        <f t="shared" si="342"/>
        <v>0</v>
      </c>
      <c r="AC324" s="243">
        <f t="shared" si="343"/>
        <v>0</v>
      </c>
      <c r="AD324" s="243">
        <f t="shared" si="344"/>
        <v>0</v>
      </c>
      <c r="AE324" s="243">
        <f t="shared" si="345"/>
        <v>0</v>
      </c>
      <c r="AF324" s="243">
        <f t="shared" si="346"/>
        <v>0</v>
      </c>
      <c r="AG324" s="243">
        <f t="shared" si="347"/>
        <v>0</v>
      </c>
      <c r="AH324" s="243">
        <f t="shared" si="348"/>
        <v>0</v>
      </c>
      <c r="AI324" s="232" t="s">
        <v>852</v>
      </c>
      <c r="AJ324" s="243">
        <f t="shared" si="349"/>
        <v>0</v>
      </c>
      <c r="AK324" s="243">
        <f t="shared" si="350"/>
        <v>0</v>
      </c>
      <c r="AL324" s="243">
        <f t="shared" si="351"/>
        <v>0</v>
      </c>
      <c r="AN324" s="243">
        <v>21</v>
      </c>
      <c r="AO324" s="243">
        <f>H324*0</f>
        <v>0</v>
      </c>
      <c r="AP324" s="243">
        <f>H324*(1-0)</f>
        <v>0</v>
      </c>
      <c r="AQ324" s="245" t="s">
        <v>567</v>
      </c>
      <c r="AV324" s="243">
        <f t="shared" si="352"/>
        <v>0</v>
      </c>
      <c r="AW324" s="243">
        <f t="shared" si="353"/>
        <v>0</v>
      </c>
      <c r="AX324" s="243">
        <f t="shared" si="354"/>
        <v>0</v>
      </c>
      <c r="AY324" s="245" t="s">
        <v>610</v>
      </c>
      <c r="AZ324" s="245" t="s">
        <v>867</v>
      </c>
      <c r="BA324" s="232" t="s">
        <v>855</v>
      </c>
      <c r="BC324" s="243">
        <f t="shared" si="355"/>
        <v>0</v>
      </c>
      <c r="BD324" s="243">
        <f t="shared" si="356"/>
        <v>0</v>
      </c>
      <c r="BE324" s="243">
        <v>0</v>
      </c>
      <c r="BF324" s="243">
        <f>324</f>
        <v>324</v>
      </c>
      <c r="BH324" s="243">
        <f t="shared" si="357"/>
        <v>0</v>
      </c>
      <c r="BI324" s="243">
        <f t="shared" si="358"/>
        <v>0</v>
      </c>
      <c r="BJ324" s="243">
        <f t="shared" si="359"/>
        <v>0</v>
      </c>
      <c r="BK324" s="243"/>
      <c r="BL324" s="243">
        <v>722</v>
      </c>
      <c r="BW324" s="243">
        <v>21</v>
      </c>
    </row>
    <row r="325" spans="1:75" ht="13.5" customHeight="1">
      <c r="A325" s="207" t="s">
        <v>866</v>
      </c>
      <c r="B325" s="208" t="s">
        <v>852</v>
      </c>
      <c r="C325" s="208" t="s">
        <v>361</v>
      </c>
      <c r="D325" s="268" t="s">
        <v>362</v>
      </c>
      <c r="E325" s="260"/>
      <c r="F325" s="208" t="s">
        <v>68</v>
      </c>
      <c r="G325" s="243">
        <v>2</v>
      </c>
      <c r="H325" s="244">
        <v>0</v>
      </c>
      <c r="I325" s="244">
        <f t="shared" si="340"/>
        <v>0</v>
      </c>
      <c r="K325" s="231"/>
      <c r="Z325" s="243">
        <f t="shared" si="341"/>
        <v>0</v>
      </c>
      <c r="AB325" s="243">
        <f t="shared" si="342"/>
        <v>0</v>
      </c>
      <c r="AC325" s="243">
        <f t="shared" si="343"/>
        <v>0</v>
      </c>
      <c r="AD325" s="243">
        <f t="shared" si="344"/>
        <v>0</v>
      </c>
      <c r="AE325" s="243">
        <f t="shared" si="345"/>
        <v>0</v>
      </c>
      <c r="AF325" s="243">
        <f t="shared" si="346"/>
        <v>0</v>
      </c>
      <c r="AG325" s="243">
        <f t="shared" si="347"/>
        <v>0</v>
      </c>
      <c r="AH325" s="243">
        <f t="shared" si="348"/>
        <v>0</v>
      </c>
      <c r="AI325" s="232" t="s">
        <v>852</v>
      </c>
      <c r="AJ325" s="243">
        <f t="shared" si="349"/>
        <v>0</v>
      </c>
      <c r="AK325" s="243">
        <f t="shared" si="350"/>
        <v>0</v>
      </c>
      <c r="AL325" s="243">
        <f t="shared" si="351"/>
        <v>0</v>
      </c>
      <c r="AN325" s="243">
        <v>21</v>
      </c>
      <c r="AO325" s="243">
        <f>H325*0.635584415584416</f>
        <v>0</v>
      </c>
      <c r="AP325" s="243">
        <f>H325*(1-0.635584415584416)</f>
        <v>0</v>
      </c>
      <c r="AQ325" s="245" t="s">
        <v>567</v>
      </c>
      <c r="AV325" s="243">
        <f t="shared" si="352"/>
        <v>0</v>
      </c>
      <c r="AW325" s="243">
        <f t="shared" si="353"/>
        <v>0</v>
      </c>
      <c r="AX325" s="243">
        <f t="shared" si="354"/>
        <v>0</v>
      </c>
      <c r="AY325" s="245" t="s">
        <v>610</v>
      </c>
      <c r="AZ325" s="245" t="s">
        <v>867</v>
      </c>
      <c r="BA325" s="232" t="s">
        <v>855</v>
      </c>
      <c r="BC325" s="243">
        <f t="shared" si="355"/>
        <v>0</v>
      </c>
      <c r="BD325" s="243">
        <f t="shared" si="356"/>
        <v>0</v>
      </c>
      <c r="BE325" s="243">
        <v>0</v>
      </c>
      <c r="BF325" s="243">
        <f>325</f>
        <v>325</v>
      </c>
      <c r="BH325" s="243">
        <f t="shared" si="357"/>
        <v>0</v>
      </c>
      <c r="BI325" s="243">
        <f t="shared" si="358"/>
        <v>0</v>
      </c>
      <c r="BJ325" s="243">
        <f t="shared" si="359"/>
        <v>0</v>
      </c>
      <c r="BK325" s="243"/>
      <c r="BL325" s="243">
        <v>722</v>
      </c>
      <c r="BW325" s="243">
        <v>21</v>
      </c>
    </row>
    <row r="326" spans="1:75" ht="13.5" customHeight="1">
      <c r="A326" s="207" t="s">
        <v>868</v>
      </c>
      <c r="B326" s="208" t="s">
        <v>852</v>
      </c>
      <c r="C326" s="208" t="s">
        <v>136</v>
      </c>
      <c r="D326" s="268" t="s">
        <v>1314</v>
      </c>
      <c r="E326" s="260"/>
      <c r="F326" s="208" t="s">
        <v>63</v>
      </c>
      <c r="G326" s="243">
        <v>8</v>
      </c>
      <c r="H326" s="244">
        <v>0</v>
      </c>
      <c r="I326" s="244">
        <f t="shared" si="340"/>
        <v>0</v>
      </c>
      <c r="K326" s="231"/>
      <c r="Z326" s="243">
        <f t="shared" si="341"/>
        <v>0</v>
      </c>
      <c r="AB326" s="243">
        <f t="shared" si="342"/>
        <v>0</v>
      </c>
      <c r="AC326" s="243">
        <f t="shared" si="343"/>
        <v>0</v>
      </c>
      <c r="AD326" s="243">
        <f t="shared" si="344"/>
        <v>0</v>
      </c>
      <c r="AE326" s="243">
        <f t="shared" si="345"/>
        <v>0</v>
      </c>
      <c r="AF326" s="243">
        <f t="shared" si="346"/>
        <v>0</v>
      </c>
      <c r="AG326" s="243">
        <f t="shared" si="347"/>
        <v>0</v>
      </c>
      <c r="AH326" s="243">
        <f t="shared" si="348"/>
        <v>0</v>
      </c>
      <c r="AI326" s="232" t="s">
        <v>852</v>
      </c>
      <c r="AJ326" s="243">
        <f t="shared" si="349"/>
        <v>0</v>
      </c>
      <c r="AK326" s="243">
        <f t="shared" si="350"/>
        <v>0</v>
      </c>
      <c r="AL326" s="243">
        <f t="shared" si="351"/>
        <v>0</v>
      </c>
      <c r="AN326" s="243">
        <v>21</v>
      </c>
      <c r="AO326" s="243">
        <f>H326*0.388270254929131</f>
        <v>0</v>
      </c>
      <c r="AP326" s="243">
        <f>H326*(1-0.388270254929131)</f>
        <v>0</v>
      </c>
      <c r="AQ326" s="245" t="s">
        <v>567</v>
      </c>
      <c r="AV326" s="243">
        <f t="shared" si="352"/>
        <v>0</v>
      </c>
      <c r="AW326" s="243">
        <f t="shared" si="353"/>
        <v>0</v>
      </c>
      <c r="AX326" s="243">
        <f t="shared" si="354"/>
        <v>0</v>
      </c>
      <c r="AY326" s="245" t="s">
        <v>610</v>
      </c>
      <c r="AZ326" s="245" t="s">
        <v>867</v>
      </c>
      <c r="BA326" s="232" t="s">
        <v>855</v>
      </c>
      <c r="BC326" s="243">
        <f t="shared" si="355"/>
        <v>0</v>
      </c>
      <c r="BD326" s="243">
        <f t="shared" si="356"/>
        <v>0</v>
      </c>
      <c r="BE326" s="243">
        <v>0</v>
      </c>
      <c r="BF326" s="243">
        <f>326</f>
        <v>326</v>
      </c>
      <c r="BH326" s="243">
        <f t="shared" si="357"/>
        <v>0</v>
      </c>
      <c r="BI326" s="243">
        <f t="shared" si="358"/>
        <v>0</v>
      </c>
      <c r="BJ326" s="243">
        <f t="shared" si="359"/>
        <v>0</v>
      </c>
      <c r="BK326" s="243"/>
      <c r="BL326" s="243">
        <v>722</v>
      </c>
      <c r="BW326" s="243">
        <v>21</v>
      </c>
    </row>
    <row r="327" spans="1:75" ht="13.5" customHeight="1">
      <c r="A327" s="207" t="s">
        <v>869</v>
      </c>
      <c r="B327" s="208" t="s">
        <v>852</v>
      </c>
      <c r="C327" s="208" t="s">
        <v>143</v>
      </c>
      <c r="D327" s="268" t="s">
        <v>1344</v>
      </c>
      <c r="E327" s="260"/>
      <c r="F327" s="208" t="s">
        <v>63</v>
      </c>
      <c r="G327" s="243">
        <v>4</v>
      </c>
      <c r="H327" s="244">
        <v>0</v>
      </c>
      <c r="I327" s="244">
        <f t="shared" si="340"/>
        <v>0</v>
      </c>
      <c r="K327" s="231"/>
      <c r="Z327" s="243">
        <f t="shared" si="341"/>
        <v>0</v>
      </c>
      <c r="AB327" s="243">
        <f t="shared" si="342"/>
        <v>0</v>
      </c>
      <c r="AC327" s="243">
        <f t="shared" si="343"/>
        <v>0</v>
      </c>
      <c r="AD327" s="243">
        <f t="shared" si="344"/>
        <v>0</v>
      </c>
      <c r="AE327" s="243">
        <f t="shared" si="345"/>
        <v>0</v>
      </c>
      <c r="AF327" s="243">
        <f t="shared" si="346"/>
        <v>0</v>
      </c>
      <c r="AG327" s="243">
        <f t="shared" si="347"/>
        <v>0</v>
      </c>
      <c r="AH327" s="243">
        <f t="shared" si="348"/>
        <v>0</v>
      </c>
      <c r="AI327" s="232" t="s">
        <v>852</v>
      </c>
      <c r="AJ327" s="243">
        <f t="shared" si="349"/>
        <v>0</v>
      </c>
      <c r="AK327" s="243">
        <f t="shared" si="350"/>
        <v>0</v>
      </c>
      <c r="AL327" s="243">
        <f t="shared" si="351"/>
        <v>0</v>
      </c>
      <c r="AN327" s="243">
        <v>21</v>
      </c>
      <c r="AO327" s="243">
        <f>H327*0.628405063291139</f>
        <v>0</v>
      </c>
      <c r="AP327" s="243">
        <f>H327*(1-0.628405063291139)</f>
        <v>0</v>
      </c>
      <c r="AQ327" s="245" t="s">
        <v>567</v>
      </c>
      <c r="AV327" s="243">
        <f t="shared" si="352"/>
        <v>0</v>
      </c>
      <c r="AW327" s="243">
        <f t="shared" si="353"/>
        <v>0</v>
      </c>
      <c r="AX327" s="243">
        <f t="shared" si="354"/>
        <v>0</v>
      </c>
      <c r="AY327" s="245" t="s">
        <v>610</v>
      </c>
      <c r="AZ327" s="245" t="s">
        <v>867</v>
      </c>
      <c r="BA327" s="232" t="s">
        <v>855</v>
      </c>
      <c r="BC327" s="243">
        <f t="shared" si="355"/>
        <v>0</v>
      </c>
      <c r="BD327" s="243">
        <f t="shared" si="356"/>
        <v>0</v>
      </c>
      <c r="BE327" s="243">
        <v>0</v>
      </c>
      <c r="BF327" s="243">
        <f>327</f>
        <v>327</v>
      </c>
      <c r="BH327" s="243">
        <f t="shared" si="357"/>
        <v>0</v>
      </c>
      <c r="BI327" s="243">
        <f t="shared" si="358"/>
        <v>0</v>
      </c>
      <c r="BJ327" s="243">
        <f t="shared" si="359"/>
        <v>0</v>
      </c>
      <c r="BK327" s="243"/>
      <c r="BL327" s="243">
        <v>722</v>
      </c>
      <c r="BW327" s="243">
        <v>21</v>
      </c>
    </row>
    <row r="328" spans="1:75" ht="13.5" customHeight="1">
      <c r="A328" s="207" t="s">
        <v>870</v>
      </c>
      <c r="B328" s="208" t="s">
        <v>852</v>
      </c>
      <c r="C328" s="208" t="s">
        <v>364</v>
      </c>
      <c r="D328" s="268" t="s">
        <v>1345</v>
      </c>
      <c r="E328" s="260"/>
      <c r="F328" s="208" t="s">
        <v>63</v>
      </c>
      <c r="G328" s="243">
        <v>4</v>
      </c>
      <c r="H328" s="244">
        <v>0</v>
      </c>
      <c r="I328" s="244">
        <f t="shared" si="340"/>
        <v>0</v>
      </c>
      <c r="K328" s="231"/>
      <c r="Z328" s="243">
        <f t="shared" si="341"/>
        <v>0</v>
      </c>
      <c r="AB328" s="243">
        <f t="shared" si="342"/>
        <v>0</v>
      </c>
      <c r="AC328" s="243">
        <f t="shared" si="343"/>
        <v>0</v>
      </c>
      <c r="AD328" s="243">
        <f t="shared" si="344"/>
        <v>0</v>
      </c>
      <c r="AE328" s="243">
        <f t="shared" si="345"/>
        <v>0</v>
      </c>
      <c r="AF328" s="243">
        <f t="shared" si="346"/>
        <v>0</v>
      </c>
      <c r="AG328" s="243">
        <f t="shared" si="347"/>
        <v>0</v>
      </c>
      <c r="AH328" s="243">
        <f t="shared" si="348"/>
        <v>0</v>
      </c>
      <c r="AI328" s="232" t="s">
        <v>852</v>
      </c>
      <c r="AJ328" s="243">
        <f t="shared" si="349"/>
        <v>0</v>
      </c>
      <c r="AK328" s="243">
        <f t="shared" si="350"/>
        <v>0</v>
      </c>
      <c r="AL328" s="243">
        <f t="shared" si="351"/>
        <v>0</v>
      </c>
      <c r="AN328" s="243">
        <v>21</v>
      </c>
      <c r="AO328" s="243">
        <f>H328*0.373931824584468</f>
        <v>0</v>
      </c>
      <c r="AP328" s="243">
        <f>H328*(1-0.373931824584468)</f>
        <v>0</v>
      </c>
      <c r="AQ328" s="245" t="s">
        <v>567</v>
      </c>
      <c r="AV328" s="243">
        <f t="shared" si="352"/>
        <v>0</v>
      </c>
      <c r="AW328" s="243">
        <f t="shared" si="353"/>
        <v>0</v>
      </c>
      <c r="AX328" s="243">
        <f t="shared" si="354"/>
        <v>0</v>
      </c>
      <c r="AY328" s="245" t="s">
        <v>610</v>
      </c>
      <c r="AZ328" s="245" t="s">
        <v>867</v>
      </c>
      <c r="BA328" s="232" t="s">
        <v>855</v>
      </c>
      <c r="BC328" s="243">
        <f t="shared" si="355"/>
        <v>0</v>
      </c>
      <c r="BD328" s="243">
        <f t="shared" si="356"/>
        <v>0</v>
      </c>
      <c r="BE328" s="243">
        <v>0</v>
      </c>
      <c r="BF328" s="243">
        <f>328</f>
        <v>328</v>
      </c>
      <c r="BH328" s="243">
        <f t="shared" si="357"/>
        <v>0</v>
      </c>
      <c r="BI328" s="243">
        <f t="shared" si="358"/>
        <v>0</v>
      </c>
      <c r="BJ328" s="243">
        <f t="shared" si="359"/>
        <v>0</v>
      </c>
      <c r="BK328" s="243"/>
      <c r="BL328" s="243">
        <v>722</v>
      </c>
      <c r="BW328" s="243">
        <v>21</v>
      </c>
    </row>
    <row r="329" spans="1:75" ht="13.5" customHeight="1">
      <c r="A329" s="207" t="s">
        <v>871</v>
      </c>
      <c r="B329" s="208" t="s">
        <v>852</v>
      </c>
      <c r="C329" s="208" t="s">
        <v>366</v>
      </c>
      <c r="D329" s="268" t="s">
        <v>367</v>
      </c>
      <c r="E329" s="260"/>
      <c r="F329" s="208" t="s">
        <v>68</v>
      </c>
      <c r="G329" s="243">
        <v>1</v>
      </c>
      <c r="H329" s="244">
        <v>0</v>
      </c>
      <c r="I329" s="244">
        <f t="shared" si="340"/>
        <v>0</v>
      </c>
      <c r="K329" s="231"/>
      <c r="Z329" s="243">
        <f t="shared" si="341"/>
        <v>0</v>
      </c>
      <c r="AB329" s="243">
        <f t="shared" si="342"/>
        <v>0</v>
      </c>
      <c r="AC329" s="243">
        <f t="shared" si="343"/>
        <v>0</v>
      </c>
      <c r="AD329" s="243">
        <f t="shared" si="344"/>
        <v>0</v>
      </c>
      <c r="AE329" s="243">
        <f t="shared" si="345"/>
        <v>0</v>
      </c>
      <c r="AF329" s="243">
        <f t="shared" si="346"/>
        <v>0</v>
      </c>
      <c r="AG329" s="243">
        <f t="shared" si="347"/>
        <v>0</v>
      </c>
      <c r="AH329" s="243">
        <f t="shared" si="348"/>
        <v>0</v>
      </c>
      <c r="AI329" s="232" t="s">
        <v>852</v>
      </c>
      <c r="AJ329" s="243">
        <f t="shared" si="349"/>
        <v>0</v>
      </c>
      <c r="AK329" s="243">
        <f t="shared" si="350"/>
        <v>0</v>
      </c>
      <c r="AL329" s="243">
        <f t="shared" si="351"/>
        <v>0</v>
      </c>
      <c r="AN329" s="243">
        <v>21</v>
      </c>
      <c r="AO329" s="243">
        <f>H329*0.945809322033898</f>
        <v>0</v>
      </c>
      <c r="AP329" s="243">
        <f>H329*(1-0.945809322033898)</f>
        <v>0</v>
      </c>
      <c r="AQ329" s="245" t="s">
        <v>567</v>
      </c>
      <c r="AV329" s="243">
        <f t="shared" si="352"/>
        <v>0</v>
      </c>
      <c r="AW329" s="243">
        <f t="shared" si="353"/>
        <v>0</v>
      </c>
      <c r="AX329" s="243">
        <f t="shared" si="354"/>
        <v>0</v>
      </c>
      <c r="AY329" s="245" t="s">
        <v>610</v>
      </c>
      <c r="AZ329" s="245" t="s">
        <v>867</v>
      </c>
      <c r="BA329" s="232" t="s">
        <v>855</v>
      </c>
      <c r="BC329" s="243">
        <f t="shared" si="355"/>
        <v>0</v>
      </c>
      <c r="BD329" s="243">
        <f t="shared" si="356"/>
        <v>0</v>
      </c>
      <c r="BE329" s="243">
        <v>0</v>
      </c>
      <c r="BF329" s="243">
        <f>329</f>
        <v>329</v>
      </c>
      <c r="BH329" s="243">
        <f t="shared" si="357"/>
        <v>0</v>
      </c>
      <c r="BI329" s="243">
        <f t="shared" si="358"/>
        <v>0</v>
      </c>
      <c r="BJ329" s="243">
        <f t="shared" si="359"/>
        <v>0</v>
      </c>
      <c r="BK329" s="243"/>
      <c r="BL329" s="243">
        <v>722</v>
      </c>
      <c r="BW329" s="243">
        <v>21</v>
      </c>
    </row>
    <row r="330" spans="1:75" ht="13.5" customHeight="1">
      <c r="A330" s="207" t="s">
        <v>872</v>
      </c>
      <c r="B330" s="208" t="s">
        <v>852</v>
      </c>
      <c r="C330" s="208" t="s">
        <v>368</v>
      </c>
      <c r="D330" s="268" t="s">
        <v>369</v>
      </c>
      <c r="E330" s="260"/>
      <c r="F330" s="208" t="s">
        <v>68</v>
      </c>
      <c r="G330" s="243">
        <v>1</v>
      </c>
      <c r="H330" s="244">
        <v>0</v>
      </c>
      <c r="I330" s="244">
        <f t="shared" si="340"/>
        <v>0</v>
      </c>
      <c r="K330" s="231"/>
      <c r="Z330" s="243">
        <f t="shared" si="341"/>
        <v>0</v>
      </c>
      <c r="AB330" s="243">
        <f t="shared" si="342"/>
        <v>0</v>
      </c>
      <c r="AC330" s="243">
        <f t="shared" si="343"/>
        <v>0</v>
      </c>
      <c r="AD330" s="243">
        <f t="shared" si="344"/>
        <v>0</v>
      </c>
      <c r="AE330" s="243">
        <f t="shared" si="345"/>
        <v>0</v>
      </c>
      <c r="AF330" s="243">
        <f t="shared" si="346"/>
        <v>0</v>
      </c>
      <c r="AG330" s="243">
        <f t="shared" si="347"/>
        <v>0</v>
      </c>
      <c r="AH330" s="243">
        <f t="shared" si="348"/>
        <v>0</v>
      </c>
      <c r="AI330" s="232" t="s">
        <v>852</v>
      </c>
      <c r="AJ330" s="243">
        <f t="shared" si="349"/>
        <v>0</v>
      </c>
      <c r="AK330" s="243">
        <f t="shared" si="350"/>
        <v>0</v>
      </c>
      <c r="AL330" s="243">
        <f t="shared" si="351"/>
        <v>0</v>
      </c>
      <c r="AN330" s="243">
        <v>21</v>
      </c>
      <c r="AO330" s="243">
        <f>H330*0.963329388560158</f>
        <v>0</v>
      </c>
      <c r="AP330" s="243">
        <f>H330*(1-0.963329388560158)</f>
        <v>0</v>
      </c>
      <c r="AQ330" s="245" t="s">
        <v>567</v>
      </c>
      <c r="AV330" s="243">
        <f t="shared" si="352"/>
        <v>0</v>
      </c>
      <c r="AW330" s="243">
        <f t="shared" si="353"/>
        <v>0</v>
      </c>
      <c r="AX330" s="243">
        <f t="shared" si="354"/>
        <v>0</v>
      </c>
      <c r="AY330" s="245" t="s">
        <v>610</v>
      </c>
      <c r="AZ330" s="245" t="s">
        <v>867</v>
      </c>
      <c r="BA330" s="232" t="s">
        <v>855</v>
      </c>
      <c r="BC330" s="243">
        <f t="shared" si="355"/>
        <v>0</v>
      </c>
      <c r="BD330" s="243">
        <f t="shared" si="356"/>
        <v>0</v>
      </c>
      <c r="BE330" s="243">
        <v>0</v>
      </c>
      <c r="BF330" s="243">
        <f>330</f>
        <v>330</v>
      </c>
      <c r="BH330" s="243">
        <f t="shared" si="357"/>
        <v>0</v>
      </c>
      <c r="BI330" s="243">
        <f t="shared" si="358"/>
        <v>0</v>
      </c>
      <c r="BJ330" s="243">
        <f t="shared" si="359"/>
        <v>0</v>
      </c>
      <c r="BK330" s="243"/>
      <c r="BL330" s="243">
        <v>722</v>
      </c>
      <c r="BW330" s="243">
        <v>21</v>
      </c>
    </row>
    <row r="331" spans="1:75" ht="13.5" customHeight="1">
      <c r="A331" s="207" t="s">
        <v>873</v>
      </c>
      <c r="B331" s="208" t="s">
        <v>852</v>
      </c>
      <c r="C331" s="208" t="s">
        <v>149</v>
      </c>
      <c r="D331" s="268" t="s">
        <v>1320</v>
      </c>
      <c r="E331" s="260"/>
      <c r="F331" s="208" t="s">
        <v>68</v>
      </c>
      <c r="G331" s="243">
        <v>4</v>
      </c>
      <c r="H331" s="244">
        <v>0</v>
      </c>
      <c r="I331" s="244">
        <f t="shared" si="340"/>
        <v>0</v>
      </c>
      <c r="K331" s="231"/>
      <c r="Z331" s="243">
        <f t="shared" si="341"/>
        <v>0</v>
      </c>
      <c r="AB331" s="243">
        <f t="shared" si="342"/>
        <v>0</v>
      </c>
      <c r="AC331" s="243">
        <f t="shared" si="343"/>
        <v>0</v>
      </c>
      <c r="AD331" s="243">
        <f t="shared" si="344"/>
        <v>0</v>
      </c>
      <c r="AE331" s="243">
        <f t="shared" si="345"/>
        <v>0</v>
      </c>
      <c r="AF331" s="243">
        <f t="shared" si="346"/>
        <v>0</v>
      </c>
      <c r="AG331" s="243">
        <f t="shared" si="347"/>
        <v>0</v>
      </c>
      <c r="AH331" s="243">
        <f t="shared" si="348"/>
        <v>0</v>
      </c>
      <c r="AI331" s="232" t="s">
        <v>852</v>
      </c>
      <c r="AJ331" s="243">
        <f t="shared" si="349"/>
        <v>0</v>
      </c>
      <c r="AK331" s="243">
        <f t="shared" si="350"/>
        <v>0</v>
      </c>
      <c r="AL331" s="243">
        <f t="shared" si="351"/>
        <v>0</v>
      </c>
      <c r="AN331" s="243">
        <v>21</v>
      </c>
      <c r="AO331" s="243">
        <f>H331*0.767472727272727</f>
        <v>0</v>
      </c>
      <c r="AP331" s="243">
        <f>H331*(1-0.767472727272727)</f>
        <v>0</v>
      </c>
      <c r="AQ331" s="245" t="s">
        <v>567</v>
      </c>
      <c r="AV331" s="243">
        <f t="shared" si="352"/>
        <v>0</v>
      </c>
      <c r="AW331" s="243">
        <f t="shared" si="353"/>
        <v>0</v>
      </c>
      <c r="AX331" s="243">
        <f t="shared" si="354"/>
        <v>0</v>
      </c>
      <c r="AY331" s="245" t="s">
        <v>610</v>
      </c>
      <c r="AZ331" s="245" t="s">
        <v>867</v>
      </c>
      <c r="BA331" s="232" t="s">
        <v>855</v>
      </c>
      <c r="BC331" s="243">
        <f t="shared" si="355"/>
        <v>0</v>
      </c>
      <c r="BD331" s="243">
        <f t="shared" si="356"/>
        <v>0</v>
      </c>
      <c r="BE331" s="243">
        <v>0</v>
      </c>
      <c r="BF331" s="243">
        <f>331</f>
        <v>331</v>
      </c>
      <c r="BH331" s="243">
        <f t="shared" si="357"/>
        <v>0</v>
      </c>
      <c r="BI331" s="243">
        <f t="shared" si="358"/>
        <v>0</v>
      </c>
      <c r="BJ331" s="243">
        <f t="shared" si="359"/>
        <v>0</v>
      </c>
      <c r="BK331" s="243"/>
      <c r="BL331" s="243">
        <v>722</v>
      </c>
      <c r="BW331" s="243">
        <v>21</v>
      </c>
    </row>
    <row r="332" spans="1:75" ht="13.5" customHeight="1">
      <c r="A332" s="207" t="s">
        <v>874</v>
      </c>
      <c r="B332" s="208" t="s">
        <v>852</v>
      </c>
      <c r="C332" s="208" t="s">
        <v>370</v>
      </c>
      <c r="D332" s="268" t="s">
        <v>1346</v>
      </c>
      <c r="E332" s="260"/>
      <c r="F332" s="208" t="s">
        <v>68</v>
      </c>
      <c r="G332" s="243">
        <v>1</v>
      </c>
      <c r="H332" s="244">
        <v>0</v>
      </c>
      <c r="I332" s="244">
        <f t="shared" si="340"/>
        <v>0</v>
      </c>
      <c r="K332" s="231"/>
      <c r="Z332" s="243">
        <f t="shared" si="341"/>
        <v>0</v>
      </c>
      <c r="AB332" s="243">
        <f t="shared" si="342"/>
        <v>0</v>
      </c>
      <c r="AC332" s="243">
        <f t="shared" si="343"/>
        <v>0</v>
      </c>
      <c r="AD332" s="243">
        <f t="shared" si="344"/>
        <v>0</v>
      </c>
      <c r="AE332" s="243">
        <f t="shared" si="345"/>
        <v>0</v>
      </c>
      <c r="AF332" s="243">
        <f t="shared" si="346"/>
        <v>0</v>
      </c>
      <c r="AG332" s="243">
        <f t="shared" si="347"/>
        <v>0</v>
      </c>
      <c r="AH332" s="243">
        <f t="shared" si="348"/>
        <v>0</v>
      </c>
      <c r="AI332" s="232" t="s">
        <v>852</v>
      </c>
      <c r="AJ332" s="243">
        <f t="shared" si="349"/>
        <v>0</v>
      </c>
      <c r="AK332" s="243">
        <f t="shared" si="350"/>
        <v>0</v>
      </c>
      <c r="AL332" s="243">
        <f t="shared" si="351"/>
        <v>0</v>
      </c>
      <c r="AN332" s="243">
        <v>21</v>
      </c>
      <c r="AO332" s="243">
        <f>H332*0.869366700715015</f>
        <v>0</v>
      </c>
      <c r="AP332" s="243">
        <f>H332*(1-0.869366700715015)</f>
        <v>0</v>
      </c>
      <c r="AQ332" s="245" t="s">
        <v>567</v>
      </c>
      <c r="AV332" s="243">
        <f t="shared" si="352"/>
        <v>0</v>
      </c>
      <c r="AW332" s="243">
        <f t="shared" si="353"/>
        <v>0</v>
      </c>
      <c r="AX332" s="243">
        <f t="shared" si="354"/>
        <v>0</v>
      </c>
      <c r="AY332" s="245" t="s">
        <v>610</v>
      </c>
      <c r="AZ332" s="245" t="s">
        <v>867</v>
      </c>
      <c r="BA332" s="232" t="s">
        <v>855</v>
      </c>
      <c r="BC332" s="243">
        <f t="shared" si="355"/>
        <v>0</v>
      </c>
      <c r="BD332" s="243">
        <f t="shared" si="356"/>
        <v>0</v>
      </c>
      <c r="BE332" s="243">
        <v>0</v>
      </c>
      <c r="BF332" s="243">
        <f>332</f>
        <v>332</v>
      </c>
      <c r="BH332" s="243">
        <f t="shared" si="357"/>
        <v>0</v>
      </c>
      <c r="BI332" s="243">
        <f t="shared" si="358"/>
        <v>0</v>
      </c>
      <c r="BJ332" s="243">
        <f t="shared" si="359"/>
        <v>0</v>
      </c>
      <c r="BK332" s="243"/>
      <c r="BL332" s="243">
        <v>722</v>
      </c>
      <c r="BW332" s="243">
        <v>21</v>
      </c>
    </row>
    <row r="333" spans="1:75" ht="13.5" customHeight="1">
      <c r="A333" s="207" t="s">
        <v>875</v>
      </c>
      <c r="B333" s="208" t="s">
        <v>852</v>
      </c>
      <c r="C333" s="208" t="s">
        <v>372</v>
      </c>
      <c r="D333" s="268" t="s">
        <v>1347</v>
      </c>
      <c r="E333" s="260"/>
      <c r="F333" s="208" t="s">
        <v>68</v>
      </c>
      <c r="G333" s="243">
        <v>1</v>
      </c>
      <c r="H333" s="244">
        <v>0</v>
      </c>
      <c r="I333" s="244">
        <f t="shared" si="340"/>
        <v>0</v>
      </c>
      <c r="K333" s="231"/>
      <c r="Z333" s="243">
        <f t="shared" si="341"/>
        <v>0</v>
      </c>
      <c r="AB333" s="243">
        <f t="shared" si="342"/>
        <v>0</v>
      </c>
      <c r="AC333" s="243">
        <f t="shared" si="343"/>
        <v>0</v>
      </c>
      <c r="AD333" s="243">
        <f t="shared" si="344"/>
        <v>0</v>
      </c>
      <c r="AE333" s="243">
        <f t="shared" si="345"/>
        <v>0</v>
      </c>
      <c r="AF333" s="243">
        <f t="shared" si="346"/>
        <v>0</v>
      </c>
      <c r="AG333" s="243">
        <f t="shared" si="347"/>
        <v>0</v>
      </c>
      <c r="AH333" s="243">
        <f t="shared" si="348"/>
        <v>0</v>
      </c>
      <c r="AI333" s="232" t="s">
        <v>852</v>
      </c>
      <c r="AJ333" s="243">
        <f t="shared" si="349"/>
        <v>0</v>
      </c>
      <c r="AK333" s="243">
        <f t="shared" si="350"/>
        <v>0</v>
      </c>
      <c r="AL333" s="243">
        <f t="shared" si="351"/>
        <v>0</v>
      </c>
      <c r="AN333" s="243">
        <v>21</v>
      </c>
      <c r="AO333" s="243">
        <f>H333*0.767894736842105</f>
        <v>0</v>
      </c>
      <c r="AP333" s="243">
        <f>H333*(1-0.767894736842105)</f>
        <v>0</v>
      </c>
      <c r="AQ333" s="245" t="s">
        <v>567</v>
      </c>
      <c r="AV333" s="243">
        <f t="shared" si="352"/>
        <v>0</v>
      </c>
      <c r="AW333" s="243">
        <f t="shared" si="353"/>
        <v>0</v>
      </c>
      <c r="AX333" s="243">
        <f t="shared" si="354"/>
        <v>0</v>
      </c>
      <c r="AY333" s="245" t="s">
        <v>610</v>
      </c>
      <c r="AZ333" s="245" t="s">
        <v>867</v>
      </c>
      <c r="BA333" s="232" t="s">
        <v>855</v>
      </c>
      <c r="BC333" s="243">
        <f t="shared" si="355"/>
        <v>0</v>
      </c>
      <c r="BD333" s="243">
        <f t="shared" si="356"/>
        <v>0</v>
      </c>
      <c r="BE333" s="243">
        <v>0</v>
      </c>
      <c r="BF333" s="243">
        <f>333</f>
        <v>333</v>
      </c>
      <c r="BH333" s="243">
        <f t="shared" si="357"/>
        <v>0</v>
      </c>
      <c r="BI333" s="243">
        <f t="shared" si="358"/>
        <v>0</v>
      </c>
      <c r="BJ333" s="243">
        <f t="shared" si="359"/>
        <v>0</v>
      </c>
      <c r="BK333" s="243"/>
      <c r="BL333" s="243">
        <v>722</v>
      </c>
      <c r="BW333" s="243">
        <v>21</v>
      </c>
    </row>
    <row r="334" spans="1:75" ht="13.5" customHeight="1">
      <c r="A334" s="207" t="s">
        <v>876</v>
      </c>
      <c r="B334" s="208" t="s">
        <v>852</v>
      </c>
      <c r="C334" s="208" t="s">
        <v>156</v>
      </c>
      <c r="D334" s="268" t="s">
        <v>1348</v>
      </c>
      <c r="E334" s="260"/>
      <c r="F334" s="208" t="s">
        <v>68</v>
      </c>
      <c r="G334" s="243">
        <v>1</v>
      </c>
      <c r="H334" s="244">
        <v>0</v>
      </c>
      <c r="I334" s="244">
        <f t="shared" si="340"/>
        <v>0</v>
      </c>
      <c r="K334" s="231"/>
      <c r="Z334" s="243">
        <f t="shared" si="341"/>
        <v>0</v>
      </c>
      <c r="AB334" s="243">
        <f t="shared" si="342"/>
        <v>0</v>
      </c>
      <c r="AC334" s="243">
        <f t="shared" si="343"/>
        <v>0</v>
      </c>
      <c r="AD334" s="243">
        <f t="shared" si="344"/>
        <v>0</v>
      </c>
      <c r="AE334" s="243">
        <f t="shared" si="345"/>
        <v>0</v>
      </c>
      <c r="AF334" s="243">
        <f t="shared" si="346"/>
        <v>0</v>
      </c>
      <c r="AG334" s="243">
        <f t="shared" si="347"/>
        <v>0</v>
      </c>
      <c r="AH334" s="243">
        <f t="shared" si="348"/>
        <v>0</v>
      </c>
      <c r="AI334" s="232" t="s">
        <v>852</v>
      </c>
      <c r="AJ334" s="243">
        <f t="shared" si="349"/>
        <v>0</v>
      </c>
      <c r="AK334" s="243">
        <f t="shared" si="350"/>
        <v>0</v>
      </c>
      <c r="AL334" s="243">
        <f t="shared" si="351"/>
        <v>0</v>
      </c>
      <c r="AN334" s="243">
        <v>21</v>
      </c>
      <c r="AO334" s="243">
        <f>H334*0.901698693312836</f>
        <v>0</v>
      </c>
      <c r="AP334" s="243">
        <f>H334*(1-0.901698693312836)</f>
        <v>0</v>
      </c>
      <c r="AQ334" s="245" t="s">
        <v>567</v>
      </c>
      <c r="AV334" s="243">
        <f t="shared" si="352"/>
        <v>0</v>
      </c>
      <c r="AW334" s="243">
        <f t="shared" si="353"/>
        <v>0</v>
      </c>
      <c r="AX334" s="243">
        <f t="shared" si="354"/>
        <v>0</v>
      </c>
      <c r="AY334" s="245" t="s">
        <v>610</v>
      </c>
      <c r="AZ334" s="245" t="s">
        <v>867</v>
      </c>
      <c r="BA334" s="232" t="s">
        <v>855</v>
      </c>
      <c r="BC334" s="243">
        <f t="shared" si="355"/>
        <v>0</v>
      </c>
      <c r="BD334" s="243">
        <f t="shared" si="356"/>
        <v>0</v>
      </c>
      <c r="BE334" s="243">
        <v>0</v>
      </c>
      <c r="BF334" s="243">
        <f>334</f>
        <v>334</v>
      </c>
      <c r="BH334" s="243">
        <f t="shared" si="357"/>
        <v>0</v>
      </c>
      <c r="BI334" s="243">
        <f t="shared" si="358"/>
        <v>0</v>
      </c>
      <c r="BJ334" s="243">
        <f t="shared" si="359"/>
        <v>0</v>
      </c>
      <c r="BK334" s="243"/>
      <c r="BL334" s="243">
        <v>722</v>
      </c>
      <c r="BW334" s="243">
        <v>21</v>
      </c>
    </row>
    <row r="335" spans="1:75" ht="15" customHeight="1">
      <c r="A335" s="238" t="s">
        <v>21</v>
      </c>
      <c r="B335" s="239" t="s">
        <v>852</v>
      </c>
      <c r="C335" s="239" t="s">
        <v>380</v>
      </c>
      <c r="D335" s="309" t="s">
        <v>381</v>
      </c>
      <c r="E335" s="310"/>
      <c r="F335" s="240" t="s">
        <v>20</v>
      </c>
      <c r="G335" s="240" t="s">
        <v>20</v>
      </c>
      <c r="H335" s="241" t="s">
        <v>20</v>
      </c>
      <c r="I335" s="242">
        <f>SUM(I336:I336)</f>
        <v>0</v>
      </c>
      <c r="K335" s="231"/>
      <c r="AI335" s="232" t="s">
        <v>852</v>
      </c>
      <c r="AS335" s="225">
        <f>SUM(AJ336:AJ336)</f>
        <v>0</v>
      </c>
      <c r="AT335" s="225">
        <f>SUM(AK336:AK336)</f>
        <v>0</v>
      </c>
      <c r="AU335" s="225">
        <f>SUM(AL336:AL336)</f>
        <v>0</v>
      </c>
    </row>
    <row r="336" spans="1:75" ht="13.5" customHeight="1">
      <c r="A336" s="207" t="s">
        <v>877</v>
      </c>
      <c r="B336" s="208" t="s">
        <v>852</v>
      </c>
      <c r="C336" s="208" t="s">
        <v>83</v>
      </c>
      <c r="D336" s="268" t="s">
        <v>255</v>
      </c>
      <c r="E336" s="260"/>
      <c r="F336" s="208" t="s">
        <v>58</v>
      </c>
      <c r="G336" s="243">
        <v>1</v>
      </c>
      <c r="H336" s="244">
        <v>0</v>
      </c>
      <c r="I336" s="244">
        <f>G336*H336</f>
        <v>0</v>
      </c>
      <c r="K336" s="231"/>
      <c r="Z336" s="243">
        <f>IF(AQ336="5",BJ336,0)</f>
        <v>0</v>
      </c>
      <c r="AB336" s="243">
        <f>IF(AQ336="1",BH336,0)</f>
        <v>0</v>
      </c>
      <c r="AC336" s="243">
        <f>IF(AQ336="1",BI336,0)</f>
        <v>0</v>
      </c>
      <c r="AD336" s="243">
        <f>IF(AQ336="7",BH336,0)</f>
        <v>0</v>
      </c>
      <c r="AE336" s="243">
        <f>IF(AQ336="7",BI336,0)</f>
        <v>0</v>
      </c>
      <c r="AF336" s="243">
        <f>IF(AQ336="2",BH336,0)</f>
        <v>0</v>
      </c>
      <c r="AG336" s="243">
        <f>IF(AQ336="2",BI336,0)</f>
        <v>0</v>
      </c>
      <c r="AH336" s="243">
        <f>IF(AQ336="0",BJ336,0)</f>
        <v>0</v>
      </c>
      <c r="AI336" s="232" t="s">
        <v>852</v>
      </c>
      <c r="AJ336" s="243">
        <f>IF(AN336=0,I336,0)</f>
        <v>0</v>
      </c>
      <c r="AK336" s="243">
        <f>IF(AN336=12,I336,0)</f>
        <v>0</v>
      </c>
      <c r="AL336" s="243">
        <f>IF(AN336=21,I336,0)</f>
        <v>0</v>
      </c>
      <c r="AN336" s="243">
        <v>21</v>
      </c>
      <c r="AO336" s="243">
        <f>H336*0.346020761245675</f>
        <v>0</v>
      </c>
      <c r="AP336" s="243">
        <f>H336*(1-0.346020761245675)</f>
        <v>0</v>
      </c>
      <c r="AQ336" s="245" t="s">
        <v>567</v>
      </c>
      <c r="AV336" s="243">
        <f>AW336+AX336</f>
        <v>0</v>
      </c>
      <c r="AW336" s="243">
        <f>G336*AO336</f>
        <v>0</v>
      </c>
      <c r="AX336" s="243">
        <f>G336*AP336</f>
        <v>0</v>
      </c>
      <c r="AY336" s="245" t="s">
        <v>745</v>
      </c>
      <c r="AZ336" s="245" t="s">
        <v>882</v>
      </c>
      <c r="BA336" s="232" t="s">
        <v>855</v>
      </c>
      <c r="BC336" s="243">
        <f>AW336+AX336</f>
        <v>0</v>
      </c>
      <c r="BD336" s="243">
        <f>H336/(100-BE336)*100</f>
        <v>0</v>
      </c>
      <c r="BE336" s="243">
        <v>0</v>
      </c>
      <c r="BF336" s="243">
        <f>336</f>
        <v>336</v>
      </c>
      <c r="BH336" s="243">
        <f>G336*AO336</f>
        <v>0</v>
      </c>
      <c r="BI336" s="243">
        <f>G336*AP336</f>
        <v>0</v>
      </c>
      <c r="BJ336" s="243">
        <f>G336*H336</f>
        <v>0</v>
      </c>
      <c r="BK336" s="243"/>
      <c r="BL336" s="243">
        <v>73</v>
      </c>
      <c r="BW336" s="243">
        <v>21</v>
      </c>
    </row>
    <row r="337" spans="1:75" ht="15" customHeight="1">
      <c r="A337" s="238" t="s">
        <v>21</v>
      </c>
      <c r="B337" s="239" t="s">
        <v>852</v>
      </c>
      <c r="C337" s="239" t="s">
        <v>64</v>
      </c>
      <c r="D337" s="309" t="s">
        <v>65</v>
      </c>
      <c r="E337" s="310"/>
      <c r="F337" s="240" t="s">
        <v>20</v>
      </c>
      <c r="G337" s="240" t="s">
        <v>20</v>
      </c>
      <c r="H337" s="241" t="s">
        <v>20</v>
      </c>
      <c r="I337" s="242">
        <f>SUM(I338:I344)</f>
        <v>0</v>
      </c>
      <c r="K337" s="231"/>
      <c r="AI337" s="232" t="s">
        <v>852</v>
      </c>
      <c r="AS337" s="225">
        <f>SUM(AJ338:AJ344)</f>
        <v>0</v>
      </c>
      <c r="AT337" s="225">
        <f>SUM(AK338:AK344)</f>
        <v>0</v>
      </c>
      <c r="AU337" s="225">
        <f>SUM(AL338:AL344)</f>
        <v>0</v>
      </c>
    </row>
    <row r="338" spans="1:75" ht="13.5" customHeight="1">
      <c r="A338" s="207" t="s">
        <v>878</v>
      </c>
      <c r="B338" s="208" t="s">
        <v>852</v>
      </c>
      <c r="C338" s="208" t="s">
        <v>382</v>
      </c>
      <c r="D338" s="268" t="s">
        <v>114</v>
      </c>
      <c r="E338" s="260"/>
      <c r="F338" s="208" t="s">
        <v>58</v>
      </c>
      <c r="G338" s="243">
        <v>11</v>
      </c>
      <c r="H338" s="244">
        <v>0</v>
      </c>
      <c r="I338" s="244">
        <f t="shared" ref="I338:I344" si="360">G338*H338</f>
        <v>0</v>
      </c>
      <c r="K338" s="231"/>
      <c r="Z338" s="243">
        <f t="shared" ref="Z338:Z344" si="361">IF(AQ338="5",BJ338,0)</f>
        <v>0</v>
      </c>
      <c r="AB338" s="243">
        <f t="shared" ref="AB338:AB344" si="362">IF(AQ338="1",BH338,0)</f>
        <v>0</v>
      </c>
      <c r="AC338" s="243">
        <f t="shared" ref="AC338:AC344" si="363">IF(AQ338="1",BI338,0)</f>
        <v>0</v>
      </c>
      <c r="AD338" s="243">
        <f t="shared" ref="AD338:AD344" si="364">IF(AQ338="7",BH338,0)</f>
        <v>0</v>
      </c>
      <c r="AE338" s="243">
        <f t="shared" ref="AE338:AE344" si="365">IF(AQ338="7",BI338,0)</f>
        <v>0</v>
      </c>
      <c r="AF338" s="243">
        <f t="shared" ref="AF338:AF344" si="366">IF(AQ338="2",BH338,0)</f>
        <v>0</v>
      </c>
      <c r="AG338" s="243">
        <f t="shared" ref="AG338:AG344" si="367">IF(AQ338="2",BI338,0)</f>
        <v>0</v>
      </c>
      <c r="AH338" s="243">
        <f t="shared" ref="AH338:AH344" si="368">IF(AQ338="0",BJ338,0)</f>
        <v>0</v>
      </c>
      <c r="AI338" s="232" t="s">
        <v>852</v>
      </c>
      <c r="AJ338" s="243">
        <f t="shared" ref="AJ338:AJ344" si="369">IF(AN338=0,I338,0)</f>
        <v>0</v>
      </c>
      <c r="AK338" s="243">
        <f t="shared" ref="AK338:AK344" si="370">IF(AN338=12,I338,0)</f>
        <v>0</v>
      </c>
      <c r="AL338" s="243">
        <f t="shared" ref="AL338:AL344" si="371">IF(AN338=21,I338,0)</f>
        <v>0</v>
      </c>
      <c r="AN338" s="243">
        <v>21</v>
      </c>
      <c r="AO338" s="243">
        <f>H338*0.658518518518519</f>
        <v>0</v>
      </c>
      <c r="AP338" s="243">
        <f>H338*(1-0.658518518518519)</f>
        <v>0</v>
      </c>
      <c r="AQ338" s="245" t="s">
        <v>567</v>
      </c>
      <c r="AV338" s="243">
        <f t="shared" ref="AV338:AV344" si="372">AW338+AX338</f>
        <v>0</v>
      </c>
      <c r="AW338" s="243">
        <f t="shared" ref="AW338:AW344" si="373">G338*AO338</f>
        <v>0</v>
      </c>
      <c r="AX338" s="243">
        <f t="shared" ref="AX338:AX344" si="374">G338*AP338</f>
        <v>0</v>
      </c>
      <c r="AY338" s="245" t="s">
        <v>580</v>
      </c>
      <c r="AZ338" s="245" t="s">
        <v>882</v>
      </c>
      <c r="BA338" s="232" t="s">
        <v>855</v>
      </c>
      <c r="BC338" s="243">
        <f t="shared" ref="BC338:BC344" si="375">AW338+AX338</f>
        <v>0</v>
      </c>
      <c r="BD338" s="243">
        <f t="shared" ref="BD338:BD344" si="376">H338/(100-BE338)*100</f>
        <v>0</v>
      </c>
      <c r="BE338" s="243">
        <v>0</v>
      </c>
      <c r="BF338" s="243">
        <f>338</f>
        <v>338</v>
      </c>
      <c r="BH338" s="243">
        <f t="shared" ref="BH338:BH344" si="377">G338*AO338</f>
        <v>0</v>
      </c>
      <c r="BI338" s="243">
        <f t="shared" ref="BI338:BI344" si="378">G338*AP338</f>
        <v>0</v>
      </c>
      <c r="BJ338" s="243">
        <f t="shared" ref="BJ338:BJ344" si="379">G338*H338</f>
        <v>0</v>
      </c>
      <c r="BK338" s="243"/>
      <c r="BL338" s="243">
        <v>732</v>
      </c>
      <c r="BW338" s="243">
        <v>21</v>
      </c>
    </row>
    <row r="339" spans="1:75" ht="13.5" customHeight="1">
      <c r="A339" s="207" t="s">
        <v>879</v>
      </c>
      <c r="B339" s="208" t="s">
        <v>852</v>
      </c>
      <c r="C339" s="208" t="s">
        <v>383</v>
      </c>
      <c r="D339" s="268" t="s">
        <v>384</v>
      </c>
      <c r="E339" s="260"/>
      <c r="F339" s="208" t="s">
        <v>63</v>
      </c>
      <c r="G339" s="243">
        <v>2</v>
      </c>
      <c r="H339" s="244">
        <v>0</v>
      </c>
      <c r="I339" s="244">
        <f t="shared" si="360"/>
        <v>0</v>
      </c>
      <c r="K339" s="231"/>
      <c r="Z339" s="243">
        <f t="shared" si="361"/>
        <v>0</v>
      </c>
      <c r="AB339" s="243">
        <f t="shared" si="362"/>
        <v>0</v>
      </c>
      <c r="AC339" s="243">
        <f t="shared" si="363"/>
        <v>0</v>
      </c>
      <c r="AD339" s="243">
        <f t="shared" si="364"/>
        <v>0</v>
      </c>
      <c r="AE339" s="243">
        <f t="shared" si="365"/>
        <v>0</v>
      </c>
      <c r="AF339" s="243">
        <f t="shared" si="366"/>
        <v>0</v>
      </c>
      <c r="AG339" s="243">
        <f t="shared" si="367"/>
        <v>0</v>
      </c>
      <c r="AH339" s="243">
        <f t="shared" si="368"/>
        <v>0</v>
      </c>
      <c r="AI339" s="232" t="s">
        <v>852</v>
      </c>
      <c r="AJ339" s="243">
        <f t="shared" si="369"/>
        <v>0</v>
      </c>
      <c r="AK339" s="243">
        <f t="shared" si="370"/>
        <v>0</v>
      </c>
      <c r="AL339" s="243">
        <f t="shared" si="371"/>
        <v>0</v>
      </c>
      <c r="AN339" s="243">
        <v>21</v>
      </c>
      <c r="AO339" s="243">
        <f>H339*0</f>
        <v>0</v>
      </c>
      <c r="AP339" s="243">
        <f>H339*(1-0)</f>
        <v>0</v>
      </c>
      <c r="AQ339" s="245" t="s">
        <v>567</v>
      </c>
      <c r="AV339" s="243">
        <f t="shared" si="372"/>
        <v>0</v>
      </c>
      <c r="AW339" s="243">
        <f t="shared" si="373"/>
        <v>0</v>
      </c>
      <c r="AX339" s="243">
        <f t="shared" si="374"/>
        <v>0</v>
      </c>
      <c r="AY339" s="245" t="s">
        <v>580</v>
      </c>
      <c r="AZ339" s="245" t="s">
        <v>882</v>
      </c>
      <c r="BA339" s="232" t="s">
        <v>855</v>
      </c>
      <c r="BC339" s="243">
        <f t="shared" si="375"/>
        <v>0</v>
      </c>
      <c r="BD339" s="243">
        <f t="shared" si="376"/>
        <v>0</v>
      </c>
      <c r="BE339" s="243">
        <v>0</v>
      </c>
      <c r="BF339" s="243">
        <f>339</f>
        <v>339</v>
      </c>
      <c r="BH339" s="243">
        <f t="shared" si="377"/>
        <v>0</v>
      </c>
      <c r="BI339" s="243">
        <f t="shared" si="378"/>
        <v>0</v>
      </c>
      <c r="BJ339" s="243">
        <f t="shared" si="379"/>
        <v>0</v>
      </c>
      <c r="BK339" s="243"/>
      <c r="BL339" s="243">
        <v>732</v>
      </c>
      <c r="BW339" s="243">
        <v>21</v>
      </c>
    </row>
    <row r="340" spans="1:75" ht="13.5" customHeight="1">
      <c r="A340" s="207" t="s">
        <v>880</v>
      </c>
      <c r="B340" s="208" t="s">
        <v>852</v>
      </c>
      <c r="C340" s="208" t="s">
        <v>385</v>
      </c>
      <c r="D340" s="268" t="s">
        <v>386</v>
      </c>
      <c r="E340" s="260"/>
      <c r="F340" s="208" t="s">
        <v>68</v>
      </c>
      <c r="G340" s="243">
        <v>1</v>
      </c>
      <c r="H340" s="244">
        <v>0</v>
      </c>
      <c r="I340" s="244">
        <f t="shared" si="360"/>
        <v>0</v>
      </c>
      <c r="K340" s="231"/>
      <c r="Z340" s="243">
        <f t="shared" si="361"/>
        <v>0</v>
      </c>
      <c r="AB340" s="243">
        <f t="shared" si="362"/>
        <v>0</v>
      </c>
      <c r="AC340" s="243">
        <f t="shared" si="363"/>
        <v>0</v>
      </c>
      <c r="AD340" s="243">
        <f t="shared" si="364"/>
        <v>0</v>
      </c>
      <c r="AE340" s="243">
        <f t="shared" si="365"/>
        <v>0</v>
      </c>
      <c r="AF340" s="243">
        <f t="shared" si="366"/>
        <v>0</v>
      </c>
      <c r="AG340" s="243">
        <f t="shared" si="367"/>
        <v>0</v>
      </c>
      <c r="AH340" s="243">
        <f t="shared" si="368"/>
        <v>0</v>
      </c>
      <c r="AI340" s="232" t="s">
        <v>852</v>
      </c>
      <c r="AJ340" s="243">
        <f t="shared" si="369"/>
        <v>0</v>
      </c>
      <c r="AK340" s="243">
        <f t="shared" si="370"/>
        <v>0</v>
      </c>
      <c r="AL340" s="243">
        <f t="shared" si="371"/>
        <v>0</v>
      </c>
      <c r="AN340" s="243">
        <v>21</v>
      </c>
      <c r="AO340" s="243">
        <f>H340*0.674383346425766</f>
        <v>0</v>
      </c>
      <c r="AP340" s="243">
        <f>H340*(1-0.674383346425766)</f>
        <v>0</v>
      </c>
      <c r="AQ340" s="245" t="s">
        <v>567</v>
      </c>
      <c r="AV340" s="243">
        <f t="shared" si="372"/>
        <v>0</v>
      </c>
      <c r="AW340" s="243">
        <f t="shared" si="373"/>
        <v>0</v>
      </c>
      <c r="AX340" s="243">
        <f t="shared" si="374"/>
        <v>0</v>
      </c>
      <c r="AY340" s="245" t="s">
        <v>580</v>
      </c>
      <c r="AZ340" s="245" t="s">
        <v>882</v>
      </c>
      <c r="BA340" s="232" t="s">
        <v>855</v>
      </c>
      <c r="BC340" s="243">
        <f t="shared" si="375"/>
        <v>0</v>
      </c>
      <c r="BD340" s="243">
        <f t="shared" si="376"/>
        <v>0</v>
      </c>
      <c r="BE340" s="243">
        <v>0</v>
      </c>
      <c r="BF340" s="243">
        <f>340</f>
        <v>340</v>
      </c>
      <c r="BH340" s="243">
        <f t="shared" si="377"/>
        <v>0</v>
      </c>
      <c r="BI340" s="243">
        <f t="shared" si="378"/>
        <v>0</v>
      </c>
      <c r="BJ340" s="243">
        <f t="shared" si="379"/>
        <v>0</v>
      </c>
      <c r="BK340" s="243"/>
      <c r="BL340" s="243">
        <v>732</v>
      </c>
      <c r="BW340" s="243">
        <v>21</v>
      </c>
    </row>
    <row r="341" spans="1:75" ht="13.5" customHeight="1">
      <c r="A341" s="207" t="s">
        <v>881</v>
      </c>
      <c r="B341" s="208" t="s">
        <v>852</v>
      </c>
      <c r="C341" s="208" t="s">
        <v>387</v>
      </c>
      <c r="D341" s="268" t="s">
        <v>388</v>
      </c>
      <c r="E341" s="260"/>
      <c r="F341" s="208" t="s">
        <v>68</v>
      </c>
      <c r="G341" s="243">
        <v>2</v>
      </c>
      <c r="H341" s="244">
        <v>0</v>
      </c>
      <c r="I341" s="244">
        <f t="shared" si="360"/>
        <v>0</v>
      </c>
      <c r="K341" s="231"/>
      <c r="Z341" s="243">
        <f t="shared" si="361"/>
        <v>0</v>
      </c>
      <c r="AB341" s="243">
        <f t="shared" si="362"/>
        <v>0</v>
      </c>
      <c r="AC341" s="243">
        <f t="shared" si="363"/>
        <v>0</v>
      </c>
      <c r="AD341" s="243">
        <f t="shared" si="364"/>
        <v>0</v>
      </c>
      <c r="AE341" s="243">
        <f t="shared" si="365"/>
        <v>0</v>
      </c>
      <c r="AF341" s="243">
        <f t="shared" si="366"/>
        <v>0</v>
      </c>
      <c r="AG341" s="243">
        <f t="shared" si="367"/>
        <v>0</v>
      </c>
      <c r="AH341" s="243">
        <f t="shared" si="368"/>
        <v>0</v>
      </c>
      <c r="AI341" s="232" t="s">
        <v>852</v>
      </c>
      <c r="AJ341" s="243">
        <f t="shared" si="369"/>
        <v>0</v>
      </c>
      <c r="AK341" s="243">
        <f t="shared" si="370"/>
        <v>0</v>
      </c>
      <c r="AL341" s="243">
        <f t="shared" si="371"/>
        <v>0</v>
      </c>
      <c r="AN341" s="243">
        <v>21</v>
      </c>
      <c r="AO341" s="243">
        <f>H341*0.532435331230284</f>
        <v>0</v>
      </c>
      <c r="AP341" s="243">
        <f>H341*(1-0.532435331230284)</f>
        <v>0</v>
      </c>
      <c r="AQ341" s="245" t="s">
        <v>567</v>
      </c>
      <c r="AV341" s="243">
        <f t="shared" si="372"/>
        <v>0</v>
      </c>
      <c r="AW341" s="243">
        <f t="shared" si="373"/>
        <v>0</v>
      </c>
      <c r="AX341" s="243">
        <f t="shared" si="374"/>
        <v>0</v>
      </c>
      <c r="AY341" s="245" t="s">
        <v>580</v>
      </c>
      <c r="AZ341" s="245" t="s">
        <v>882</v>
      </c>
      <c r="BA341" s="232" t="s">
        <v>855</v>
      </c>
      <c r="BC341" s="243">
        <f t="shared" si="375"/>
        <v>0</v>
      </c>
      <c r="BD341" s="243">
        <f t="shared" si="376"/>
        <v>0</v>
      </c>
      <c r="BE341" s="243">
        <v>0</v>
      </c>
      <c r="BF341" s="243">
        <f>341</f>
        <v>341</v>
      </c>
      <c r="BH341" s="243">
        <f t="shared" si="377"/>
        <v>0</v>
      </c>
      <c r="BI341" s="243">
        <f t="shared" si="378"/>
        <v>0</v>
      </c>
      <c r="BJ341" s="243">
        <f t="shared" si="379"/>
        <v>0</v>
      </c>
      <c r="BK341" s="243"/>
      <c r="BL341" s="243">
        <v>732</v>
      </c>
      <c r="BW341" s="243">
        <v>21</v>
      </c>
    </row>
    <row r="342" spans="1:75" ht="13.5" customHeight="1">
      <c r="A342" s="207" t="s">
        <v>883</v>
      </c>
      <c r="B342" s="208" t="s">
        <v>852</v>
      </c>
      <c r="C342" s="208" t="s">
        <v>179</v>
      </c>
      <c r="D342" s="268" t="s">
        <v>1330</v>
      </c>
      <c r="E342" s="260"/>
      <c r="F342" s="208" t="s">
        <v>21</v>
      </c>
      <c r="G342" s="243">
        <v>1</v>
      </c>
      <c r="H342" s="244">
        <v>0</v>
      </c>
      <c r="I342" s="244">
        <f t="shared" si="360"/>
        <v>0</v>
      </c>
      <c r="K342" s="231"/>
      <c r="Z342" s="243">
        <f t="shared" si="361"/>
        <v>0</v>
      </c>
      <c r="AB342" s="243">
        <f t="shared" si="362"/>
        <v>0</v>
      </c>
      <c r="AC342" s="243">
        <f t="shared" si="363"/>
        <v>0</v>
      </c>
      <c r="AD342" s="243">
        <f t="shared" si="364"/>
        <v>0</v>
      </c>
      <c r="AE342" s="243">
        <f t="shared" si="365"/>
        <v>0</v>
      </c>
      <c r="AF342" s="243">
        <f t="shared" si="366"/>
        <v>0</v>
      </c>
      <c r="AG342" s="243">
        <f t="shared" si="367"/>
        <v>0</v>
      </c>
      <c r="AH342" s="243">
        <f t="shared" si="368"/>
        <v>0</v>
      </c>
      <c r="AI342" s="232" t="s">
        <v>852</v>
      </c>
      <c r="AJ342" s="243">
        <f t="shared" si="369"/>
        <v>0</v>
      </c>
      <c r="AK342" s="243">
        <f t="shared" si="370"/>
        <v>0</v>
      </c>
      <c r="AL342" s="243">
        <f t="shared" si="371"/>
        <v>0</v>
      </c>
      <c r="AN342" s="243">
        <v>21</v>
      </c>
      <c r="AO342" s="243">
        <f>H342*0.974240082431736</f>
        <v>0</v>
      </c>
      <c r="AP342" s="243">
        <f>H342*(1-0.974240082431736)</f>
        <v>0</v>
      </c>
      <c r="AQ342" s="245" t="s">
        <v>567</v>
      </c>
      <c r="AV342" s="243">
        <f t="shared" si="372"/>
        <v>0</v>
      </c>
      <c r="AW342" s="243">
        <f t="shared" si="373"/>
        <v>0</v>
      </c>
      <c r="AX342" s="243">
        <f t="shared" si="374"/>
        <v>0</v>
      </c>
      <c r="AY342" s="245" t="s">
        <v>580</v>
      </c>
      <c r="AZ342" s="245" t="s">
        <v>882</v>
      </c>
      <c r="BA342" s="232" t="s">
        <v>855</v>
      </c>
      <c r="BC342" s="243">
        <f t="shared" si="375"/>
        <v>0</v>
      </c>
      <c r="BD342" s="243">
        <f t="shared" si="376"/>
        <v>0</v>
      </c>
      <c r="BE342" s="243">
        <v>0</v>
      </c>
      <c r="BF342" s="243">
        <f>342</f>
        <v>342</v>
      </c>
      <c r="BH342" s="243">
        <f t="shared" si="377"/>
        <v>0</v>
      </c>
      <c r="BI342" s="243">
        <f t="shared" si="378"/>
        <v>0</v>
      </c>
      <c r="BJ342" s="243">
        <f t="shared" si="379"/>
        <v>0</v>
      </c>
      <c r="BK342" s="243"/>
      <c r="BL342" s="243">
        <v>732</v>
      </c>
      <c r="BW342" s="243">
        <v>21</v>
      </c>
    </row>
    <row r="343" spans="1:75" ht="13.5" customHeight="1">
      <c r="A343" s="207" t="s">
        <v>884</v>
      </c>
      <c r="B343" s="208" t="s">
        <v>852</v>
      </c>
      <c r="C343" s="208" t="s">
        <v>390</v>
      </c>
      <c r="D343" s="268" t="s">
        <v>391</v>
      </c>
      <c r="E343" s="260"/>
      <c r="F343" s="208" t="s">
        <v>58</v>
      </c>
      <c r="G343" s="243">
        <v>1</v>
      </c>
      <c r="H343" s="244">
        <v>0</v>
      </c>
      <c r="I343" s="244">
        <f t="shared" si="360"/>
        <v>0</v>
      </c>
      <c r="K343" s="231"/>
      <c r="Z343" s="243">
        <f t="shared" si="361"/>
        <v>0</v>
      </c>
      <c r="AB343" s="243">
        <f t="shared" si="362"/>
        <v>0</v>
      </c>
      <c r="AC343" s="243">
        <f t="shared" si="363"/>
        <v>0</v>
      </c>
      <c r="AD343" s="243">
        <f t="shared" si="364"/>
        <v>0</v>
      </c>
      <c r="AE343" s="243">
        <f t="shared" si="365"/>
        <v>0</v>
      </c>
      <c r="AF343" s="243">
        <f t="shared" si="366"/>
        <v>0</v>
      </c>
      <c r="AG343" s="243">
        <f t="shared" si="367"/>
        <v>0</v>
      </c>
      <c r="AH343" s="243">
        <f t="shared" si="368"/>
        <v>0</v>
      </c>
      <c r="AI343" s="232" t="s">
        <v>852</v>
      </c>
      <c r="AJ343" s="243">
        <f t="shared" si="369"/>
        <v>0</v>
      </c>
      <c r="AK343" s="243">
        <f t="shared" si="370"/>
        <v>0</v>
      </c>
      <c r="AL343" s="243">
        <f t="shared" si="371"/>
        <v>0</v>
      </c>
      <c r="AN343" s="243">
        <v>21</v>
      </c>
      <c r="AO343" s="243">
        <f>H343*0.642985041792658</f>
        <v>0</v>
      </c>
      <c r="AP343" s="243">
        <f>H343*(1-0.642985041792658)</f>
        <v>0</v>
      </c>
      <c r="AQ343" s="245" t="s">
        <v>567</v>
      </c>
      <c r="AV343" s="243">
        <f t="shared" si="372"/>
        <v>0</v>
      </c>
      <c r="AW343" s="243">
        <f t="shared" si="373"/>
        <v>0</v>
      </c>
      <c r="AX343" s="243">
        <f t="shared" si="374"/>
        <v>0</v>
      </c>
      <c r="AY343" s="245" t="s">
        <v>580</v>
      </c>
      <c r="AZ343" s="245" t="s">
        <v>882</v>
      </c>
      <c r="BA343" s="232" t="s">
        <v>855</v>
      </c>
      <c r="BC343" s="243">
        <f t="shared" si="375"/>
        <v>0</v>
      </c>
      <c r="BD343" s="243">
        <f t="shared" si="376"/>
        <v>0</v>
      </c>
      <c r="BE343" s="243">
        <v>0</v>
      </c>
      <c r="BF343" s="243">
        <f>343</f>
        <v>343</v>
      </c>
      <c r="BH343" s="243">
        <f t="shared" si="377"/>
        <v>0</v>
      </c>
      <c r="BI343" s="243">
        <f t="shared" si="378"/>
        <v>0</v>
      </c>
      <c r="BJ343" s="243">
        <f t="shared" si="379"/>
        <v>0</v>
      </c>
      <c r="BK343" s="243"/>
      <c r="BL343" s="243">
        <v>732</v>
      </c>
      <c r="BW343" s="243">
        <v>21</v>
      </c>
    </row>
    <row r="344" spans="1:75" ht="13.5" customHeight="1">
      <c r="A344" s="207" t="s">
        <v>885</v>
      </c>
      <c r="B344" s="208" t="s">
        <v>852</v>
      </c>
      <c r="C344" s="208" t="s">
        <v>392</v>
      </c>
      <c r="D344" s="268" t="s">
        <v>1350</v>
      </c>
      <c r="E344" s="260"/>
      <c r="F344" s="208" t="s">
        <v>68</v>
      </c>
      <c r="G344" s="243">
        <v>1</v>
      </c>
      <c r="H344" s="244">
        <v>0</v>
      </c>
      <c r="I344" s="244">
        <f t="shared" si="360"/>
        <v>0</v>
      </c>
      <c r="K344" s="231"/>
      <c r="Z344" s="243">
        <f t="shared" si="361"/>
        <v>0</v>
      </c>
      <c r="AB344" s="243">
        <f t="shared" si="362"/>
        <v>0</v>
      </c>
      <c r="AC344" s="243">
        <f t="shared" si="363"/>
        <v>0</v>
      </c>
      <c r="AD344" s="243">
        <f t="shared" si="364"/>
        <v>0</v>
      </c>
      <c r="AE344" s="243">
        <f t="shared" si="365"/>
        <v>0</v>
      </c>
      <c r="AF344" s="243">
        <f t="shared" si="366"/>
        <v>0</v>
      </c>
      <c r="AG344" s="243">
        <f t="shared" si="367"/>
        <v>0</v>
      </c>
      <c r="AH344" s="243">
        <f t="shared" si="368"/>
        <v>0</v>
      </c>
      <c r="AI344" s="232" t="s">
        <v>852</v>
      </c>
      <c r="AJ344" s="243">
        <f t="shared" si="369"/>
        <v>0</v>
      </c>
      <c r="AK344" s="243">
        <f t="shared" si="370"/>
        <v>0</v>
      </c>
      <c r="AL344" s="243">
        <f t="shared" si="371"/>
        <v>0</v>
      </c>
      <c r="AN344" s="243">
        <v>21</v>
      </c>
      <c r="AO344" s="243">
        <f>H344*1</f>
        <v>0</v>
      </c>
      <c r="AP344" s="243">
        <f>H344*(1-1)</f>
        <v>0</v>
      </c>
      <c r="AQ344" s="245" t="s">
        <v>567</v>
      </c>
      <c r="AV344" s="243">
        <f t="shared" si="372"/>
        <v>0</v>
      </c>
      <c r="AW344" s="243">
        <f t="shared" si="373"/>
        <v>0</v>
      </c>
      <c r="AX344" s="243">
        <f t="shared" si="374"/>
        <v>0</v>
      </c>
      <c r="AY344" s="245" t="s">
        <v>580</v>
      </c>
      <c r="AZ344" s="245" t="s">
        <v>882</v>
      </c>
      <c r="BA344" s="232" t="s">
        <v>855</v>
      </c>
      <c r="BC344" s="243">
        <f t="shared" si="375"/>
        <v>0</v>
      </c>
      <c r="BD344" s="243">
        <f t="shared" si="376"/>
        <v>0</v>
      </c>
      <c r="BE344" s="243">
        <v>0</v>
      </c>
      <c r="BF344" s="243">
        <f>344</f>
        <v>344</v>
      </c>
      <c r="BH344" s="243">
        <f t="shared" si="377"/>
        <v>0</v>
      </c>
      <c r="BI344" s="243">
        <f t="shared" si="378"/>
        <v>0</v>
      </c>
      <c r="BJ344" s="243">
        <f t="shared" si="379"/>
        <v>0</v>
      </c>
      <c r="BK344" s="243"/>
      <c r="BL344" s="243">
        <v>732</v>
      </c>
      <c r="BW344" s="243">
        <v>21</v>
      </c>
    </row>
    <row r="345" spans="1:75" ht="15" customHeight="1">
      <c r="A345" s="238" t="s">
        <v>21</v>
      </c>
      <c r="B345" s="239" t="s">
        <v>852</v>
      </c>
      <c r="C345" s="239" t="s">
        <v>85</v>
      </c>
      <c r="D345" s="309" t="s">
        <v>86</v>
      </c>
      <c r="E345" s="310"/>
      <c r="F345" s="240" t="s">
        <v>20</v>
      </c>
      <c r="G345" s="240" t="s">
        <v>20</v>
      </c>
      <c r="H345" s="241" t="s">
        <v>20</v>
      </c>
      <c r="I345" s="242">
        <f>SUM(I346:I356)</f>
        <v>0</v>
      </c>
      <c r="K345" s="231"/>
      <c r="AI345" s="232" t="s">
        <v>852</v>
      </c>
      <c r="AS345" s="225">
        <f>SUM(AJ346:AJ356)</f>
        <v>0</v>
      </c>
      <c r="AT345" s="225">
        <f>SUM(AK346:AK356)</f>
        <v>0</v>
      </c>
      <c r="AU345" s="225">
        <f>SUM(AL346:AL356)</f>
        <v>0</v>
      </c>
    </row>
    <row r="346" spans="1:75" ht="13.5" customHeight="1">
      <c r="A346" s="207" t="s">
        <v>886</v>
      </c>
      <c r="B346" s="208" t="s">
        <v>852</v>
      </c>
      <c r="C346" s="208" t="s">
        <v>394</v>
      </c>
      <c r="D346" s="268" t="s">
        <v>395</v>
      </c>
      <c r="E346" s="260"/>
      <c r="F346" s="208" t="s">
        <v>68</v>
      </c>
      <c r="G346" s="243">
        <v>4</v>
      </c>
      <c r="H346" s="244">
        <v>0</v>
      </c>
      <c r="I346" s="244">
        <f t="shared" ref="I346:I356" si="380">G346*H346</f>
        <v>0</v>
      </c>
      <c r="K346" s="231"/>
      <c r="Z346" s="243">
        <f t="shared" ref="Z346:Z356" si="381">IF(AQ346="5",BJ346,0)</f>
        <v>0</v>
      </c>
      <c r="AB346" s="243">
        <f t="shared" ref="AB346:AB356" si="382">IF(AQ346="1",BH346,0)</f>
        <v>0</v>
      </c>
      <c r="AC346" s="243">
        <f t="shared" ref="AC346:AC356" si="383">IF(AQ346="1",BI346,0)</f>
        <v>0</v>
      </c>
      <c r="AD346" s="243">
        <f t="shared" ref="AD346:AD356" si="384">IF(AQ346="7",BH346,0)</f>
        <v>0</v>
      </c>
      <c r="AE346" s="243">
        <f t="shared" ref="AE346:AE356" si="385">IF(AQ346="7",BI346,0)</f>
        <v>0</v>
      </c>
      <c r="AF346" s="243">
        <f t="shared" ref="AF346:AF356" si="386">IF(AQ346="2",BH346,0)</f>
        <v>0</v>
      </c>
      <c r="AG346" s="243">
        <f t="shared" ref="AG346:AG356" si="387">IF(AQ346="2",BI346,0)</f>
        <v>0</v>
      </c>
      <c r="AH346" s="243">
        <f t="shared" ref="AH346:AH356" si="388">IF(AQ346="0",BJ346,0)</f>
        <v>0</v>
      </c>
      <c r="AI346" s="232" t="s">
        <v>852</v>
      </c>
      <c r="AJ346" s="243">
        <f t="shared" ref="AJ346:AJ356" si="389">IF(AN346=0,I346,0)</f>
        <v>0</v>
      </c>
      <c r="AK346" s="243">
        <f t="shared" ref="AK346:AK356" si="390">IF(AN346=12,I346,0)</f>
        <v>0</v>
      </c>
      <c r="AL346" s="243">
        <f t="shared" ref="AL346:AL356" si="391">IF(AN346=21,I346,0)</f>
        <v>0</v>
      </c>
      <c r="AN346" s="243">
        <v>21</v>
      </c>
      <c r="AO346" s="243">
        <f>H346*0.620309050772627</f>
        <v>0</v>
      </c>
      <c r="AP346" s="243">
        <f>H346*(1-0.620309050772627)</f>
        <v>0</v>
      </c>
      <c r="AQ346" s="245" t="s">
        <v>567</v>
      </c>
      <c r="AV346" s="243">
        <f t="shared" ref="AV346:AV356" si="392">AW346+AX346</f>
        <v>0</v>
      </c>
      <c r="AW346" s="243">
        <f t="shared" ref="AW346:AW356" si="393">G346*AO346</f>
        <v>0</v>
      </c>
      <c r="AX346" s="243">
        <f t="shared" ref="AX346:AX356" si="394">G346*AP346</f>
        <v>0</v>
      </c>
      <c r="AY346" s="245" t="s">
        <v>588</v>
      </c>
      <c r="AZ346" s="245" t="s">
        <v>882</v>
      </c>
      <c r="BA346" s="232" t="s">
        <v>855</v>
      </c>
      <c r="BC346" s="243">
        <f t="shared" ref="BC346:BC356" si="395">AW346+AX346</f>
        <v>0</v>
      </c>
      <c r="BD346" s="243">
        <f t="shared" ref="BD346:BD356" si="396">H346/(100-BE346)*100</f>
        <v>0</v>
      </c>
      <c r="BE346" s="243">
        <v>0</v>
      </c>
      <c r="BF346" s="243">
        <f>346</f>
        <v>346</v>
      </c>
      <c r="BH346" s="243">
        <f t="shared" ref="BH346:BH356" si="397">G346*AO346</f>
        <v>0</v>
      </c>
      <c r="BI346" s="243">
        <f t="shared" ref="BI346:BI356" si="398">G346*AP346</f>
        <v>0</v>
      </c>
      <c r="BJ346" s="243">
        <f t="shared" ref="BJ346:BJ356" si="399">G346*H346</f>
        <v>0</v>
      </c>
      <c r="BK346" s="243"/>
      <c r="BL346" s="243">
        <v>733</v>
      </c>
      <c r="BW346" s="243">
        <v>21</v>
      </c>
    </row>
    <row r="347" spans="1:75" ht="13.5" customHeight="1">
      <c r="A347" s="207" t="s">
        <v>887</v>
      </c>
      <c r="B347" s="208" t="s">
        <v>852</v>
      </c>
      <c r="C347" s="208" t="s">
        <v>396</v>
      </c>
      <c r="D347" s="268" t="s">
        <v>397</v>
      </c>
      <c r="E347" s="260"/>
      <c r="F347" s="208" t="s">
        <v>68</v>
      </c>
      <c r="G347" s="243">
        <v>4</v>
      </c>
      <c r="H347" s="244">
        <v>0</v>
      </c>
      <c r="I347" s="244">
        <f t="shared" si="380"/>
        <v>0</v>
      </c>
      <c r="K347" s="231"/>
      <c r="Z347" s="243">
        <f t="shared" si="381"/>
        <v>0</v>
      </c>
      <c r="AB347" s="243">
        <f t="shared" si="382"/>
        <v>0</v>
      </c>
      <c r="AC347" s="243">
        <f t="shared" si="383"/>
        <v>0</v>
      </c>
      <c r="AD347" s="243">
        <f t="shared" si="384"/>
        <v>0</v>
      </c>
      <c r="AE347" s="243">
        <f t="shared" si="385"/>
        <v>0</v>
      </c>
      <c r="AF347" s="243">
        <f t="shared" si="386"/>
        <v>0</v>
      </c>
      <c r="AG347" s="243">
        <f t="shared" si="387"/>
        <v>0</v>
      </c>
      <c r="AH347" s="243">
        <f t="shared" si="388"/>
        <v>0</v>
      </c>
      <c r="AI347" s="232" t="s">
        <v>852</v>
      </c>
      <c r="AJ347" s="243">
        <f t="shared" si="389"/>
        <v>0</v>
      </c>
      <c r="AK347" s="243">
        <f t="shared" si="390"/>
        <v>0</v>
      </c>
      <c r="AL347" s="243">
        <f t="shared" si="391"/>
        <v>0</v>
      </c>
      <c r="AN347" s="243">
        <v>21</v>
      </c>
      <c r="AO347" s="243">
        <f>H347*0.259191290824261</f>
        <v>0</v>
      </c>
      <c r="AP347" s="243">
        <f>H347*(1-0.259191290824261)</f>
        <v>0</v>
      </c>
      <c r="AQ347" s="245" t="s">
        <v>567</v>
      </c>
      <c r="AV347" s="243">
        <f t="shared" si="392"/>
        <v>0</v>
      </c>
      <c r="AW347" s="243">
        <f t="shared" si="393"/>
        <v>0</v>
      </c>
      <c r="AX347" s="243">
        <f t="shared" si="394"/>
        <v>0</v>
      </c>
      <c r="AY347" s="245" t="s">
        <v>588</v>
      </c>
      <c r="AZ347" s="245" t="s">
        <v>882</v>
      </c>
      <c r="BA347" s="232" t="s">
        <v>855</v>
      </c>
      <c r="BC347" s="243">
        <f t="shared" si="395"/>
        <v>0</v>
      </c>
      <c r="BD347" s="243">
        <f t="shared" si="396"/>
        <v>0</v>
      </c>
      <c r="BE347" s="243">
        <v>0</v>
      </c>
      <c r="BF347" s="243">
        <f>347</f>
        <v>347</v>
      </c>
      <c r="BH347" s="243">
        <f t="shared" si="397"/>
        <v>0</v>
      </c>
      <c r="BI347" s="243">
        <f t="shared" si="398"/>
        <v>0</v>
      </c>
      <c r="BJ347" s="243">
        <f t="shared" si="399"/>
        <v>0</v>
      </c>
      <c r="BK347" s="243"/>
      <c r="BL347" s="243">
        <v>733</v>
      </c>
      <c r="BW347" s="243">
        <v>21</v>
      </c>
    </row>
    <row r="348" spans="1:75" ht="13.5" customHeight="1">
      <c r="A348" s="207" t="s">
        <v>888</v>
      </c>
      <c r="B348" s="208" t="s">
        <v>852</v>
      </c>
      <c r="C348" s="208" t="s">
        <v>398</v>
      </c>
      <c r="D348" s="268" t="s">
        <v>399</v>
      </c>
      <c r="E348" s="260"/>
      <c r="F348" s="208" t="s">
        <v>68</v>
      </c>
      <c r="G348" s="243">
        <v>4</v>
      </c>
      <c r="H348" s="244">
        <v>0</v>
      </c>
      <c r="I348" s="244">
        <f t="shared" si="380"/>
        <v>0</v>
      </c>
      <c r="K348" s="231"/>
      <c r="Z348" s="243">
        <f t="shared" si="381"/>
        <v>0</v>
      </c>
      <c r="AB348" s="243">
        <f t="shared" si="382"/>
        <v>0</v>
      </c>
      <c r="AC348" s="243">
        <f t="shared" si="383"/>
        <v>0</v>
      </c>
      <c r="AD348" s="243">
        <f t="shared" si="384"/>
        <v>0</v>
      </c>
      <c r="AE348" s="243">
        <f t="shared" si="385"/>
        <v>0</v>
      </c>
      <c r="AF348" s="243">
        <f t="shared" si="386"/>
        <v>0</v>
      </c>
      <c r="AG348" s="243">
        <f t="shared" si="387"/>
        <v>0</v>
      </c>
      <c r="AH348" s="243">
        <f t="shared" si="388"/>
        <v>0</v>
      </c>
      <c r="AI348" s="232" t="s">
        <v>852</v>
      </c>
      <c r="AJ348" s="243">
        <f t="shared" si="389"/>
        <v>0</v>
      </c>
      <c r="AK348" s="243">
        <f t="shared" si="390"/>
        <v>0</v>
      </c>
      <c r="AL348" s="243">
        <f t="shared" si="391"/>
        <v>0</v>
      </c>
      <c r="AN348" s="243">
        <v>21</v>
      </c>
      <c r="AO348" s="243">
        <f>H348*0.345851428571429</f>
        <v>0</v>
      </c>
      <c r="AP348" s="243">
        <f>H348*(1-0.345851428571429)</f>
        <v>0</v>
      </c>
      <c r="AQ348" s="245" t="s">
        <v>567</v>
      </c>
      <c r="AV348" s="243">
        <f t="shared" si="392"/>
        <v>0</v>
      </c>
      <c r="AW348" s="243">
        <f t="shared" si="393"/>
        <v>0</v>
      </c>
      <c r="AX348" s="243">
        <f t="shared" si="394"/>
        <v>0</v>
      </c>
      <c r="AY348" s="245" t="s">
        <v>588</v>
      </c>
      <c r="AZ348" s="245" t="s">
        <v>882</v>
      </c>
      <c r="BA348" s="232" t="s">
        <v>855</v>
      </c>
      <c r="BC348" s="243">
        <f t="shared" si="395"/>
        <v>0</v>
      </c>
      <c r="BD348" s="243">
        <f t="shared" si="396"/>
        <v>0</v>
      </c>
      <c r="BE348" s="243">
        <v>0</v>
      </c>
      <c r="BF348" s="243">
        <f>348</f>
        <v>348</v>
      </c>
      <c r="BH348" s="243">
        <f t="shared" si="397"/>
        <v>0</v>
      </c>
      <c r="BI348" s="243">
        <f t="shared" si="398"/>
        <v>0</v>
      </c>
      <c r="BJ348" s="243">
        <f t="shared" si="399"/>
        <v>0</v>
      </c>
      <c r="BK348" s="243"/>
      <c r="BL348" s="243">
        <v>733</v>
      </c>
      <c r="BW348" s="243">
        <v>21</v>
      </c>
    </row>
    <row r="349" spans="1:75" ht="13.5" customHeight="1">
      <c r="A349" s="207" t="s">
        <v>889</v>
      </c>
      <c r="B349" s="208" t="s">
        <v>852</v>
      </c>
      <c r="C349" s="208" t="s">
        <v>400</v>
      </c>
      <c r="D349" s="268" t="s">
        <v>401</v>
      </c>
      <c r="E349" s="260"/>
      <c r="F349" s="208" t="s">
        <v>63</v>
      </c>
      <c r="G349" s="243">
        <v>12</v>
      </c>
      <c r="H349" s="244">
        <v>0</v>
      </c>
      <c r="I349" s="244">
        <f t="shared" si="380"/>
        <v>0</v>
      </c>
      <c r="K349" s="231"/>
      <c r="Z349" s="243">
        <f t="shared" si="381"/>
        <v>0</v>
      </c>
      <c r="AB349" s="243">
        <f t="shared" si="382"/>
        <v>0</v>
      </c>
      <c r="AC349" s="243">
        <f t="shared" si="383"/>
        <v>0</v>
      </c>
      <c r="AD349" s="243">
        <f t="shared" si="384"/>
        <v>0</v>
      </c>
      <c r="AE349" s="243">
        <f t="shared" si="385"/>
        <v>0</v>
      </c>
      <c r="AF349" s="243">
        <f t="shared" si="386"/>
        <v>0</v>
      </c>
      <c r="AG349" s="243">
        <f t="shared" si="387"/>
        <v>0</v>
      </c>
      <c r="AH349" s="243">
        <f t="shared" si="388"/>
        <v>0</v>
      </c>
      <c r="AI349" s="232" t="s">
        <v>852</v>
      </c>
      <c r="AJ349" s="243">
        <f t="shared" si="389"/>
        <v>0</v>
      </c>
      <c r="AK349" s="243">
        <f t="shared" si="390"/>
        <v>0</v>
      </c>
      <c r="AL349" s="243">
        <f t="shared" si="391"/>
        <v>0</v>
      </c>
      <c r="AN349" s="243">
        <v>21</v>
      </c>
      <c r="AO349" s="243">
        <f>H349*0.212764227642276</f>
        <v>0</v>
      </c>
      <c r="AP349" s="243">
        <f>H349*(1-0.212764227642276)</f>
        <v>0</v>
      </c>
      <c r="AQ349" s="245" t="s">
        <v>567</v>
      </c>
      <c r="AV349" s="243">
        <f t="shared" si="392"/>
        <v>0</v>
      </c>
      <c r="AW349" s="243">
        <f t="shared" si="393"/>
        <v>0</v>
      </c>
      <c r="AX349" s="243">
        <f t="shared" si="394"/>
        <v>0</v>
      </c>
      <c r="AY349" s="245" t="s">
        <v>588</v>
      </c>
      <c r="AZ349" s="245" t="s">
        <v>882</v>
      </c>
      <c r="BA349" s="232" t="s">
        <v>855</v>
      </c>
      <c r="BC349" s="243">
        <f t="shared" si="395"/>
        <v>0</v>
      </c>
      <c r="BD349" s="243">
        <f t="shared" si="396"/>
        <v>0</v>
      </c>
      <c r="BE349" s="243">
        <v>0</v>
      </c>
      <c r="BF349" s="243">
        <f>349</f>
        <v>349</v>
      </c>
      <c r="BH349" s="243">
        <f t="shared" si="397"/>
        <v>0</v>
      </c>
      <c r="BI349" s="243">
        <f t="shared" si="398"/>
        <v>0</v>
      </c>
      <c r="BJ349" s="243">
        <f t="shared" si="399"/>
        <v>0</v>
      </c>
      <c r="BK349" s="243"/>
      <c r="BL349" s="243">
        <v>733</v>
      </c>
      <c r="BW349" s="243">
        <v>21</v>
      </c>
    </row>
    <row r="350" spans="1:75" ht="13.5" customHeight="1">
      <c r="A350" s="207" t="s">
        <v>890</v>
      </c>
      <c r="B350" s="208" t="s">
        <v>852</v>
      </c>
      <c r="C350" s="208" t="s">
        <v>402</v>
      </c>
      <c r="D350" s="268" t="s">
        <v>403</v>
      </c>
      <c r="E350" s="260"/>
      <c r="F350" s="208" t="s">
        <v>63</v>
      </c>
      <c r="G350" s="243">
        <v>6</v>
      </c>
      <c r="H350" s="244">
        <v>0</v>
      </c>
      <c r="I350" s="244">
        <f t="shared" si="380"/>
        <v>0</v>
      </c>
      <c r="K350" s="231"/>
      <c r="Z350" s="243">
        <f t="shared" si="381"/>
        <v>0</v>
      </c>
      <c r="AB350" s="243">
        <f t="shared" si="382"/>
        <v>0</v>
      </c>
      <c r="AC350" s="243">
        <f t="shared" si="383"/>
        <v>0</v>
      </c>
      <c r="AD350" s="243">
        <f t="shared" si="384"/>
        <v>0</v>
      </c>
      <c r="AE350" s="243">
        <f t="shared" si="385"/>
        <v>0</v>
      </c>
      <c r="AF350" s="243">
        <f t="shared" si="386"/>
        <v>0</v>
      </c>
      <c r="AG350" s="243">
        <f t="shared" si="387"/>
        <v>0</v>
      </c>
      <c r="AH350" s="243">
        <f t="shared" si="388"/>
        <v>0</v>
      </c>
      <c r="AI350" s="232" t="s">
        <v>852</v>
      </c>
      <c r="AJ350" s="243">
        <f t="shared" si="389"/>
        <v>0</v>
      </c>
      <c r="AK350" s="243">
        <f t="shared" si="390"/>
        <v>0</v>
      </c>
      <c r="AL350" s="243">
        <f t="shared" si="391"/>
        <v>0</v>
      </c>
      <c r="AN350" s="243">
        <v>21</v>
      </c>
      <c r="AO350" s="243">
        <f>H350*0.58344860710855</f>
        <v>0</v>
      </c>
      <c r="AP350" s="243">
        <f>H350*(1-0.58344860710855)</f>
        <v>0</v>
      </c>
      <c r="AQ350" s="245" t="s">
        <v>567</v>
      </c>
      <c r="AV350" s="243">
        <f t="shared" si="392"/>
        <v>0</v>
      </c>
      <c r="AW350" s="243">
        <f t="shared" si="393"/>
        <v>0</v>
      </c>
      <c r="AX350" s="243">
        <f t="shared" si="394"/>
        <v>0</v>
      </c>
      <c r="AY350" s="245" t="s">
        <v>588</v>
      </c>
      <c r="AZ350" s="245" t="s">
        <v>882</v>
      </c>
      <c r="BA350" s="232" t="s">
        <v>855</v>
      </c>
      <c r="BC350" s="243">
        <f t="shared" si="395"/>
        <v>0</v>
      </c>
      <c r="BD350" s="243">
        <f t="shared" si="396"/>
        <v>0</v>
      </c>
      <c r="BE350" s="243">
        <v>0</v>
      </c>
      <c r="BF350" s="243">
        <f>350</f>
        <v>350</v>
      </c>
      <c r="BH350" s="243">
        <f t="shared" si="397"/>
        <v>0</v>
      </c>
      <c r="BI350" s="243">
        <f t="shared" si="398"/>
        <v>0</v>
      </c>
      <c r="BJ350" s="243">
        <f t="shared" si="399"/>
        <v>0</v>
      </c>
      <c r="BK350" s="243"/>
      <c r="BL350" s="243">
        <v>733</v>
      </c>
      <c r="BW350" s="243">
        <v>21</v>
      </c>
    </row>
    <row r="351" spans="1:75" ht="13.5" customHeight="1">
      <c r="A351" s="207" t="s">
        <v>891</v>
      </c>
      <c r="B351" s="208" t="s">
        <v>852</v>
      </c>
      <c r="C351" s="208" t="s">
        <v>404</v>
      </c>
      <c r="D351" s="268" t="s">
        <v>405</v>
      </c>
      <c r="E351" s="260"/>
      <c r="F351" s="208" t="s">
        <v>63</v>
      </c>
      <c r="G351" s="243">
        <v>8</v>
      </c>
      <c r="H351" s="244">
        <v>0</v>
      </c>
      <c r="I351" s="244">
        <f t="shared" si="380"/>
        <v>0</v>
      </c>
      <c r="K351" s="231"/>
      <c r="Z351" s="243">
        <f t="shared" si="381"/>
        <v>0</v>
      </c>
      <c r="AB351" s="243">
        <f t="shared" si="382"/>
        <v>0</v>
      </c>
      <c r="AC351" s="243">
        <f t="shared" si="383"/>
        <v>0</v>
      </c>
      <c r="AD351" s="243">
        <f t="shared" si="384"/>
        <v>0</v>
      </c>
      <c r="AE351" s="243">
        <f t="shared" si="385"/>
        <v>0</v>
      </c>
      <c r="AF351" s="243">
        <f t="shared" si="386"/>
        <v>0</v>
      </c>
      <c r="AG351" s="243">
        <f t="shared" si="387"/>
        <v>0</v>
      </c>
      <c r="AH351" s="243">
        <f t="shared" si="388"/>
        <v>0</v>
      </c>
      <c r="AI351" s="232" t="s">
        <v>852</v>
      </c>
      <c r="AJ351" s="243">
        <f t="shared" si="389"/>
        <v>0</v>
      </c>
      <c r="AK351" s="243">
        <f t="shared" si="390"/>
        <v>0</v>
      </c>
      <c r="AL351" s="243">
        <f t="shared" si="391"/>
        <v>0</v>
      </c>
      <c r="AN351" s="243">
        <v>21</v>
      </c>
      <c r="AO351" s="243">
        <f>H351*0.144233333333333</f>
        <v>0</v>
      </c>
      <c r="AP351" s="243">
        <f>H351*(1-0.144233333333333)</f>
        <v>0</v>
      </c>
      <c r="AQ351" s="245" t="s">
        <v>567</v>
      </c>
      <c r="AV351" s="243">
        <f t="shared" si="392"/>
        <v>0</v>
      </c>
      <c r="AW351" s="243">
        <f t="shared" si="393"/>
        <v>0</v>
      </c>
      <c r="AX351" s="243">
        <f t="shared" si="394"/>
        <v>0</v>
      </c>
      <c r="AY351" s="245" t="s">
        <v>588</v>
      </c>
      <c r="AZ351" s="245" t="s">
        <v>882</v>
      </c>
      <c r="BA351" s="232" t="s">
        <v>855</v>
      </c>
      <c r="BC351" s="243">
        <f t="shared" si="395"/>
        <v>0</v>
      </c>
      <c r="BD351" s="243">
        <f t="shared" si="396"/>
        <v>0</v>
      </c>
      <c r="BE351" s="243">
        <v>0</v>
      </c>
      <c r="BF351" s="243">
        <f>351</f>
        <v>351</v>
      </c>
      <c r="BH351" s="243">
        <f t="shared" si="397"/>
        <v>0</v>
      </c>
      <c r="BI351" s="243">
        <f t="shared" si="398"/>
        <v>0</v>
      </c>
      <c r="BJ351" s="243">
        <f t="shared" si="399"/>
        <v>0</v>
      </c>
      <c r="BK351" s="243"/>
      <c r="BL351" s="243">
        <v>733</v>
      </c>
      <c r="BW351" s="243">
        <v>21</v>
      </c>
    </row>
    <row r="352" spans="1:75" ht="13.5" customHeight="1">
      <c r="A352" s="207" t="s">
        <v>892</v>
      </c>
      <c r="B352" s="208" t="s">
        <v>852</v>
      </c>
      <c r="C352" s="208" t="s">
        <v>406</v>
      </c>
      <c r="D352" s="268" t="s">
        <v>407</v>
      </c>
      <c r="E352" s="260"/>
      <c r="F352" s="208" t="s">
        <v>63</v>
      </c>
      <c r="G352" s="243">
        <v>0.5</v>
      </c>
      <c r="H352" s="244">
        <v>0</v>
      </c>
      <c r="I352" s="244">
        <f t="shared" si="380"/>
        <v>0</v>
      </c>
      <c r="K352" s="231"/>
      <c r="Z352" s="243">
        <f t="shared" si="381"/>
        <v>0</v>
      </c>
      <c r="AB352" s="243">
        <f t="shared" si="382"/>
        <v>0</v>
      </c>
      <c r="AC352" s="243">
        <f t="shared" si="383"/>
        <v>0</v>
      </c>
      <c r="AD352" s="243">
        <f t="shared" si="384"/>
        <v>0</v>
      </c>
      <c r="AE352" s="243">
        <f t="shared" si="385"/>
        <v>0</v>
      </c>
      <c r="AF352" s="243">
        <f t="shared" si="386"/>
        <v>0</v>
      </c>
      <c r="AG352" s="243">
        <f t="shared" si="387"/>
        <v>0</v>
      </c>
      <c r="AH352" s="243">
        <f t="shared" si="388"/>
        <v>0</v>
      </c>
      <c r="AI352" s="232" t="s">
        <v>852</v>
      </c>
      <c r="AJ352" s="243">
        <f t="shared" si="389"/>
        <v>0</v>
      </c>
      <c r="AK352" s="243">
        <f t="shared" si="390"/>
        <v>0</v>
      </c>
      <c r="AL352" s="243">
        <f t="shared" si="391"/>
        <v>0</v>
      </c>
      <c r="AN352" s="243">
        <v>21</v>
      </c>
      <c r="AO352" s="243">
        <f>H352*0.0775828460038986</f>
        <v>0</v>
      </c>
      <c r="AP352" s="243">
        <f>H352*(1-0.0775828460038986)</f>
        <v>0</v>
      </c>
      <c r="AQ352" s="245" t="s">
        <v>567</v>
      </c>
      <c r="AV352" s="243">
        <f t="shared" si="392"/>
        <v>0</v>
      </c>
      <c r="AW352" s="243">
        <f t="shared" si="393"/>
        <v>0</v>
      </c>
      <c r="AX352" s="243">
        <f t="shared" si="394"/>
        <v>0</v>
      </c>
      <c r="AY352" s="245" t="s">
        <v>588</v>
      </c>
      <c r="AZ352" s="245" t="s">
        <v>882</v>
      </c>
      <c r="BA352" s="232" t="s">
        <v>855</v>
      </c>
      <c r="BC352" s="243">
        <f t="shared" si="395"/>
        <v>0</v>
      </c>
      <c r="BD352" s="243">
        <f t="shared" si="396"/>
        <v>0</v>
      </c>
      <c r="BE352" s="243">
        <v>0</v>
      </c>
      <c r="BF352" s="243">
        <f>352</f>
        <v>352</v>
      </c>
      <c r="BH352" s="243">
        <f t="shared" si="397"/>
        <v>0</v>
      </c>
      <c r="BI352" s="243">
        <f t="shared" si="398"/>
        <v>0</v>
      </c>
      <c r="BJ352" s="243">
        <f t="shared" si="399"/>
        <v>0</v>
      </c>
      <c r="BK352" s="243"/>
      <c r="BL352" s="243">
        <v>733</v>
      </c>
      <c r="BW352" s="243">
        <v>21</v>
      </c>
    </row>
    <row r="353" spans="1:75" ht="13.5" customHeight="1">
      <c r="A353" s="207" t="s">
        <v>893</v>
      </c>
      <c r="B353" s="208" t="s">
        <v>852</v>
      </c>
      <c r="C353" s="208" t="s">
        <v>189</v>
      </c>
      <c r="D353" s="268" t="s">
        <v>190</v>
      </c>
      <c r="E353" s="260"/>
      <c r="F353" s="208" t="s">
        <v>63</v>
      </c>
      <c r="G353" s="243">
        <v>14.5</v>
      </c>
      <c r="H353" s="244">
        <v>0</v>
      </c>
      <c r="I353" s="244">
        <f t="shared" si="380"/>
        <v>0</v>
      </c>
      <c r="K353" s="231"/>
      <c r="Z353" s="243">
        <f t="shared" si="381"/>
        <v>0</v>
      </c>
      <c r="AB353" s="243">
        <f t="shared" si="382"/>
        <v>0</v>
      </c>
      <c r="AC353" s="243">
        <f t="shared" si="383"/>
        <v>0</v>
      </c>
      <c r="AD353" s="243">
        <f t="shared" si="384"/>
        <v>0</v>
      </c>
      <c r="AE353" s="243">
        <f t="shared" si="385"/>
        <v>0</v>
      </c>
      <c r="AF353" s="243">
        <f t="shared" si="386"/>
        <v>0</v>
      </c>
      <c r="AG353" s="243">
        <f t="shared" si="387"/>
        <v>0</v>
      </c>
      <c r="AH353" s="243">
        <f t="shared" si="388"/>
        <v>0</v>
      </c>
      <c r="AI353" s="232" t="s">
        <v>852</v>
      </c>
      <c r="AJ353" s="243">
        <f t="shared" si="389"/>
        <v>0</v>
      </c>
      <c r="AK353" s="243">
        <f t="shared" si="390"/>
        <v>0</v>
      </c>
      <c r="AL353" s="243">
        <f t="shared" si="391"/>
        <v>0</v>
      </c>
      <c r="AN353" s="243">
        <v>21</v>
      </c>
      <c r="AO353" s="243">
        <f>H353*0</f>
        <v>0</v>
      </c>
      <c r="AP353" s="243">
        <f>H353*(1-0)</f>
        <v>0</v>
      </c>
      <c r="AQ353" s="245" t="s">
        <v>567</v>
      </c>
      <c r="AV353" s="243">
        <f t="shared" si="392"/>
        <v>0</v>
      </c>
      <c r="AW353" s="243">
        <f t="shared" si="393"/>
        <v>0</v>
      </c>
      <c r="AX353" s="243">
        <f t="shared" si="394"/>
        <v>0</v>
      </c>
      <c r="AY353" s="245" t="s">
        <v>588</v>
      </c>
      <c r="AZ353" s="245" t="s">
        <v>882</v>
      </c>
      <c r="BA353" s="232" t="s">
        <v>855</v>
      </c>
      <c r="BC353" s="243">
        <f t="shared" si="395"/>
        <v>0</v>
      </c>
      <c r="BD353" s="243">
        <f t="shared" si="396"/>
        <v>0</v>
      </c>
      <c r="BE353" s="243">
        <v>0</v>
      </c>
      <c r="BF353" s="243">
        <f>353</f>
        <v>353</v>
      </c>
      <c r="BH353" s="243">
        <f t="shared" si="397"/>
        <v>0</v>
      </c>
      <c r="BI353" s="243">
        <f t="shared" si="398"/>
        <v>0</v>
      </c>
      <c r="BJ353" s="243">
        <f t="shared" si="399"/>
        <v>0</v>
      </c>
      <c r="BK353" s="243"/>
      <c r="BL353" s="243">
        <v>733</v>
      </c>
      <c r="BW353" s="243">
        <v>21</v>
      </c>
    </row>
    <row r="354" spans="1:75" ht="13.5" customHeight="1">
      <c r="A354" s="207" t="s">
        <v>894</v>
      </c>
      <c r="B354" s="208" t="s">
        <v>852</v>
      </c>
      <c r="C354" s="208" t="s">
        <v>408</v>
      </c>
      <c r="D354" s="268" t="s">
        <v>1351</v>
      </c>
      <c r="E354" s="260"/>
      <c r="F354" s="208" t="s">
        <v>63</v>
      </c>
      <c r="G354" s="243">
        <v>6</v>
      </c>
      <c r="H354" s="244">
        <v>0</v>
      </c>
      <c r="I354" s="244">
        <f t="shared" si="380"/>
        <v>0</v>
      </c>
      <c r="K354" s="231"/>
      <c r="Z354" s="243">
        <f t="shared" si="381"/>
        <v>0</v>
      </c>
      <c r="AB354" s="243">
        <f t="shared" si="382"/>
        <v>0</v>
      </c>
      <c r="AC354" s="243">
        <f t="shared" si="383"/>
        <v>0</v>
      </c>
      <c r="AD354" s="243">
        <f t="shared" si="384"/>
        <v>0</v>
      </c>
      <c r="AE354" s="243">
        <f t="shared" si="385"/>
        <v>0</v>
      </c>
      <c r="AF354" s="243">
        <f t="shared" si="386"/>
        <v>0</v>
      </c>
      <c r="AG354" s="243">
        <f t="shared" si="387"/>
        <v>0</v>
      </c>
      <c r="AH354" s="243">
        <f t="shared" si="388"/>
        <v>0</v>
      </c>
      <c r="AI354" s="232" t="s">
        <v>852</v>
      </c>
      <c r="AJ354" s="243">
        <f t="shared" si="389"/>
        <v>0</v>
      </c>
      <c r="AK354" s="243">
        <f t="shared" si="390"/>
        <v>0</v>
      </c>
      <c r="AL354" s="243">
        <f t="shared" si="391"/>
        <v>0</v>
      </c>
      <c r="AN354" s="243">
        <v>21</v>
      </c>
      <c r="AO354" s="243">
        <f>H354*1</f>
        <v>0</v>
      </c>
      <c r="AP354" s="243">
        <f>H354*(1-1)</f>
        <v>0</v>
      </c>
      <c r="AQ354" s="245" t="s">
        <v>567</v>
      </c>
      <c r="AV354" s="243">
        <f t="shared" si="392"/>
        <v>0</v>
      </c>
      <c r="AW354" s="243">
        <f t="shared" si="393"/>
        <v>0</v>
      </c>
      <c r="AX354" s="243">
        <f t="shared" si="394"/>
        <v>0</v>
      </c>
      <c r="AY354" s="245" t="s">
        <v>588</v>
      </c>
      <c r="AZ354" s="245" t="s">
        <v>882</v>
      </c>
      <c r="BA354" s="232" t="s">
        <v>855</v>
      </c>
      <c r="BC354" s="243">
        <f t="shared" si="395"/>
        <v>0</v>
      </c>
      <c r="BD354" s="243">
        <f t="shared" si="396"/>
        <v>0</v>
      </c>
      <c r="BE354" s="243">
        <v>0</v>
      </c>
      <c r="BF354" s="243">
        <f>354</f>
        <v>354</v>
      </c>
      <c r="BH354" s="243">
        <f t="shared" si="397"/>
        <v>0</v>
      </c>
      <c r="BI354" s="243">
        <f t="shared" si="398"/>
        <v>0</v>
      </c>
      <c r="BJ354" s="243">
        <f t="shared" si="399"/>
        <v>0</v>
      </c>
      <c r="BK354" s="243"/>
      <c r="BL354" s="243">
        <v>733</v>
      </c>
      <c r="BW354" s="243">
        <v>21</v>
      </c>
    </row>
    <row r="355" spans="1:75" ht="13.5" customHeight="1">
      <c r="A355" s="207" t="s">
        <v>895</v>
      </c>
      <c r="B355" s="208" t="s">
        <v>852</v>
      </c>
      <c r="C355" s="208" t="s">
        <v>410</v>
      </c>
      <c r="D355" s="268" t="s">
        <v>1352</v>
      </c>
      <c r="E355" s="260"/>
      <c r="F355" s="208" t="s">
        <v>63</v>
      </c>
      <c r="G355" s="243">
        <v>8</v>
      </c>
      <c r="H355" s="244">
        <v>0</v>
      </c>
      <c r="I355" s="244">
        <f t="shared" si="380"/>
        <v>0</v>
      </c>
      <c r="K355" s="231"/>
      <c r="Z355" s="243">
        <f t="shared" si="381"/>
        <v>0</v>
      </c>
      <c r="AB355" s="243">
        <f t="shared" si="382"/>
        <v>0</v>
      </c>
      <c r="AC355" s="243">
        <f t="shared" si="383"/>
        <v>0</v>
      </c>
      <c r="AD355" s="243">
        <f t="shared" si="384"/>
        <v>0</v>
      </c>
      <c r="AE355" s="243">
        <f t="shared" si="385"/>
        <v>0</v>
      </c>
      <c r="AF355" s="243">
        <f t="shared" si="386"/>
        <v>0</v>
      </c>
      <c r="AG355" s="243">
        <f t="shared" si="387"/>
        <v>0</v>
      </c>
      <c r="AH355" s="243">
        <f t="shared" si="388"/>
        <v>0</v>
      </c>
      <c r="AI355" s="232" t="s">
        <v>852</v>
      </c>
      <c r="AJ355" s="243">
        <f t="shared" si="389"/>
        <v>0</v>
      </c>
      <c r="AK355" s="243">
        <f t="shared" si="390"/>
        <v>0</v>
      </c>
      <c r="AL355" s="243">
        <f t="shared" si="391"/>
        <v>0</v>
      </c>
      <c r="AN355" s="243">
        <v>21</v>
      </c>
      <c r="AO355" s="243">
        <f>H355*1</f>
        <v>0</v>
      </c>
      <c r="AP355" s="243">
        <f>H355*(1-1)</f>
        <v>0</v>
      </c>
      <c r="AQ355" s="245" t="s">
        <v>567</v>
      </c>
      <c r="AV355" s="243">
        <f t="shared" si="392"/>
        <v>0</v>
      </c>
      <c r="AW355" s="243">
        <f t="shared" si="393"/>
        <v>0</v>
      </c>
      <c r="AX355" s="243">
        <f t="shared" si="394"/>
        <v>0</v>
      </c>
      <c r="AY355" s="245" t="s">
        <v>588</v>
      </c>
      <c r="AZ355" s="245" t="s">
        <v>882</v>
      </c>
      <c r="BA355" s="232" t="s">
        <v>855</v>
      </c>
      <c r="BC355" s="243">
        <f t="shared" si="395"/>
        <v>0</v>
      </c>
      <c r="BD355" s="243">
        <f t="shared" si="396"/>
        <v>0</v>
      </c>
      <c r="BE355" s="243">
        <v>0</v>
      </c>
      <c r="BF355" s="243">
        <f>355</f>
        <v>355</v>
      </c>
      <c r="BH355" s="243">
        <f t="shared" si="397"/>
        <v>0</v>
      </c>
      <c r="BI355" s="243">
        <f t="shared" si="398"/>
        <v>0</v>
      </c>
      <c r="BJ355" s="243">
        <f t="shared" si="399"/>
        <v>0</v>
      </c>
      <c r="BK355" s="243"/>
      <c r="BL355" s="243">
        <v>733</v>
      </c>
      <c r="BW355" s="243">
        <v>21</v>
      </c>
    </row>
    <row r="356" spans="1:75" ht="13.5" customHeight="1">
      <c r="A356" s="207" t="s">
        <v>896</v>
      </c>
      <c r="B356" s="208" t="s">
        <v>852</v>
      </c>
      <c r="C356" s="208" t="s">
        <v>412</v>
      </c>
      <c r="D356" s="268" t="s">
        <v>1353</v>
      </c>
      <c r="E356" s="260"/>
      <c r="F356" s="208" t="s">
        <v>63</v>
      </c>
      <c r="G356" s="243">
        <v>0.5</v>
      </c>
      <c r="H356" s="244">
        <v>0</v>
      </c>
      <c r="I356" s="244">
        <f t="shared" si="380"/>
        <v>0</v>
      </c>
      <c r="K356" s="231"/>
      <c r="Z356" s="243">
        <f t="shared" si="381"/>
        <v>0</v>
      </c>
      <c r="AB356" s="243">
        <f t="shared" si="382"/>
        <v>0</v>
      </c>
      <c r="AC356" s="243">
        <f t="shared" si="383"/>
        <v>0</v>
      </c>
      <c r="AD356" s="243">
        <f t="shared" si="384"/>
        <v>0</v>
      </c>
      <c r="AE356" s="243">
        <f t="shared" si="385"/>
        <v>0</v>
      </c>
      <c r="AF356" s="243">
        <f t="shared" si="386"/>
        <v>0</v>
      </c>
      <c r="AG356" s="243">
        <f t="shared" si="387"/>
        <v>0</v>
      </c>
      <c r="AH356" s="243">
        <f t="shared" si="388"/>
        <v>0</v>
      </c>
      <c r="AI356" s="232" t="s">
        <v>852</v>
      </c>
      <c r="AJ356" s="243">
        <f t="shared" si="389"/>
        <v>0</v>
      </c>
      <c r="AK356" s="243">
        <f t="shared" si="390"/>
        <v>0</v>
      </c>
      <c r="AL356" s="243">
        <f t="shared" si="391"/>
        <v>0</v>
      </c>
      <c r="AN356" s="243">
        <v>21</v>
      </c>
      <c r="AO356" s="243">
        <f>H356*1</f>
        <v>0</v>
      </c>
      <c r="AP356" s="243">
        <f>H356*(1-1)</f>
        <v>0</v>
      </c>
      <c r="AQ356" s="245" t="s">
        <v>567</v>
      </c>
      <c r="AV356" s="243">
        <f t="shared" si="392"/>
        <v>0</v>
      </c>
      <c r="AW356" s="243">
        <f t="shared" si="393"/>
        <v>0</v>
      </c>
      <c r="AX356" s="243">
        <f t="shared" si="394"/>
        <v>0</v>
      </c>
      <c r="AY356" s="245" t="s">
        <v>588</v>
      </c>
      <c r="AZ356" s="245" t="s">
        <v>882</v>
      </c>
      <c r="BA356" s="232" t="s">
        <v>855</v>
      </c>
      <c r="BC356" s="243">
        <f t="shared" si="395"/>
        <v>0</v>
      </c>
      <c r="BD356" s="243">
        <f t="shared" si="396"/>
        <v>0</v>
      </c>
      <c r="BE356" s="243">
        <v>0</v>
      </c>
      <c r="BF356" s="243">
        <f>356</f>
        <v>356</v>
      </c>
      <c r="BH356" s="243">
        <f t="shared" si="397"/>
        <v>0</v>
      </c>
      <c r="BI356" s="243">
        <f t="shared" si="398"/>
        <v>0</v>
      </c>
      <c r="BJ356" s="243">
        <f t="shared" si="399"/>
        <v>0</v>
      </c>
      <c r="BK356" s="243"/>
      <c r="BL356" s="243">
        <v>733</v>
      </c>
      <c r="BW356" s="243">
        <v>21</v>
      </c>
    </row>
    <row r="357" spans="1:75" ht="15" customHeight="1">
      <c r="A357" s="238" t="s">
        <v>21</v>
      </c>
      <c r="B357" s="239" t="s">
        <v>852</v>
      </c>
      <c r="C357" s="239" t="s">
        <v>95</v>
      </c>
      <c r="D357" s="309" t="s">
        <v>96</v>
      </c>
      <c r="E357" s="310"/>
      <c r="F357" s="240" t="s">
        <v>20</v>
      </c>
      <c r="G357" s="240" t="s">
        <v>20</v>
      </c>
      <c r="H357" s="241" t="s">
        <v>20</v>
      </c>
      <c r="I357" s="242">
        <f>SUM(I358:I372)</f>
        <v>0</v>
      </c>
      <c r="K357" s="231"/>
      <c r="AI357" s="232" t="s">
        <v>852</v>
      </c>
      <c r="AS357" s="225">
        <f>SUM(AJ358:AJ372)</f>
        <v>0</v>
      </c>
      <c r="AT357" s="225">
        <f>SUM(AK358:AK372)</f>
        <v>0</v>
      </c>
      <c r="AU357" s="225">
        <f>SUM(AL358:AL372)</f>
        <v>0</v>
      </c>
    </row>
    <row r="358" spans="1:75" ht="13.5" customHeight="1">
      <c r="A358" s="207" t="s">
        <v>897</v>
      </c>
      <c r="B358" s="208" t="s">
        <v>852</v>
      </c>
      <c r="C358" s="208" t="s">
        <v>99</v>
      </c>
      <c r="D358" s="268" t="s">
        <v>100</v>
      </c>
      <c r="E358" s="260"/>
      <c r="F358" s="208" t="s">
        <v>68</v>
      </c>
      <c r="G358" s="243">
        <v>6</v>
      </c>
      <c r="H358" s="244">
        <v>0</v>
      </c>
      <c r="I358" s="244">
        <f t="shared" ref="I358:I372" si="400">G358*H358</f>
        <v>0</v>
      </c>
      <c r="K358" s="231"/>
      <c r="Z358" s="243">
        <f t="shared" ref="Z358:Z372" si="401">IF(AQ358="5",BJ358,0)</f>
        <v>0</v>
      </c>
      <c r="AB358" s="243">
        <f t="shared" ref="AB358:AB372" si="402">IF(AQ358="1",BH358,0)</f>
        <v>0</v>
      </c>
      <c r="AC358" s="243">
        <f t="shared" ref="AC358:AC372" si="403">IF(AQ358="1",BI358,0)</f>
        <v>0</v>
      </c>
      <c r="AD358" s="243">
        <f t="shared" ref="AD358:AD372" si="404">IF(AQ358="7",BH358,0)</f>
        <v>0</v>
      </c>
      <c r="AE358" s="243">
        <f t="shared" ref="AE358:AE372" si="405">IF(AQ358="7",BI358,0)</f>
        <v>0</v>
      </c>
      <c r="AF358" s="243">
        <f t="shared" ref="AF358:AF372" si="406">IF(AQ358="2",BH358,0)</f>
        <v>0</v>
      </c>
      <c r="AG358" s="243">
        <f t="shared" ref="AG358:AG372" si="407">IF(AQ358="2",BI358,0)</f>
        <v>0</v>
      </c>
      <c r="AH358" s="243">
        <f t="shared" ref="AH358:AH372" si="408">IF(AQ358="0",BJ358,0)</f>
        <v>0</v>
      </c>
      <c r="AI358" s="232" t="s">
        <v>852</v>
      </c>
      <c r="AJ358" s="243">
        <f t="shared" ref="AJ358:AJ372" si="409">IF(AN358=0,I358,0)</f>
        <v>0</v>
      </c>
      <c r="AK358" s="243">
        <f t="shared" ref="AK358:AK372" si="410">IF(AN358=12,I358,0)</f>
        <v>0</v>
      </c>
      <c r="AL358" s="243">
        <f t="shared" ref="AL358:AL372" si="411">IF(AN358=21,I358,0)</f>
        <v>0</v>
      </c>
      <c r="AN358" s="243">
        <v>21</v>
      </c>
      <c r="AO358" s="243">
        <f>H358*0.289347179920003</f>
        <v>0</v>
      </c>
      <c r="AP358" s="243">
        <f>H358*(1-0.289347179920003)</f>
        <v>0</v>
      </c>
      <c r="AQ358" s="245" t="s">
        <v>567</v>
      </c>
      <c r="AV358" s="243">
        <f t="shared" ref="AV358:AV372" si="412">AW358+AX358</f>
        <v>0</v>
      </c>
      <c r="AW358" s="243">
        <f t="shared" ref="AW358:AW372" si="413">G358*AO358</f>
        <v>0</v>
      </c>
      <c r="AX358" s="243">
        <f t="shared" ref="AX358:AX372" si="414">G358*AP358</f>
        <v>0</v>
      </c>
      <c r="AY358" s="245" t="s">
        <v>593</v>
      </c>
      <c r="AZ358" s="245" t="s">
        <v>882</v>
      </c>
      <c r="BA358" s="232" t="s">
        <v>855</v>
      </c>
      <c r="BC358" s="243">
        <f t="shared" ref="BC358:BC372" si="415">AW358+AX358</f>
        <v>0</v>
      </c>
      <c r="BD358" s="243">
        <f t="shared" ref="BD358:BD372" si="416">H358/(100-BE358)*100</f>
        <v>0</v>
      </c>
      <c r="BE358" s="243">
        <v>0</v>
      </c>
      <c r="BF358" s="243">
        <f>358</f>
        <v>358</v>
      </c>
      <c r="BH358" s="243">
        <f t="shared" ref="BH358:BH372" si="417">G358*AO358</f>
        <v>0</v>
      </c>
      <c r="BI358" s="243">
        <f t="shared" ref="BI358:BI372" si="418">G358*AP358</f>
        <v>0</v>
      </c>
      <c r="BJ358" s="243">
        <f t="shared" ref="BJ358:BJ372" si="419">G358*H358</f>
        <v>0</v>
      </c>
      <c r="BK358" s="243"/>
      <c r="BL358" s="243">
        <v>734</v>
      </c>
      <c r="BW358" s="243">
        <v>21</v>
      </c>
    </row>
    <row r="359" spans="1:75" ht="13.5" customHeight="1">
      <c r="A359" s="207" t="s">
        <v>898</v>
      </c>
      <c r="B359" s="208" t="s">
        <v>852</v>
      </c>
      <c r="C359" s="208" t="s">
        <v>97</v>
      </c>
      <c r="D359" s="268" t="s">
        <v>98</v>
      </c>
      <c r="E359" s="260"/>
      <c r="F359" s="208" t="s">
        <v>68</v>
      </c>
      <c r="G359" s="243">
        <v>4</v>
      </c>
      <c r="H359" s="244">
        <v>0</v>
      </c>
      <c r="I359" s="244">
        <f t="shared" si="400"/>
        <v>0</v>
      </c>
      <c r="K359" s="231"/>
      <c r="Z359" s="243">
        <f t="shared" si="401"/>
        <v>0</v>
      </c>
      <c r="AB359" s="243">
        <f t="shared" si="402"/>
        <v>0</v>
      </c>
      <c r="AC359" s="243">
        <f t="shared" si="403"/>
        <v>0</v>
      </c>
      <c r="AD359" s="243">
        <f t="shared" si="404"/>
        <v>0</v>
      </c>
      <c r="AE359" s="243">
        <f t="shared" si="405"/>
        <v>0</v>
      </c>
      <c r="AF359" s="243">
        <f t="shared" si="406"/>
        <v>0</v>
      </c>
      <c r="AG359" s="243">
        <f t="shared" si="407"/>
        <v>0</v>
      </c>
      <c r="AH359" s="243">
        <f t="shared" si="408"/>
        <v>0</v>
      </c>
      <c r="AI359" s="232" t="s">
        <v>852</v>
      </c>
      <c r="AJ359" s="243">
        <f t="shared" si="409"/>
        <v>0</v>
      </c>
      <c r="AK359" s="243">
        <f t="shared" si="410"/>
        <v>0</v>
      </c>
      <c r="AL359" s="243">
        <f t="shared" si="411"/>
        <v>0</v>
      </c>
      <c r="AN359" s="243">
        <v>21</v>
      </c>
      <c r="AO359" s="243">
        <f>H359*0.0054421768707483</f>
        <v>0</v>
      </c>
      <c r="AP359" s="243">
        <f>H359*(1-0.0054421768707483)</f>
        <v>0</v>
      </c>
      <c r="AQ359" s="245" t="s">
        <v>567</v>
      </c>
      <c r="AV359" s="243">
        <f t="shared" si="412"/>
        <v>0</v>
      </c>
      <c r="AW359" s="243">
        <f t="shared" si="413"/>
        <v>0</v>
      </c>
      <c r="AX359" s="243">
        <f t="shared" si="414"/>
        <v>0</v>
      </c>
      <c r="AY359" s="245" t="s">
        <v>593</v>
      </c>
      <c r="AZ359" s="245" t="s">
        <v>882</v>
      </c>
      <c r="BA359" s="232" t="s">
        <v>855</v>
      </c>
      <c r="BC359" s="243">
        <f t="shared" si="415"/>
        <v>0</v>
      </c>
      <c r="BD359" s="243">
        <f t="shared" si="416"/>
        <v>0</v>
      </c>
      <c r="BE359" s="243">
        <v>0</v>
      </c>
      <c r="BF359" s="243">
        <f>359</f>
        <v>359</v>
      </c>
      <c r="BH359" s="243">
        <f t="shared" si="417"/>
        <v>0</v>
      </c>
      <c r="BI359" s="243">
        <f t="shared" si="418"/>
        <v>0</v>
      </c>
      <c r="BJ359" s="243">
        <f t="shared" si="419"/>
        <v>0</v>
      </c>
      <c r="BK359" s="243"/>
      <c r="BL359" s="243">
        <v>734</v>
      </c>
      <c r="BW359" s="243">
        <v>21</v>
      </c>
    </row>
    <row r="360" spans="1:75" ht="13.5" customHeight="1">
      <c r="A360" s="207" t="s">
        <v>899</v>
      </c>
      <c r="B360" s="208" t="s">
        <v>852</v>
      </c>
      <c r="C360" s="208" t="s">
        <v>414</v>
      </c>
      <c r="D360" s="268" t="s">
        <v>1354</v>
      </c>
      <c r="E360" s="260"/>
      <c r="F360" s="208" t="s">
        <v>68</v>
      </c>
      <c r="G360" s="243">
        <v>2</v>
      </c>
      <c r="H360" s="244">
        <v>0</v>
      </c>
      <c r="I360" s="244">
        <f t="shared" si="400"/>
        <v>0</v>
      </c>
      <c r="K360" s="231"/>
      <c r="Z360" s="243">
        <f t="shared" si="401"/>
        <v>0</v>
      </c>
      <c r="AB360" s="243">
        <f t="shared" si="402"/>
        <v>0</v>
      </c>
      <c r="AC360" s="243">
        <f t="shared" si="403"/>
        <v>0</v>
      </c>
      <c r="AD360" s="243">
        <f t="shared" si="404"/>
        <v>0</v>
      </c>
      <c r="AE360" s="243">
        <f t="shared" si="405"/>
        <v>0</v>
      </c>
      <c r="AF360" s="243">
        <f t="shared" si="406"/>
        <v>0</v>
      </c>
      <c r="AG360" s="243">
        <f t="shared" si="407"/>
        <v>0</v>
      </c>
      <c r="AH360" s="243">
        <f t="shared" si="408"/>
        <v>0</v>
      </c>
      <c r="AI360" s="232" t="s">
        <v>852</v>
      </c>
      <c r="AJ360" s="243">
        <f t="shared" si="409"/>
        <v>0</v>
      </c>
      <c r="AK360" s="243">
        <f t="shared" si="410"/>
        <v>0</v>
      </c>
      <c r="AL360" s="243">
        <f t="shared" si="411"/>
        <v>0</v>
      </c>
      <c r="AN360" s="243">
        <v>21</v>
      </c>
      <c r="AO360" s="243">
        <f>H360*0.925843353557639</f>
        <v>0</v>
      </c>
      <c r="AP360" s="243">
        <f>H360*(1-0.925843353557639)</f>
        <v>0</v>
      </c>
      <c r="AQ360" s="245" t="s">
        <v>567</v>
      </c>
      <c r="AV360" s="243">
        <f t="shared" si="412"/>
        <v>0</v>
      </c>
      <c r="AW360" s="243">
        <f t="shared" si="413"/>
        <v>0</v>
      </c>
      <c r="AX360" s="243">
        <f t="shared" si="414"/>
        <v>0</v>
      </c>
      <c r="AY360" s="245" t="s">
        <v>593</v>
      </c>
      <c r="AZ360" s="245" t="s">
        <v>882</v>
      </c>
      <c r="BA360" s="232" t="s">
        <v>855</v>
      </c>
      <c r="BC360" s="243">
        <f t="shared" si="415"/>
        <v>0</v>
      </c>
      <c r="BD360" s="243">
        <f t="shared" si="416"/>
        <v>0</v>
      </c>
      <c r="BE360" s="243">
        <v>0</v>
      </c>
      <c r="BF360" s="243">
        <f>360</f>
        <v>360</v>
      </c>
      <c r="BH360" s="243">
        <f t="shared" si="417"/>
        <v>0</v>
      </c>
      <c r="BI360" s="243">
        <f t="shared" si="418"/>
        <v>0</v>
      </c>
      <c r="BJ360" s="243">
        <f t="shared" si="419"/>
        <v>0</v>
      </c>
      <c r="BK360" s="243"/>
      <c r="BL360" s="243">
        <v>734</v>
      </c>
      <c r="BW360" s="243">
        <v>21</v>
      </c>
    </row>
    <row r="361" spans="1:75" ht="13.5" customHeight="1">
      <c r="A361" s="207" t="s">
        <v>900</v>
      </c>
      <c r="B361" s="208" t="s">
        <v>852</v>
      </c>
      <c r="C361" s="208" t="s">
        <v>416</v>
      </c>
      <c r="D361" s="268" t="s">
        <v>417</v>
      </c>
      <c r="E361" s="260"/>
      <c r="F361" s="208" t="s">
        <v>68</v>
      </c>
      <c r="G361" s="243">
        <v>6</v>
      </c>
      <c r="H361" s="244">
        <v>0</v>
      </c>
      <c r="I361" s="244">
        <f t="shared" si="400"/>
        <v>0</v>
      </c>
      <c r="K361" s="231"/>
      <c r="Z361" s="243">
        <f t="shared" si="401"/>
        <v>0</v>
      </c>
      <c r="AB361" s="243">
        <f t="shared" si="402"/>
        <v>0</v>
      </c>
      <c r="AC361" s="243">
        <f t="shared" si="403"/>
        <v>0</v>
      </c>
      <c r="AD361" s="243">
        <f t="shared" si="404"/>
        <v>0</v>
      </c>
      <c r="AE361" s="243">
        <f t="shared" si="405"/>
        <v>0</v>
      </c>
      <c r="AF361" s="243">
        <f t="shared" si="406"/>
        <v>0</v>
      </c>
      <c r="AG361" s="243">
        <f t="shared" si="407"/>
        <v>0</v>
      </c>
      <c r="AH361" s="243">
        <f t="shared" si="408"/>
        <v>0</v>
      </c>
      <c r="AI361" s="232" t="s">
        <v>852</v>
      </c>
      <c r="AJ361" s="243">
        <f t="shared" si="409"/>
        <v>0</v>
      </c>
      <c r="AK361" s="243">
        <f t="shared" si="410"/>
        <v>0</v>
      </c>
      <c r="AL361" s="243">
        <f t="shared" si="411"/>
        <v>0</v>
      </c>
      <c r="AN361" s="243">
        <v>21</v>
      </c>
      <c r="AO361" s="243">
        <f>H361*0.711852348993289</f>
        <v>0</v>
      </c>
      <c r="AP361" s="243">
        <f>H361*(1-0.711852348993289)</f>
        <v>0</v>
      </c>
      <c r="AQ361" s="245" t="s">
        <v>567</v>
      </c>
      <c r="AV361" s="243">
        <f t="shared" si="412"/>
        <v>0</v>
      </c>
      <c r="AW361" s="243">
        <f t="shared" si="413"/>
        <v>0</v>
      </c>
      <c r="AX361" s="243">
        <f t="shared" si="414"/>
        <v>0</v>
      </c>
      <c r="AY361" s="245" t="s">
        <v>593</v>
      </c>
      <c r="AZ361" s="245" t="s">
        <v>882</v>
      </c>
      <c r="BA361" s="232" t="s">
        <v>855</v>
      </c>
      <c r="BC361" s="243">
        <f t="shared" si="415"/>
        <v>0</v>
      </c>
      <c r="BD361" s="243">
        <f t="shared" si="416"/>
        <v>0</v>
      </c>
      <c r="BE361" s="243">
        <v>0</v>
      </c>
      <c r="BF361" s="243">
        <f>361</f>
        <v>361</v>
      </c>
      <c r="BH361" s="243">
        <f t="shared" si="417"/>
        <v>0</v>
      </c>
      <c r="BI361" s="243">
        <f t="shared" si="418"/>
        <v>0</v>
      </c>
      <c r="BJ361" s="243">
        <f t="shared" si="419"/>
        <v>0</v>
      </c>
      <c r="BK361" s="243"/>
      <c r="BL361" s="243">
        <v>734</v>
      </c>
      <c r="BW361" s="243">
        <v>21</v>
      </c>
    </row>
    <row r="362" spans="1:75" ht="13.5" customHeight="1">
      <c r="A362" s="207" t="s">
        <v>901</v>
      </c>
      <c r="B362" s="208" t="s">
        <v>852</v>
      </c>
      <c r="C362" s="208" t="s">
        <v>418</v>
      </c>
      <c r="D362" s="268" t="s">
        <v>419</v>
      </c>
      <c r="E362" s="260"/>
      <c r="F362" s="208" t="s">
        <v>68</v>
      </c>
      <c r="G362" s="243">
        <v>3</v>
      </c>
      <c r="H362" s="244">
        <v>0</v>
      </c>
      <c r="I362" s="244">
        <f t="shared" si="400"/>
        <v>0</v>
      </c>
      <c r="K362" s="231"/>
      <c r="Z362" s="243">
        <f t="shared" si="401"/>
        <v>0</v>
      </c>
      <c r="AB362" s="243">
        <f t="shared" si="402"/>
        <v>0</v>
      </c>
      <c r="AC362" s="243">
        <f t="shared" si="403"/>
        <v>0</v>
      </c>
      <c r="AD362" s="243">
        <f t="shared" si="404"/>
        <v>0</v>
      </c>
      <c r="AE362" s="243">
        <f t="shared" si="405"/>
        <v>0</v>
      </c>
      <c r="AF362" s="243">
        <f t="shared" si="406"/>
        <v>0</v>
      </c>
      <c r="AG362" s="243">
        <f t="shared" si="407"/>
        <v>0</v>
      </c>
      <c r="AH362" s="243">
        <f t="shared" si="408"/>
        <v>0</v>
      </c>
      <c r="AI362" s="232" t="s">
        <v>852</v>
      </c>
      <c r="AJ362" s="243">
        <f t="shared" si="409"/>
        <v>0</v>
      </c>
      <c r="AK362" s="243">
        <f t="shared" si="410"/>
        <v>0</v>
      </c>
      <c r="AL362" s="243">
        <f t="shared" si="411"/>
        <v>0</v>
      </c>
      <c r="AN362" s="243">
        <v>21</v>
      </c>
      <c r="AO362" s="243">
        <f>H362*0.893467248908297</f>
        <v>0</v>
      </c>
      <c r="AP362" s="243">
        <f>H362*(1-0.893467248908297)</f>
        <v>0</v>
      </c>
      <c r="AQ362" s="245" t="s">
        <v>567</v>
      </c>
      <c r="AV362" s="243">
        <f t="shared" si="412"/>
        <v>0</v>
      </c>
      <c r="AW362" s="243">
        <f t="shared" si="413"/>
        <v>0</v>
      </c>
      <c r="AX362" s="243">
        <f t="shared" si="414"/>
        <v>0</v>
      </c>
      <c r="AY362" s="245" t="s">
        <v>593</v>
      </c>
      <c r="AZ362" s="245" t="s">
        <v>882</v>
      </c>
      <c r="BA362" s="232" t="s">
        <v>855</v>
      </c>
      <c r="BC362" s="243">
        <f t="shared" si="415"/>
        <v>0</v>
      </c>
      <c r="BD362" s="243">
        <f t="shared" si="416"/>
        <v>0</v>
      </c>
      <c r="BE362" s="243">
        <v>0</v>
      </c>
      <c r="BF362" s="243">
        <f>362</f>
        <v>362</v>
      </c>
      <c r="BH362" s="243">
        <f t="shared" si="417"/>
        <v>0</v>
      </c>
      <c r="BI362" s="243">
        <f t="shared" si="418"/>
        <v>0</v>
      </c>
      <c r="BJ362" s="243">
        <f t="shared" si="419"/>
        <v>0</v>
      </c>
      <c r="BK362" s="243"/>
      <c r="BL362" s="243">
        <v>734</v>
      </c>
      <c r="BW362" s="243">
        <v>21</v>
      </c>
    </row>
    <row r="363" spans="1:75" ht="13.5" customHeight="1">
      <c r="A363" s="207" t="s">
        <v>902</v>
      </c>
      <c r="B363" s="208" t="s">
        <v>852</v>
      </c>
      <c r="C363" s="208" t="s">
        <v>420</v>
      </c>
      <c r="D363" s="268" t="s">
        <v>421</v>
      </c>
      <c r="E363" s="260"/>
      <c r="F363" s="208" t="s">
        <v>68</v>
      </c>
      <c r="G363" s="243">
        <v>1</v>
      </c>
      <c r="H363" s="244">
        <v>0</v>
      </c>
      <c r="I363" s="244">
        <f t="shared" si="400"/>
        <v>0</v>
      </c>
      <c r="K363" s="231"/>
      <c r="Z363" s="243">
        <f t="shared" si="401"/>
        <v>0</v>
      </c>
      <c r="AB363" s="243">
        <f t="shared" si="402"/>
        <v>0</v>
      </c>
      <c r="AC363" s="243">
        <f t="shared" si="403"/>
        <v>0</v>
      </c>
      <c r="AD363" s="243">
        <f t="shared" si="404"/>
        <v>0</v>
      </c>
      <c r="AE363" s="243">
        <f t="shared" si="405"/>
        <v>0</v>
      </c>
      <c r="AF363" s="243">
        <f t="shared" si="406"/>
        <v>0</v>
      </c>
      <c r="AG363" s="243">
        <f t="shared" si="407"/>
        <v>0</v>
      </c>
      <c r="AH363" s="243">
        <f t="shared" si="408"/>
        <v>0</v>
      </c>
      <c r="AI363" s="232" t="s">
        <v>852</v>
      </c>
      <c r="AJ363" s="243">
        <f t="shared" si="409"/>
        <v>0</v>
      </c>
      <c r="AK363" s="243">
        <f t="shared" si="410"/>
        <v>0</v>
      </c>
      <c r="AL363" s="243">
        <f t="shared" si="411"/>
        <v>0</v>
      </c>
      <c r="AN363" s="243">
        <v>21</v>
      </c>
      <c r="AO363" s="243">
        <f>H363*0.945546104928458</f>
        <v>0</v>
      </c>
      <c r="AP363" s="243">
        <f>H363*(1-0.945546104928458)</f>
        <v>0</v>
      </c>
      <c r="AQ363" s="245" t="s">
        <v>567</v>
      </c>
      <c r="AV363" s="243">
        <f t="shared" si="412"/>
        <v>0</v>
      </c>
      <c r="AW363" s="243">
        <f t="shared" si="413"/>
        <v>0</v>
      </c>
      <c r="AX363" s="243">
        <f t="shared" si="414"/>
        <v>0</v>
      </c>
      <c r="AY363" s="245" t="s">
        <v>593</v>
      </c>
      <c r="AZ363" s="245" t="s">
        <v>882</v>
      </c>
      <c r="BA363" s="232" t="s">
        <v>855</v>
      </c>
      <c r="BC363" s="243">
        <f t="shared" si="415"/>
        <v>0</v>
      </c>
      <c r="BD363" s="243">
        <f t="shared" si="416"/>
        <v>0</v>
      </c>
      <c r="BE363" s="243">
        <v>0</v>
      </c>
      <c r="BF363" s="243">
        <f>363</f>
        <v>363</v>
      </c>
      <c r="BH363" s="243">
        <f t="shared" si="417"/>
        <v>0</v>
      </c>
      <c r="BI363" s="243">
        <f t="shared" si="418"/>
        <v>0</v>
      </c>
      <c r="BJ363" s="243">
        <f t="shared" si="419"/>
        <v>0</v>
      </c>
      <c r="BK363" s="243"/>
      <c r="BL363" s="243">
        <v>734</v>
      </c>
      <c r="BW363" s="243">
        <v>21</v>
      </c>
    </row>
    <row r="364" spans="1:75" ht="13.5" customHeight="1">
      <c r="A364" s="207" t="s">
        <v>903</v>
      </c>
      <c r="B364" s="208" t="s">
        <v>852</v>
      </c>
      <c r="C364" s="208" t="s">
        <v>422</v>
      </c>
      <c r="D364" s="268" t="s">
        <v>423</v>
      </c>
      <c r="E364" s="260"/>
      <c r="F364" s="208" t="s">
        <v>68</v>
      </c>
      <c r="G364" s="243">
        <v>1</v>
      </c>
      <c r="H364" s="244">
        <v>0</v>
      </c>
      <c r="I364" s="244">
        <f t="shared" si="400"/>
        <v>0</v>
      </c>
      <c r="K364" s="231"/>
      <c r="Z364" s="243">
        <f t="shared" si="401"/>
        <v>0</v>
      </c>
      <c r="AB364" s="243">
        <f t="shared" si="402"/>
        <v>0</v>
      </c>
      <c r="AC364" s="243">
        <f t="shared" si="403"/>
        <v>0</v>
      </c>
      <c r="AD364" s="243">
        <f t="shared" si="404"/>
        <v>0</v>
      </c>
      <c r="AE364" s="243">
        <f t="shared" si="405"/>
        <v>0</v>
      </c>
      <c r="AF364" s="243">
        <f t="shared" si="406"/>
        <v>0</v>
      </c>
      <c r="AG364" s="243">
        <f t="shared" si="407"/>
        <v>0</v>
      </c>
      <c r="AH364" s="243">
        <f t="shared" si="408"/>
        <v>0</v>
      </c>
      <c r="AI364" s="232" t="s">
        <v>852</v>
      </c>
      <c r="AJ364" s="243">
        <f t="shared" si="409"/>
        <v>0</v>
      </c>
      <c r="AK364" s="243">
        <f t="shared" si="410"/>
        <v>0</v>
      </c>
      <c r="AL364" s="243">
        <f t="shared" si="411"/>
        <v>0</v>
      </c>
      <c r="AN364" s="243">
        <v>21</v>
      </c>
      <c r="AO364" s="243">
        <f>H364*0.913686165273909</f>
        <v>0</v>
      </c>
      <c r="AP364" s="243">
        <f>H364*(1-0.913686165273909)</f>
        <v>0</v>
      </c>
      <c r="AQ364" s="245" t="s">
        <v>567</v>
      </c>
      <c r="AV364" s="243">
        <f t="shared" si="412"/>
        <v>0</v>
      </c>
      <c r="AW364" s="243">
        <f t="shared" si="413"/>
        <v>0</v>
      </c>
      <c r="AX364" s="243">
        <f t="shared" si="414"/>
        <v>0</v>
      </c>
      <c r="AY364" s="245" t="s">
        <v>593</v>
      </c>
      <c r="AZ364" s="245" t="s">
        <v>882</v>
      </c>
      <c r="BA364" s="232" t="s">
        <v>855</v>
      </c>
      <c r="BC364" s="243">
        <f t="shared" si="415"/>
        <v>0</v>
      </c>
      <c r="BD364" s="243">
        <f t="shared" si="416"/>
        <v>0</v>
      </c>
      <c r="BE364" s="243">
        <v>0</v>
      </c>
      <c r="BF364" s="243">
        <f>364</f>
        <v>364</v>
      </c>
      <c r="BH364" s="243">
        <f t="shared" si="417"/>
        <v>0</v>
      </c>
      <c r="BI364" s="243">
        <f t="shared" si="418"/>
        <v>0</v>
      </c>
      <c r="BJ364" s="243">
        <f t="shared" si="419"/>
        <v>0</v>
      </c>
      <c r="BK364" s="243"/>
      <c r="BL364" s="243">
        <v>734</v>
      </c>
      <c r="BW364" s="243">
        <v>21</v>
      </c>
    </row>
    <row r="365" spans="1:75" ht="13.5" customHeight="1">
      <c r="A365" s="207" t="s">
        <v>904</v>
      </c>
      <c r="B365" s="208" t="s">
        <v>852</v>
      </c>
      <c r="C365" s="208" t="s">
        <v>424</v>
      </c>
      <c r="D365" s="268" t="s">
        <v>1366</v>
      </c>
      <c r="E365" s="260"/>
      <c r="F365" s="208" t="s">
        <v>68</v>
      </c>
      <c r="G365" s="243">
        <v>2</v>
      </c>
      <c r="H365" s="244">
        <v>0</v>
      </c>
      <c r="I365" s="244">
        <f t="shared" si="400"/>
        <v>0</v>
      </c>
      <c r="K365" s="231"/>
      <c r="Z365" s="243">
        <f t="shared" si="401"/>
        <v>0</v>
      </c>
      <c r="AB365" s="243">
        <f t="shared" si="402"/>
        <v>0</v>
      </c>
      <c r="AC365" s="243">
        <f t="shared" si="403"/>
        <v>0</v>
      </c>
      <c r="AD365" s="243">
        <f t="shared" si="404"/>
        <v>0</v>
      </c>
      <c r="AE365" s="243">
        <f t="shared" si="405"/>
        <v>0</v>
      </c>
      <c r="AF365" s="243">
        <f t="shared" si="406"/>
        <v>0</v>
      </c>
      <c r="AG365" s="243">
        <f t="shared" si="407"/>
        <v>0</v>
      </c>
      <c r="AH365" s="243">
        <f t="shared" si="408"/>
        <v>0</v>
      </c>
      <c r="AI365" s="232" t="s">
        <v>852</v>
      </c>
      <c r="AJ365" s="243">
        <f t="shared" si="409"/>
        <v>0</v>
      </c>
      <c r="AK365" s="243">
        <f t="shared" si="410"/>
        <v>0</v>
      </c>
      <c r="AL365" s="243">
        <f t="shared" si="411"/>
        <v>0</v>
      </c>
      <c r="AN365" s="243">
        <v>21</v>
      </c>
      <c r="AO365" s="243">
        <f>H365*0.869366700715015</f>
        <v>0</v>
      </c>
      <c r="AP365" s="243">
        <f>H365*(1-0.869366700715015)</f>
        <v>0</v>
      </c>
      <c r="AQ365" s="245" t="s">
        <v>567</v>
      </c>
      <c r="AV365" s="243">
        <f t="shared" si="412"/>
        <v>0</v>
      </c>
      <c r="AW365" s="243">
        <f t="shared" si="413"/>
        <v>0</v>
      </c>
      <c r="AX365" s="243">
        <f t="shared" si="414"/>
        <v>0</v>
      </c>
      <c r="AY365" s="245" t="s">
        <v>593</v>
      </c>
      <c r="AZ365" s="245" t="s">
        <v>882</v>
      </c>
      <c r="BA365" s="232" t="s">
        <v>855</v>
      </c>
      <c r="BC365" s="243">
        <f t="shared" si="415"/>
        <v>0</v>
      </c>
      <c r="BD365" s="243">
        <f t="shared" si="416"/>
        <v>0</v>
      </c>
      <c r="BE365" s="243">
        <v>0</v>
      </c>
      <c r="BF365" s="243">
        <f>365</f>
        <v>365</v>
      </c>
      <c r="BH365" s="243">
        <f t="shared" si="417"/>
        <v>0</v>
      </c>
      <c r="BI365" s="243">
        <f t="shared" si="418"/>
        <v>0</v>
      </c>
      <c r="BJ365" s="243">
        <f t="shared" si="419"/>
        <v>0</v>
      </c>
      <c r="BK365" s="243"/>
      <c r="BL365" s="243">
        <v>734</v>
      </c>
      <c r="BW365" s="243">
        <v>21</v>
      </c>
    </row>
    <row r="366" spans="1:75" ht="13.5" customHeight="1">
      <c r="A366" s="207" t="s">
        <v>905</v>
      </c>
      <c r="B366" s="208" t="s">
        <v>852</v>
      </c>
      <c r="C366" s="208" t="s">
        <v>426</v>
      </c>
      <c r="D366" s="268" t="s">
        <v>1367</v>
      </c>
      <c r="E366" s="260"/>
      <c r="F366" s="208" t="s">
        <v>68</v>
      </c>
      <c r="G366" s="243">
        <v>1</v>
      </c>
      <c r="H366" s="244">
        <v>0</v>
      </c>
      <c r="I366" s="244">
        <f t="shared" si="400"/>
        <v>0</v>
      </c>
      <c r="K366" s="231"/>
      <c r="Z366" s="243">
        <f t="shared" si="401"/>
        <v>0</v>
      </c>
      <c r="AB366" s="243">
        <f t="shared" si="402"/>
        <v>0</v>
      </c>
      <c r="AC366" s="243">
        <f t="shared" si="403"/>
        <v>0</v>
      </c>
      <c r="AD366" s="243">
        <f t="shared" si="404"/>
        <v>0</v>
      </c>
      <c r="AE366" s="243">
        <f t="shared" si="405"/>
        <v>0</v>
      </c>
      <c r="AF366" s="243">
        <f t="shared" si="406"/>
        <v>0</v>
      </c>
      <c r="AG366" s="243">
        <f t="shared" si="407"/>
        <v>0</v>
      </c>
      <c r="AH366" s="243">
        <f t="shared" si="408"/>
        <v>0</v>
      </c>
      <c r="AI366" s="232" t="s">
        <v>852</v>
      </c>
      <c r="AJ366" s="243">
        <f t="shared" si="409"/>
        <v>0</v>
      </c>
      <c r="AK366" s="243">
        <f t="shared" si="410"/>
        <v>0</v>
      </c>
      <c r="AL366" s="243">
        <f t="shared" si="411"/>
        <v>0</v>
      </c>
      <c r="AN366" s="243">
        <v>21</v>
      </c>
      <c r="AO366" s="243">
        <f>H366*0.929993168165776</f>
        <v>0</v>
      </c>
      <c r="AP366" s="243">
        <f>H366*(1-0.929993168165776)</f>
        <v>0</v>
      </c>
      <c r="AQ366" s="245" t="s">
        <v>567</v>
      </c>
      <c r="AV366" s="243">
        <f t="shared" si="412"/>
        <v>0</v>
      </c>
      <c r="AW366" s="243">
        <f t="shared" si="413"/>
        <v>0</v>
      </c>
      <c r="AX366" s="243">
        <f t="shared" si="414"/>
        <v>0</v>
      </c>
      <c r="AY366" s="245" t="s">
        <v>593</v>
      </c>
      <c r="AZ366" s="245" t="s">
        <v>882</v>
      </c>
      <c r="BA366" s="232" t="s">
        <v>855</v>
      </c>
      <c r="BC366" s="243">
        <f t="shared" si="415"/>
        <v>0</v>
      </c>
      <c r="BD366" s="243">
        <f t="shared" si="416"/>
        <v>0</v>
      </c>
      <c r="BE366" s="243">
        <v>0</v>
      </c>
      <c r="BF366" s="243">
        <f>366</f>
        <v>366</v>
      </c>
      <c r="BH366" s="243">
        <f t="shared" si="417"/>
        <v>0</v>
      </c>
      <c r="BI366" s="243">
        <f t="shared" si="418"/>
        <v>0</v>
      </c>
      <c r="BJ366" s="243">
        <f t="shared" si="419"/>
        <v>0</v>
      </c>
      <c r="BK366" s="243"/>
      <c r="BL366" s="243">
        <v>734</v>
      </c>
      <c r="BW366" s="243">
        <v>21</v>
      </c>
    </row>
    <row r="367" spans="1:75" ht="13.5" customHeight="1">
      <c r="A367" s="207" t="s">
        <v>906</v>
      </c>
      <c r="B367" s="208" t="s">
        <v>852</v>
      </c>
      <c r="C367" s="208" t="s">
        <v>428</v>
      </c>
      <c r="D367" s="268" t="s">
        <v>1357</v>
      </c>
      <c r="E367" s="260"/>
      <c r="F367" s="208" t="s">
        <v>68</v>
      </c>
      <c r="G367" s="243">
        <v>1</v>
      </c>
      <c r="H367" s="244">
        <v>0</v>
      </c>
      <c r="I367" s="244">
        <f t="shared" si="400"/>
        <v>0</v>
      </c>
      <c r="K367" s="231"/>
      <c r="Z367" s="243">
        <f t="shared" si="401"/>
        <v>0</v>
      </c>
      <c r="AB367" s="243">
        <f t="shared" si="402"/>
        <v>0</v>
      </c>
      <c r="AC367" s="243">
        <f t="shared" si="403"/>
        <v>0</v>
      </c>
      <c r="AD367" s="243">
        <f t="shared" si="404"/>
        <v>0</v>
      </c>
      <c r="AE367" s="243">
        <f t="shared" si="405"/>
        <v>0</v>
      </c>
      <c r="AF367" s="243">
        <f t="shared" si="406"/>
        <v>0</v>
      </c>
      <c r="AG367" s="243">
        <f t="shared" si="407"/>
        <v>0</v>
      </c>
      <c r="AH367" s="243">
        <f t="shared" si="408"/>
        <v>0</v>
      </c>
      <c r="AI367" s="232" t="s">
        <v>852</v>
      </c>
      <c r="AJ367" s="243">
        <f t="shared" si="409"/>
        <v>0</v>
      </c>
      <c r="AK367" s="243">
        <f t="shared" si="410"/>
        <v>0</v>
      </c>
      <c r="AL367" s="243">
        <f t="shared" si="411"/>
        <v>0</v>
      </c>
      <c r="AN367" s="243">
        <v>21</v>
      </c>
      <c r="AO367" s="243">
        <f>H367*0.76990099009901</f>
        <v>0</v>
      </c>
      <c r="AP367" s="243">
        <f>H367*(1-0.76990099009901)</f>
        <v>0</v>
      </c>
      <c r="AQ367" s="245" t="s">
        <v>567</v>
      </c>
      <c r="AV367" s="243">
        <f t="shared" si="412"/>
        <v>0</v>
      </c>
      <c r="AW367" s="243">
        <f t="shared" si="413"/>
        <v>0</v>
      </c>
      <c r="AX367" s="243">
        <f t="shared" si="414"/>
        <v>0</v>
      </c>
      <c r="AY367" s="245" t="s">
        <v>593</v>
      </c>
      <c r="AZ367" s="245" t="s">
        <v>882</v>
      </c>
      <c r="BA367" s="232" t="s">
        <v>855</v>
      </c>
      <c r="BC367" s="243">
        <f t="shared" si="415"/>
        <v>0</v>
      </c>
      <c r="BD367" s="243">
        <f t="shared" si="416"/>
        <v>0</v>
      </c>
      <c r="BE367" s="243">
        <v>0</v>
      </c>
      <c r="BF367" s="243">
        <f>367</f>
        <v>367</v>
      </c>
      <c r="BH367" s="243">
        <f t="shared" si="417"/>
        <v>0</v>
      </c>
      <c r="BI367" s="243">
        <f t="shared" si="418"/>
        <v>0</v>
      </c>
      <c r="BJ367" s="243">
        <f t="shared" si="419"/>
        <v>0</v>
      </c>
      <c r="BK367" s="243"/>
      <c r="BL367" s="243">
        <v>734</v>
      </c>
      <c r="BW367" s="243">
        <v>21</v>
      </c>
    </row>
    <row r="368" spans="1:75" ht="13.5" customHeight="1">
      <c r="A368" s="207" t="s">
        <v>907</v>
      </c>
      <c r="B368" s="208" t="s">
        <v>852</v>
      </c>
      <c r="C368" s="208" t="s">
        <v>430</v>
      </c>
      <c r="D368" s="268" t="s">
        <v>1364</v>
      </c>
      <c r="E368" s="260"/>
      <c r="F368" s="208" t="s">
        <v>68</v>
      </c>
      <c r="G368" s="243">
        <v>1</v>
      </c>
      <c r="H368" s="244">
        <v>0</v>
      </c>
      <c r="I368" s="244">
        <f t="shared" si="400"/>
        <v>0</v>
      </c>
      <c r="K368" s="231"/>
      <c r="Z368" s="243">
        <f t="shared" si="401"/>
        <v>0</v>
      </c>
      <c r="AB368" s="243">
        <f t="shared" si="402"/>
        <v>0</v>
      </c>
      <c r="AC368" s="243">
        <f t="shared" si="403"/>
        <v>0</v>
      </c>
      <c r="AD368" s="243">
        <f t="shared" si="404"/>
        <v>0</v>
      </c>
      <c r="AE368" s="243">
        <f t="shared" si="405"/>
        <v>0</v>
      </c>
      <c r="AF368" s="243">
        <f t="shared" si="406"/>
        <v>0</v>
      </c>
      <c r="AG368" s="243">
        <f t="shared" si="407"/>
        <v>0</v>
      </c>
      <c r="AH368" s="243">
        <f t="shared" si="408"/>
        <v>0</v>
      </c>
      <c r="AI368" s="232" t="s">
        <v>852</v>
      </c>
      <c r="AJ368" s="243">
        <f t="shared" si="409"/>
        <v>0</v>
      </c>
      <c r="AK368" s="243">
        <f t="shared" si="410"/>
        <v>0</v>
      </c>
      <c r="AL368" s="243">
        <f t="shared" si="411"/>
        <v>0</v>
      </c>
      <c r="AN368" s="243">
        <v>21</v>
      </c>
      <c r="AO368" s="243">
        <f>H368*0.872981818181818</f>
        <v>0</v>
      </c>
      <c r="AP368" s="243">
        <f>H368*(1-0.872981818181818)</f>
        <v>0</v>
      </c>
      <c r="AQ368" s="245" t="s">
        <v>567</v>
      </c>
      <c r="AV368" s="243">
        <f t="shared" si="412"/>
        <v>0</v>
      </c>
      <c r="AW368" s="243">
        <f t="shared" si="413"/>
        <v>0</v>
      </c>
      <c r="AX368" s="243">
        <f t="shared" si="414"/>
        <v>0</v>
      </c>
      <c r="AY368" s="245" t="s">
        <v>593</v>
      </c>
      <c r="AZ368" s="245" t="s">
        <v>882</v>
      </c>
      <c r="BA368" s="232" t="s">
        <v>855</v>
      </c>
      <c r="BC368" s="243">
        <f t="shared" si="415"/>
        <v>0</v>
      </c>
      <c r="BD368" s="243">
        <f t="shared" si="416"/>
        <v>0</v>
      </c>
      <c r="BE368" s="243">
        <v>0</v>
      </c>
      <c r="BF368" s="243">
        <f>368</f>
        <v>368</v>
      </c>
      <c r="BH368" s="243">
        <f t="shared" si="417"/>
        <v>0</v>
      </c>
      <c r="BI368" s="243">
        <f t="shared" si="418"/>
        <v>0</v>
      </c>
      <c r="BJ368" s="243">
        <f t="shared" si="419"/>
        <v>0</v>
      </c>
      <c r="BK368" s="243"/>
      <c r="BL368" s="243">
        <v>734</v>
      </c>
      <c r="BW368" s="243">
        <v>21</v>
      </c>
    </row>
    <row r="369" spans="1:75" ht="13.5" customHeight="1">
      <c r="A369" s="207" t="s">
        <v>908</v>
      </c>
      <c r="B369" s="208" t="s">
        <v>852</v>
      </c>
      <c r="C369" s="208" t="s">
        <v>432</v>
      </c>
      <c r="D369" s="268" t="s">
        <v>433</v>
      </c>
      <c r="E369" s="260"/>
      <c r="F369" s="208" t="s">
        <v>58</v>
      </c>
      <c r="G369" s="243">
        <v>1</v>
      </c>
      <c r="H369" s="244">
        <v>0</v>
      </c>
      <c r="I369" s="244">
        <f t="shared" si="400"/>
        <v>0</v>
      </c>
      <c r="K369" s="231"/>
      <c r="Z369" s="243">
        <f t="shared" si="401"/>
        <v>0</v>
      </c>
      <c r="AB369" s="243">
        <f t="shared" si="402"/>
        <v>0</v>
      </c>
      <c r="AC369" s="243">
        <f t="shared" si="403"/>
        <v>0</v>
      </c>
      <c r="AD369" s="243">
        <f t="shared" si="404"/>
        <v>0</v>
      </c>
      <c r="AE369" s="243">
        <f t="shared" si="405"/>
        <v>0</v>
      </c>
      <c r="AF369" s="243">
        <f t="shared" si="406"/>
        <v>0</v>
      </c>
      <c r="AG369" s="243">
        <f t="shared" si="407"/>
        <v>0</v>
      </c>
      <c r="AH369" s="243">
        <f t="shared" si="408"/>
        <v>0</v>
      </c>
      <c r="AI369" s="232" t="s">
        <v>852</v>
      </c>
      <c r="AJ369" s="243">
        <f t="shared" si="409"/>
        <v>0</v>
      </c>
      <c r="AK369" s="243">
        <f t="shared" si="410"/>
        <v>0</v>
      </c>
      <c r="AL369" s="243">
        <f t="shared" si="411"/>
        <v>0</v>
      </c>
      <c r="AN369" s="243">
        <v>21</v>
      </c>
      <c r="AO369" s="243">
        <f>H369*0.924761904761905</f>
        <v>0</v>
      </c>
      <c r="AP369" s="243">
        <f>H369*(1-0.924761904761905)</f>
        <v>0</v>
      </c>
      <c r="AQ369" s="245" t="s">
        <v>567</v>
      </c>
      <c r="AV369" s="243">
        <f t="shared" si="412"/>
        <v>0</v>
      </c>
      <c r="AW369" s="243">
        <f t="shared" si="413"/>
        <v>0</v>
      </c>
      <c r="AX369" s="243">
        <f t="shared" si="414"/>
        <v>0</v>
      </c>
      <c r="AY369" s="245" t="s">
        <v>593</v>
      </c>
      <c r="AZ369" s="245" t="s">
        <v>882</v>
      </c>
      <c r="BA369" s="232" t="s">
        <v>855</v>
      </c>
      <c r="BC369" s="243">
        <f t="shared" si="415"/>
        <v>0</v>
      </c>
      <c r="BD369" s="243">
        <f t="shared" si="416"/>
        <v>0</v>
      </c>
      <c r="BE369" s="243">
        <v>0</v>
      </c>
      <c r="BF369" s="243">
        <f>369</f>
        <v>369</v>
      </c>
      <c r="BH369" s="243">
        <f t="shared" si="417"/>
        <v>0</v>
      </c>
      <c r="BI369" s="243">
        <f t="shared" si="418"/>
        <v>0</v>
      </c>
      <c r="BJ369" s="243">
        <f t="shared" si="419"/>
        <v>0</v>
      </c>
      <c r="BK369" s="243"/>
      <c r="BL369" s="243">
        <v>734</v>
      </c>
      <c r="BW369" s="243">
        <v>21</v>
      </c>
    </row>
    <row r="370" spans="1:75" ht="13.5" customHeight="1">
      <c r="A370" s="207" t="s">
        <v>909</v>
      </c>
      <c r="B370" s="208" t="s">
        <v>852</v>
      </c>
      <c r="C370" s="208" t="s">
        <v>434</v>
      </c>
      <c r="D370" s="268" t="s">
        <v>435</v>
      </c>
      <c r="E370" s="260"/>
      <c r="F370" s="208" t="s">
        <v>68</v>
      </c>
      <c r="G370" s="243">
        <v>1</v>
      </c>
      <c r="H370" s="244">
        <v>0</v>
      </c>
      <c r="I370" s="244">
        <f t="shared" si="400"/>
        <v>0</v>
      </c>
      <c r="K370" s="231"/>
      <c r="Z370" s="243">
        <f t="shared" si="401"/>
        <v>0</v>
      </c>
      <c r="AB370" s="243">
        <f t="shared" si="402"/>
        <v>0</v>
      </c>
      <c r="AC370" s="243">
        <f t="shared" si="403"/>
        <v>0</v>
      </c>
      <c r="AD370" s="243">
        <f t="shared" si="404"/>
        <v>0</v>
      </c>
      <c r="AE370" s="243">
        <f t="shared" si="405"/>
        <v>0</v>
      </c>
      <c r="AF370" s="243">
        <f t="shared" si="406"/>
        <v>0</v>
      </c>
      <c r="AG370" s="243">
        <f t="shared" si="407"/>
        <v>0</v>
      </c>
      <c r="AH370" s="243">
        <f t="shared" si="408"/>
        <v>0</v>
      </c>
      <c r="AI370" s="232" t="s">
        <v>852</v>
      </c>
      <c r="AJ370" s="243">
        <f t="shared" si="409"/>
        <v>0</v>
      </c>
      <c r="AK370" s="243">
        <f t="shared" si="410"/>
        <v>0</v>
      </c>
      <c r="AL370" s="243">
        <f t="shared" si="411"/>
        <v>0</v>
      </c>
      <c r="AN370" s="243">
        <v>21</v>
      </c>
      <c r="AO370" s="243">
        <f>H370*0.698084842146545</f>
        <v>0</v>
      </c>
      <c r="AP370" s="243">
        <f>H370*(1-0.698084842146545)</f>
        <v>0</v>
      </c>
      <c r="AQ370" s="245" t="s">
        <v>567</v>
      </c>
      <c r="AV370" s="243">
        <f t="shared" si="412"/>
        <v>0</v>
      </c>
      <c r="AW370" s="243">
        <f t="shared" si="413"/>
        <v>0</v>
      </c>
      <c r="AX370" s="243">
        <f t="shared" si="414"/>
        <v>0</v>
      </c>
      <c r="AY370" s="245" t="s">
        <v>593</v>
      </c>
      <c r="AZ370" s="245" t="s">
        <v>882</v>
      </c>
      <c r="BA370" s="232" t="s">
        <v>855</v>
      </c>
      <c r="BC370" s="243">
        <f t="shared" si="415"/>
        <v>0</v>
      </c>
      <c r="BD370" s="243">
        <f t="shared" si="416"/>
        <v>0</v>
      </c>
      <c r="BE370" s="243">
        <v>0</v>
      </c>
      <c r="BF370" s="243">
        <f>370</f>
        <v>370</v>
      </c>
      <c r="BH370" s="243">
        <f t="shared" si="417"/>
        <v>0</v>
      </c>
      <c r="BI370" s="243">
        <f t="shared" si="418"/>
        <v>0</v>
      </c>
      <c r="BJ370" s="243">
        <f t="shared" si="419"/>
        <v>0</v>
      </c>
      <c r="BK370" s="243"/>
      <c r="BL370" s="243">
        <v>734</v>
      </c>
      <c r="BW370" s="243">
        <v>21</v>
      </c>
    </row>
    <row r="371" spans="1:75" ht="13.5" customHeight="1">
      <c r="A371" s="207" t="s">
        <v>910</v>
      </c>
      <c r="B371" s="208" t="s">
        <v>852</v>
      </c>
      <c r="C371" s="208" t="s">
        <v>436</v>
      </c>
      <c r="D371" s="268" t="s">
        <v>1359</v>
      </c>
      <c r="E371" s="260"/>
      <c r="F371" s="208" t="s">
        <v>68</v>
      </c>
      <c r="G371" s="243">
        <v>1</v>
      </c>
      <c r="H371" s="244">
        <v>0</v>
      </c>
      <c r="I371" s="244">
        <f t="shared" si="400"/>
        <v>0</v>
      </c>
      <c r="K371" s="231"/>
      <c r="Z371" s="243">
        <f t="shared" si="401"/>
        <v>0</v>
      </c>
      <c r="AB371" s="243">
        <f t="shared" si="402"/>
        <v>0</v>
      </c>
      <c r="AC371" s="243">
        <f t="shared" si="403"/>
        <v>0</v>
      </c>
      <c r="AD371" s="243">
        <f t="shared" si="404"/>
        <v>0</v>
      </c>
      <c r="AE371" s="243">
        <f t="shared" si="405"/>
        <v>0</v>
      </c>
      <c r="AF371" s="243">
        <f t="shared" si="406"/>
        <v>0</v>
      </c>
      <c r="AG371" s="243">
        <f t="shared" si="407"/>
        <v>0</v>
      </c>
      <c r="AH371" s="243">
        <f t="shared" si="408"/>
        <v>0</v>
      </c>
      <c r="AI371" s="232" t="s">
        <v>852</v>
      </c>
      <c r="AJ371" s="243">
        <f t="shared" si="409"/>
        <v>0</v>
      </c>
      <c r="AK371" s="243">
        <f t="shared" si="410"/>
        <v>0</v>
      </c>
      <c r="AL371" s="243">
        <f t="shared" si="411"/>
        <v>0</v>
      </c>
      <c r="AN371" s="243">
        <v>21</v>
      </c>
      <c r="AO371" s="243">
        <f>H371*0.796243845047714</f>
        <v>0</v>
      </c>
      <c r="AP371" s="243">
        <f>H371*(1-0.796243845047714)</f>
        <v>0</v>
      </c>
      <c r="AQ371" s="245" t="s">
        <v>567</v>
      </c>
      <c r="AV371" s="243">
        <f t="shared" si="412"/>
        <v>0</v>
      </c>
      <c r="AW371" s="243">
        <f t="shared" si="413"/>
        <v>0</v>
      </c>
      <c r="AX371" s="243">
        <f t="shared" si="414"/>
        <v>0</v>
      </c>
      <c r="AY371" s="245" t="s">
        <v>593</v>
      </c>
      <c r="AZ371" s="245" t="s">
        <v>882</v>
      </c>
      <c r="BA371" s="232" t="s">
        <v>855</v>
      </c>
      <c r="BC371" s="243">
        <f t="shared" si="415"/>
        <v>0</v>
      </c>
      <c r="BD371" s="243">
        <f t="shared" si="416"/>
        <v>0</v>
      </c>
      <c r="BE371" s="243">
        <v>0</v>
      </c>
      <c r="BF371" s="243">
        <f>371</f>
        <v>371</v>
      </c>
      <c r="BH371" s="243">
        <f t="shared" si="417"/>
        <v>0</v>
      </c>
      <c r="BI371" s="243">
        <f t="shared" si="418"/>
        <v>0</v>
      </c>
      <c r="BJ371" s="243">
        <f t="shared" si="419"/>
        <v>0</v>
      </c>
      <c r="BK371" s="243"/>
      <c r="BL371" s="243">
        <v>734</v>
      </c>
      <c r="BW371" s="243">
        <v>21</v>
      </c>
    </row>
    <row r="372" spans="1:75" ht="13.5" customHeight="1">
      <c r="A372" s="207" t="s">
        <v>911</v>
      </c>
      <c r="B372" s="208" t="s">
        <v>852</v>
      </c>
      <c r="C372" s="208" t="s">
        <v>438</v>
      </c>
      <c r="D372" s="268" t="s">
        <v>1360</v>
      </c>
      <c r="E372" s="260"/>
      <c r="F372" s="208" t="s">
        <v>68</v>
      </c>
      <c r="G372" s="243">
        <v>3</v>
      </c>
      <c r="H372" s="244">
        <v>0</v>
      </c>
      <c r="I372" s="244">
        <f t="shared" si="400"/>
        <v>0</v>
      </c>
      <c r="K372" s="231"/>
      <c r="Z372" s="243">
        <f t="shared" si="401"/>
        <v>0</v>
      </c>
      <c r="AB372" s="243">
        <f t="shared" si="402"/>
        <v>0</v>
      </c>
      <c r="AC372" s="243">
        <f t="shared" si="403"/>
        <v>0</v>
      </c>
      <c r="AD372" s="243">
        <f t="shared" si="404"/>
        <v>0</v>
      </c>
      <c r="AE372" s="243">
        <f t="shared" si="405"/>
        <v>0</v>
      </c>
      <c r="AF372" s="243">
        <f t="shared" si="406"/>
        <v>0</v>
      </c>
      <c r="AG372" s="243">
        <f t="shared" si="407"/>
        <v>0</v>
      </c>
      <c r="AH372" s="243">
        <f t="shared" si="408"/>
        <v>0</v>
      </c>
      <c r="AI372" s="232" t="s">
        <v>852</v>
      </c>
      <c r="AJ372" s="243">
        <f t="shared" si="409"/>
        <v>0</v>
      </c>
      <c r="AK372" s="243">
        <f t="shared" si="410"/>
        <v>0</v>
      </c>
      <c r="AL372" s="243">
        <f t="shared" si="411"/>
        <v>0</v>
      </c>
      <c r="AN372" s="243">
        <v>21</v>
      </c>
      <c r="AO372" s="243">
        <f>H372*0.893386019482375</f>
        <v>0</v>
      </c>
      <c r="AP372" s="243">
        <f>H372*(1-0.893386019482375)</f>
        <v>0</v>
      </c>
      <c r="AQ372" s="245" t="s">
        <v>567</v>
      </c>
      <c r="AV372" s="243">
        <f t="shared" si="412"/>
        <v>0</v>
      </c>
      <c r="AW372" s="243">
        <f t="shared" si="413"/>
        <v>0</v>
      </c>
      <c r="AX372" s="243">
        <f t="shared" si="414"/>
        <v>0</v>
      </c>
      <c r="AY372" s="245" t="s">
        <v>593</v>
      </c>
      <c r="AZ372" s="245" t="s">
        <v>882</v>
      </c>
      <c r="BA372" s="232" t="s">
        <v>855</v>
      </c>
      <c r="BC372" s="243">
        <f t="shared" si="415"/>
        <v>0</v>
      </c>
      <c r="BD372" s="243">
        <f t="shared" si="416"/>
        <v>0</v>
      </c>
      <c r="BE372" s="243">
        <v>0</v>
      </c>
      <c r="BF372" s="243">
        <f>372</f>
        <v>372</v>
      </c>
      <c r="BH372" s="243">
        <f t="shared" si="417"/>
        <v>0</v>
      </c>
      <c r="BI372" s="243">
        <f t="shared" si="418"/>
        <v>0</v>
      </c>
      <c r="BJ372" s="243">
        <f t="shared" si="419"/>
        <v>0</v>
      </c>
      <c r="BK372" s="243"/>
      <c r="BL372" s="243">
        <v>734</v>
      </c>
      <c r="BW372" s="243">
        <v>21</v>
      </c>
    </row>
    <row r="373" spans="1:75" ht="15" customHeight="1">
      <c r="A373" s="238" t="s">
        <v>21</v>
      </c>
      <c r="B373" s="239" t="s">
        <v>852</v>
      </c>
      <c r="C373" s="239" t="s">
        <v>101</v>
      </c>
      <c r="D373" s="309" t="s">
        <v>102</v>
      </c>
      <c r="E373" s="310"/>
      <c r="F373" s="240" t="s">
        <v>20</v>
      </c>
      <c r="G373" s="240" t="s">
        <v>20</v>
      </c>
      <c r="H373" s="241" t="s">
        <v>20</v>
      </c>
      <c r="I373" s="242">
        <f>SUM(I374:I375)</f>
        <v>0</v>
      </c>
      <c r="K373" s="231"/>
      <c r="AI373" s="232" t="s">
        <v>852</v>
      </c>
      <c r="AS373" s="225">
        <f>SUM(AJ374:AJ375)</f>
        <v>0</v>
      </c>
      <c r="AT373" s="225">
        <f>SUM(AK374:AK375)</f>
        <v>0</v>
      </c>
      <c r="AU373" s="225">
        <f>SUM(AL374:AL375)</f>
        <v>0</v>
      </c>
    </row>
    <row r="374" spans="1:75" ht="13.5" customHeight="1">
      <c r="A374" s="207" t="s">
        <v>912</v>
      </c>
      <c r="B374" s="208" t="s">
        <v>852</v>
      </c>
      <c r="C374" s="208" t="s">
        <v>440</v>
      </c>
      <c r="D374" s="268" t="s">
        <v>441</v>
      </c>
      <c r="E374" s="260"/>
      <c r="F374" s="208" t="s">
        <v>105</v>
      </c>
      <c r="G374" s="243">
        <v>50</v>
      </c>
      <c r="H374" s="244">
        <v>0</v>
      </c>
      <c r="I374" s="244">
        <f>G374*H374</f>
        <v>0</v>
      </c>
      <c r="K374" s="231"/>
      <c r="Z374" s="243">
        <f>IF(AQ374="5",BJ374,0)</f>
        <v>0</v>
      </c>
      <c r="AB374" s="243">
        <f>IF(AQ374="1",BH374,0)</f>
        <v>0</v>
      </c>
      <c r="AC374" s="243">
        <f>IF(AQ374="1",BI374,0)</f>
        <v>0</v>
      </c>
      <c r="AD374" s="243">
        <f>IF(AQ374="7",BH374,0)</f>
        <v>0</v>
      </c>
      <c r="AE374" s="243">
        <f>IF(AQ374="7",BI374,0)</f>
        <v>0</v>
      </c>
      <c r="AF374" s="243">
        <f>IF(AQ374="2",BH374,0)</f>
        <v>0</v>
      </c>
      <c r="AG374" s="243">
        <f>IF(AQ374="2",BI374,0)</f>
        <v>0</v>
      </c>
      <c r="AH374" s="243">
        <f>IF(AQ374="0",BJ374,0)</f>
        <v>0</v>
      </c>
      <c r="AI374" s="232" t="s">
        <v>852</v>
      </c>
      <c r="AJ374" s="243">
        <f>IF(AN374=0,I374,0)</f>
        <v>0</v>
      </c>
      <c r="AK374" s="243">
        <f>IF(AN374=12,I374,0)</f>
        <v>0</v>
      </c>
      <c r="AL374" s="243">
        <f>IF(AN374=21,I374,0)</f>
        <v>0</v>
      </c>
      <c r="AN374" s="243">
        <v>21</v>
      </c>
      <c r="AO374" s="243">
        <f>H374*0.166280991735537</f>
        <v>0</v>
      </c>
      <c r="AP374" s="243">
        <f>H374*(1-0.166280991735537)</f>
        <v>0</v>
      </c>
      <c r="AQ374" s="245" t="s">
        <v>567</v>
      </c>
      <c r="AV374" s="243">
        <f>AW374+AX374</f>
        <v>0</v>
      </c>
      <c r="AW374" s="243">
        <f>G374*AO374</f>
        <v>0</v>
      </c>
      <c r="AX374" s="243">
        <f>G374*AP374</f>
        <v>0</v>
      </c>
      <c r="AY374" s="245" t="s">
        <v>596</v>
      </c>
      <c r="AZ374" s="245" t="s">
        <v>917</v>
      </c>
      <c r="BA374" s="232" t="s">
        <v>855</v>
      </c>
      <c r="BC374" s="243">
        <f>AW374+AX374</f>
        <v>0</v>
      </c>
      <c r="BD374" s="243">
        <f>H374/(100-BE374)*100</f>
        <v>0</v>
      </c>
      <c r="BE374" s="243">
        <v>0</v>
      </c>
      <c r="BF374" s="243">
        <f>374</f>
        <v>374</v>
      </c>
      <c r="BH374" s="243">
        <f>G374*AO374</f>
        <v>0</v>
      </c>
      <c r="BI374" s="243">
        <f>G374*AP374</f>
        <v>0</v>
      </c>
      <c r="BJ374" s="243">
        <f>G374*H374</f>
        <v>0</v>
      </c>
      <c r="BK374" s="243"/>
      <c r="BL374" s="243">
        <v>767</v>
      </c>
      <c r="BW374" s="243">
        <v>21</v>
      </c>
    </row>
    <row r="375" spans="1:75" ht="13.5" customHeight="1">
      <c r="A375" s="207" t="s">
        <v>913</v>
      </c>
      <c r="B375" s="208" t="s">
        <v>852</v>
      </c>
      <c r="C375" s="208" t="s">
        <v>442</v>
      </c>
      <c r="D375" s="268" t="s">
        <v>443</v>
      </c>
      <c r="E375" s="260"/>
      <c r="F375" s="208" t="s">
        <v>105</v>
      </c>
      <c r="G375" s="243">
        <v>60</v>
      </c>
      <c r="H375" s="244">
        <v>0</v>
      </c>
      <c r="I375" s="244">
        <f>G375*H375</f>
        <v>0</v>
      </c>
      <c r="K375" s="231"/>
      <c r="Z375" s="243">
        <f>IF(AQ375="5",BJ375,0)</f>
        <v>0</v>
      </c>
      <c r="AB375" s="243">
        <f>IF(AQ375="1",BH375,0)</f>
        <v>0</v>
      </c>
      <c r="AC375" s="243">
        <f>IF(AQ375="1",BI375,0)</f>
        <v>0</v>
      </c>
      <c r="AD375" s="243">
        <f>IF(AQ375="7",BH375,0)</f>
        <v>0</v>
      </c>
      <c r="AE375" s="243">
        <f>IF(AQ375="7",BI375,0)</f>
        <v>0</v>
      </c>
      <c r="AF375" s="243">
        <f>IF(AQ375="2",BH375,0)</f>
        <v>0</v>
      </c>
      <c r="AG375" s="243">
        <f>IF(AQ375="2",BI375,0)</f>
        <v>0</v>
      </c>
      <c r="AH375" s="243">
        <f>IF(AQ375="0",BJ375,0)</f>
        <v>0</v>
      </c>
      <c r="AI375" s="232" t="s">
        <v>852</v>
      </c>
      <c r="AJ375" s="243">
        <f>IF(AN375=0,I375,0)</f>
        <v>0</v>
      </c>
      <c r="AK375" s="243">
        <f>IF(AN375=12,I375,0)</f>
        <v>0</v>
      </c>
      <c r="AL375" s="243">
        <f>IF(AN375=21,I375,0)</f>
        <v>0</v>
      </c>
      <c r="AN375" s="243">
        <v>21</v>
      </c>
      <c r="AO375" s="243">
        <f>H375*0.329041487839771</f>
        <v>0</v>
      </c>
      <c r="AP375" s="243">
        <f>H375*(1-0.329041487839771)</f>
        <v>0</v>
      </c>
      <c r="AQ375" s="245" t="s">
        <v>567</v>
      </c>
      <c r="AV375" s="243">
        <f>AW375+AX375</f>
        <v>0</v>
      </c>
      <c r="AW375" s="243">
        <f>G375*AO375</f>
        <v>0</v>
      </c>
      <c r="AX375" s="243">
        <f>G375*AP375</f>
        <v>0</v>
      </c>
      <c r="AY375" s="245" t="s">
        <v>596</v>
      </c>
      <c r="AZ375" s="245" t="s">
        <v>917</v>
      </c>
      <c r="BA375" s="232" t="s">
        <v>855</v>
      </c>
      <c r="BC375" s="243">
        <f>AW375+AX375</f>
        <v>0</v>
      </c>
      <c r="BD375" s="243">
        <f>H375/(100-BE375)*100</f>
        <v>0</v>
      </c>
      <c r="BE375" s="243">
        <v>0</v>
      </c>
      <c r="BF375" s="243">
        <f>375</f>
        <v>375</v>
      </c>
      <c r="BH375" s="243">
        <f>G375*AO375</f>
        <v>0</v>
      </c>
      <c r="BI375" s="243">
        <f>G375*AP375</f>
        <v>0</v>
      </c>
      <c r="BJ375" s="243">
        <f>G375*H375</f>
        <v>0</v>
      </c>
      <c r="BK375" s="243"/>
      <c r="BL375" s="243">
        <v>767</v>
      </c>
      <c r="BW375" s="243">
        <v>21</v>
      </c>
    </row>
    <row r="376" spans="1:75" ht="15" customHeight="1">
      <c r="A376" s="238" t="s">
        <v>21</v>
      </c>
      <c r="B376" s="239" t="s">
        <v>852</v>
      </c>
      <c r="C376" s="239" t="s">
        <v>21</v>
      </c>
      <c r="D376" s="309" t="s">
        <v>1310</v>
      </c>
      <c r="E376" s="310"/>
      <c r="F376" s="240" t="s">
        <v>20</v>
      </c>
      <c r="G376" s="240" t="s">
        <v>20</v>
      </c>
      <c r="H376" s="241" t="s">
        <v>20</v>
      </c>
      <c r="I376" s="242">
        <f>I377</f>
        <v>0</v>
      </c>
      <c r="K376" s="231"/>
      <c r="AI376" s="232" t="s">
        <v>852</v>
      </c>
    </row>
    <row r="377" spans="1:75" ht="15" customHeight="1">
      <c r="A377" s="238" t="s">
        <v>21</v>
      </c>
      <c r="B377" s="239" t="s">
        <v>852</v>
      </c>
      <c r="C377" s="239" t="s">
        <v>348</v>
      </c>
      <c r="D377" s="309" t="s">
        <v>349</v>
      </c>
      <c r="E377" s="310"/>
      <c r="F377" s="240" t="s">
        <v>20</v>
      </c>
      <c r="G377" s="240" t="s">
        <v>20</v>
      </c>
      <c r="H377" s="241" t="s">
        <v>20</v>
      </c>
      <c r="I377" s="242">
        <f>SUM(I378:I378)</f>
        <v>0</v>
      </c>
      <c r="K377" s="231"/>
      <c r="AI377" s="232" t="s">
        <v>852</v>
      </c>
      <c r="AS377" s="225">
        <f>SUM(AJ378:AJ378)</f>
        <v>0</v>
      </c>
      <c r="AT377" s="225">
        <f>SUM(AK378:AK378)</f>
        <v>0</v>
      </c>
      <c r="AU377" s="225">
        <f>SUM(AL378:AL378)</f>
        <v>0</v>
      </c>
    </row>
    <row r="378" spans="1:75" ht="13.5" customHeight="1">
      <c r="A378" s="207" t="s">
        <v>914</v>
      </c>
      <c r="B378" s="208" t="s">
        <v>852</v>
      </c>
      <c r="C378" s="208" t="s">
        <v>350</v>
      </c>
      <c r="D378" s="268" t="s">
        <v>447</v>
      </c>
      <c r="E378" s="260"/>
      <c r="F378" s="208" t="s">
        <v>29</v>
      </c>
      <c r="G378" s="243">
        <v>1</v>
      </c>
      <c r="H378" s="244">
        <v>0</v>
      </c>
      <c r="I378" s="244">
        <f>G378*H378</f>
        <v>0</v>
      </c>
      <c r="K378" s="231"/>
      <c r="Z378" s="243">
        <f>IF(AQ378="5",BJ378,0)</f>
        <v>0</v>
      </c>
      <c r="AB378" s="243">
        <f>IF(AQ378="1",BH378,0)</f>
        <v>0</v>
      </c>
      <c r="AC378" s="243">
        <f>IF(AQ378="1",BI378,0)</f>
        <v>0</v>
      </c>
      <c r="AD378" s="243">
        <f>IF(AQ378="7",BH378,0)</f>
        <v>0</v>
      </c>
      <c r="AE378" s="243">
        <f>IF(AQ378="7",BI378,0)</f>
        <v>0</v>
      </c>
      <c r="AF378" s="243">
        <f>IF(AQ378="2",BH378,0)</f>
        <v>0</v>
      </c>
      <c r="AG378" s="243">
        <f>IF(AQ378="2",BI378,0)</f>
        <v>0</v>
      </c>
      <c r="AH378" s="243">
        <f>IF(AQ378="0",BJ378,0)</f>
        <v>0</v>
      </c>
      <c r="AI378" s="232" t="s">
        <v>852</v>
      </c>
      <c r="AJ378" s="243">
        <f>IF(AN378=0,I378,0)</f>
        <v>0</v>
      </c>
      <c r="AK378" s="243">
        <f>IF(AN378=12,I378,0)</f>
        <v>0</v>
      </c>
      <c r="AL378" s="243">
        <f>IF(AN378=21,I378,0)</f>
        <v>0</v>
      </c>
      <c r="AN378" s="243">
        <v>21</v>
      </c>
      <c r="AO378" s="243">
        <f>H378*0</f>
        <v>0</v>
      </c>
      <c r="AP378" s="243">
        <f>H378*(1-0)</f>
        <v>0</v>
      </c>
      <c r="AQ378" s="245" t="s">
        <v>556</v>
      </c>
      <c r="AV378" s="243">
        <f>AW378+AX378</f>
        <v>0</v>
      </c>
      <c r="AW378" s="243">
        <f>G378*AO378</f>
        <v>0</v>
      </c>
      <c r="AX378" s="243">
        <f>G378*AP378</f>
        <v>0</v>
      </c>
      <c r="AY378" s="245" t="s">
        <v>711</v>
      </c>
      <c r="AZ378" s="245" t="s">
        <v>1368</v>
      </c>
      <c r="BA378" s="232" t="s">
        <v>855</v>
      </c>
      <c r="BC378" s="243">
        <f>AW378+AX378</f>
        <v>0</v>
      </c>
      <c r="BD378" s="243">
        <f>H378/(100-BE378)*100</f>
        <v>0</v>
      </c>
      <c r="BE378" s="243">
        <v>0</v>
      </c>
      <c r="BF378" s="243">
        <f>378</f>
        <v>378</v>
      </c>
      <c r="BH378" s="243">
        <f>G378*AO378</f>
        <v>0</v>
      </c>
      <c r="BI378" s="243">
        <f>G378*AP378</f>
        <v>0</v>
      </c>
      <c r="BJ378" s="243">
        <f>G378*H378</f>
        <v>0</v>
      </c>
      <c r="BK378" s="243"/>
      <c r="BL378" s="243"/>
      <c r="BR378" s="243">
        <f>G378*H378</f>
        <v>0</v>
      </c>
      <c r="BW378" s="243">
        <v>21</v>
      </c>
    </row>
    <row r="379" spans="1:75" ht="15" customHeight="1">
      <c r="A379" s="238" t="s">
        <v>21</v>
      </c>
      <c r="B379" s="239" t="s">
        <v>921</v>
      </c>
      <c r="C379" s="239" t="s">
        <v>21</v>
      </c>
      <c r="D379" s="309" t="s">
        <v>448</v>
      </c>
      <c r="E379" s="310"/>
      <c r="F379" s="240" t="s">
        <v>20</v>
      </c>
      <c r="G379" s="240" t="s">
        <v>20</v>
      </c>
      <c r="H379" s="241" t="s">
        <v>20</v>
      </c>
      <c r="I379" s="242">
        <f>I380+I390+I392+I405+I407+I415+I427+I443+I447</f>
        <v>0</v>
      </c>
      <c r="K379" s="231"/>
    </row>
    <row r="380" spans="1:75" ht="15" customHeight="1">
      <c r="A380" s="238" t="s">
        <v>21</v>
      </c>
      <c r="B380" s="239" t="s">
        <v>921</v>
      </c>
      <c r="C380" s="239" t="s">
        <v>54</v>
      </c>
      <c r="D380" s="309" t="s">
        <v>55</v>
      </c>
      <c r="E380" s="310"/>
      <c r="F380" s="240" t="s">
        <v>20</v>
      </c>
      <c r="G380" s="240" t="s">
        <v>20</v>
      </c>
      <c r="H380" s="241" t="s">
        <v>20</v>
      </c>
      <c r="I380" s="242">
        <f>SUM(I381:I389)</f>
        <v>0</v>
      </c>
      <c r="K380" s="231"/>
      <c r="AI380" s="232" t="s">
        <v>921</v>
      </c>
      <c r="AS380" s="225">
        <f>SUM(AJ381:AJ389)</f>
        <v>0</v>
      </c>
      <c r="AT380" s="225">
        <f>SUM(AK381:AK389)</f>
        <v>0</v>
      </c>
      <c r="AU380" s="225">
        <f>SUM(AL381:AL389)</f>
        <v>0</v>
      </c>
    </row>
    <row r="381" spans="1:75" ht="13.5" customHeight="1">
      <c r="A381" s="207" t="s">
        <v>915</v>
      </c>
      <c r="B381" s="208" t="s">
        <v>921</v>
      </c>
      <c r="C381" s="208" t="s">
        <v>69</v>
      </c>
      <c r="D381" s="268" t="s">
        <v>356</v>
      </c>
      <c r="E381" s="260"/>
      <c r="F381" s="208" t="s">
        <v>68</v>
      </c>
      <c r="G381" s="243">
        <v>1</v>
      </c>
      <c r="H381" s="244">
        <v>0</v>
      </c>
      <c r="I381" s="244">
        <f t="shared" ref="I381:I389" si="420">G381*H381</f>
        <v>0</v>
      </c>
      <c r="K381" s="231"/>
      <c r="Z381" s="243">
        <f t="shared" ref="Z381:Z389" si="421">IF(AQ381="5",BJ381,0)</f>
        <v>0</v>
      </c>
      <c r="AB381" s="243">
        <f t="shared" ref="AB381:AB389" si="422">IF(AQ381="1",BH381,0)</f>
        <v>0</v>
      </c>
      <c r="AC381" s="243">
        <f t="shared" ref="AC381:AC389" si="423">IF(AQ381="1",BI381,0)</f>
        <v>0</v>
      </c>
      <c r="AD381" s="243">
        <f t="shared" ref="AD381:AD389" si="424">IF(AQ381="7",BH381,0)</f>
        <v>0</v>
      </c>
      <c r="AE381" s="243">
        <f t="shared" ref="AE381:AE389" si="425">IF(AQ381="7",BI381,0)</f>
        <v>0</v>
      </c>
      <c r="AF381" s="243">
        <f t="shared" ref="AF381:AF389" si="426">IF(AQ381="2",BH381,0)</f>
        <v>0</v>
      </c>
      <c r="AG381" s="243">
        <f t="shared" ref="AG381:AG389" si="427">IF(AQ381="2",BI381,0)</f>
        <v>0</v>
      </c>
      <c r="AH381" s="243">
        <f t="shared" ref="AH381:AH389" si="428">IF(AQ381="0",BJ381,0)</f>
        <v>0</v>
      </c>
      <c r="AI381" s="232" t="s">
        <v>921</v>
      </c>
      <c r="AJ381" s="243">
        <f t="shared" ref="AJ381:AJ389" si="429">IF(AN381=0,I381,0)</f>
        <v>0</v>
      </c>
      <c r="AK381" s="243">
        <f t="shared" ref="AK381:AK389" si="430">IF(AN381=12,I381,0)</f>
        <v>0</v>
      </c>
      <c r="AL381" s="243">
        <f t="shared" ref="AL381:AL389" si="431">IF(AN381=21,I381,0)</f>
        <v>0</v>
      </c>
      <c r="AN381" s="243">
        <v>21</v>
      </c>
      <c r="AO381" s="243">
        <f>H381*0</f>
        <v>0</v>
      </c>
      <c r="AP381" s="243">
        <f>H381*(1-0)</f>
        <v>0</v>
      </c>
      <c r="AQ381" s="245" t="s">
        <v>553</v>
      </c>
      <c r="AV381" s="243">
        <f t="shared" ref="AV381:AV389" si="432">AW381+AX381</f>
        <v>0</v>
      </c>
      <c r="AW381" s="243">
        <f t="shared" ref="AW381:AW389" si="433">G381*AO381</f>
        <v>0</v>
      </c>
      <c r="AX381" s="243">
        <f t="shared" ref="AX381:AX389" si="434">G381*AP381</f>
        <v>0</v>
      </c>
      <c r="AY381" s="245" t="s">
        <v>574</v>
      </c>
      <c r="AZ381" s="245" t="s">
        <v>923</v>
      </c>
      <c r="BA381" s="232" t="s">
        <v>924</v>
      </c>
      <c r="BC381" s="243">
        <f t="shared" ref="BC381:BC389" si="435">AW381+AX381</f>
        <v>0</v>
      </c>
      <c r="BD381" s="243">
        <f t="shared" ref="BD381:BD389" si="436">H381/(100-BE381)*100</f>
        <v>0</v>
      </c>
      <c r="BE381" s="243">
        <v>0</v>
      </c>
      <c r="BF381" s="243">
        <f>381</f>
        <v>381</v>
      </c>
      <c r="BH381" s="243">
        <f t="shared" ref="BH381:BH389" si="437">G381*AO381</f>
        <v>0</v>
      </c>
      <c r="BI381" s="243">
        <f t="shared" ref="BI381:BI389" si="438">G381*AP381</f>
        <v>0</v>
      </c>
      <c r="BJ381" s="243">
        <f t="shared" ref="BJ381:BJ389" si="439">G381*H381</f>
        <v>0</v>
      </c>
      <c r="BK381" s="243"/>
      <c r="BL381" s="243">
        <v>0</v>
      </c>
      <c r="BW381" s="243">
        <v>21</v>
      </c>
    </row>
    <row r="382" spans="1:75" ht="13.5" customHeight="1">
      <c r="A382" s="207" t="s">
        <v>916</v>
      </c>
      <c r="B382" s="208" t="s">
        <v>921</v>
      </c>
      <c r="C382" s="208" t="s">
        <v>107</v>
      </c>
      <c r="D382" s="268" t="s">
        <v>108</v>
      </c>
      <c r="E382" s="260"/>
      <c r="F382" s="208" t="s">
        <v>109</v>
      </c>
      <c r="G382" s="243">
        <v>8</v>
      </c>
      <c r="H382" s="244">
        <v>0</v>
      </c>
      <c r="I382" s="244">
        <f t="shared" si="420"/>
        <v>0</v>
      </c>
      <c r="K382" s="231"/>
      <c r="Z382" s="243">
        <f t="shared" si="421"/>
        <v>0</v>
      </c>
      <c r="AB382" s="243">
        <f t="shared" si="422"/>
        <v>0</v>
      </c>
      <c r="AC382" s="243">
        <f t="shared" si="423"/>
        <v>0</v>
      </c>
      <c r="AD382" s="243">
        <f t="shared" si="424"/>
        <v>0</v>
      </c>
      <c r="AE382" s="243">
        <f t="shared" si="425"/>
        <v>0</v>
      </c>
      <c r="AF382" s="243">
        <f t="shared" si="426"/>
        <v>0</v>
      </c>
      <c r="AG382" s="243">
        <f t="shared" si="427"/>
        <v>0</v>
      </c>
      <c r="AH382" s="243">
        <f t="shared" si="428"/>
        <v>0</v>
      </c>
      <c r="AI382" s="232" t="s">
        <v>921</v>
      </c>
      <c r="AJ382" s="243">
        <f t="shared" si="429"/>
        <v>0</v>
      </c>
      <c r="AK382" s="243">
        <f t="shared" si="430"/>
        <v>0</v>
      </c>
      <c r="AL382" s="243">
        <f t="shared" si="431"/>
        <v>0</v>
      </c>
      <c r="AN382" s="243">
        <v>21</v>
      </c>
      <c r="AO382" s="243">
        <f>H382*0</f>
        <v>0</v>
      </c>
      <c r="AP382" s="243">
        <f>H382*(1-0)</f>
        <v>0</v>
      </c>
      <c r="AQ382" s="245" t="s">
        <v>553</v>
      </c>
      <c r="AV382" s="243">
        <f t="shared" si="432"/>
        <v>0</v>
      </c>
      <c r="AW382" s="243">
        <f t="shared" si="433"/>
        <v>0</v>
      </c>
      <c r="AX382" s="243">
        <f t="shared" si="434"/>
        <v>0</v>
      </c>
      <c r="AY382" s="245" t="s">
        <v>574</v>
      </c>
      <c r="AZ382" s="245" t="s">
        <v>923</v>
      </c>
      <c r="BA382" s="232" t="s">
        <v>924</v>
      </c>
      <c r="BC382" s="243">
        <f t="shared" si="435"/>
        <v>0</v>
      </c>
      <c r="BD382" s="243">
        <f t="shared" si="436"/>
        <v>0</v>
      </c>
      <c r="BE382" s="243">
        <v>0</v>
      </c>
      <c r="BF382" s="243">
        <f>382</f>
        <v>382</v>
      </c>
      <c r="BH382" s="243">
        <f t="shared" si="437"/>
        <v>0</v>
      </c>
      <c r="BI382" s="243">
        <f t="shared" si="438"/>
        <v>0</v>
      </c>
      <c r="BJ382" s="243">
        <f t="shared" si="439"/>
        <v>0</v>
      </c>
      <c r="BK382" s="243"/>
      <c r="BL382" s="243">
        <v>0</v>
      </c>
      <c r="BW382" s="243">
        <v>21</v>
      </c>
    </row>
    <row r="383" spans="1:75" ht="27" customHeight="1">
      <c r="A383" s="207" t="s">
        <v>918</v>
      </c>
      <c r="B383" s="208" t="s">
        <v>921</v>
      </c>
      <c r="C383" s="208" t="s">
        <v>110</v>
      </c>
      <c r="D383" s="268" t="s">
        <v>111</v>
      </c>
      <c r="E383" s="260"/>
      <c r="F383" s="208" t="s">
        <v>112</v>
      </c>
      <c r="G383" s="243">
        <v>8</v>
      </c>
      <c r="H383" s="244">
        <v>0</v>
      </c>
      <c r="I383" s="244">
        <f t="shared" si="420"/>
        <v>0</v>
      </c>
      <c r="K383" s="231"/>
      <c r="Z383" s="243">
        <f t="shared" si="421"/>
        <v>0</v>
      </c>
      <c r="AB383" s="243">
        <f t="shared" si="422"/>
        <v>0</v>
      </c>
      <c r="AC383" s="243">
        <f t="shared" si="423"/>
        <v>0</v>
      </c>
      <c r="AD383" s="243">
        <f t="shared" si="424"/>
        <v>0</v>
      </c>
      <c r="AE383" s="243">
        <f t="shared" si="425"/>
        <v>0</v>
      </c>
      <c r="AF383" s="243">
        <f t="shared" si="426"/>
        <v>0</v>
      </c>
      <c r="AG383" s="243">
        <f t="shared" si="427"/>
        <v>0</v>
      </c>
      <c r="AH383" s="243">
        <f t="shared" si="428"/>
        <v>0</v>
      </c>
      <c r="AI383" s="232" t="s">
        <v>921</v>
      </c>
      <c r="AJ383" s="243">
        <f t="shared" si="429"/>
        <v>0</v>
      </c>
      <c r="AK383" s="243">
        <f t="shared" si="430"/>
        <v>0</v>
      </c>
      <c r="AL383" s="243">
        <f t="shared" si="431"/>
        <v>0</v>
      </c>
      <c r="AN383" s="243">
        <v>21</v>
      </c>
      <c r="AO383" s="243">
        <f>H383*0.298352654057352</f>
        <v>0</v>
      </c>
      <c r="AP383" s="243">
        <f>H383*(1-0.298352654057352)</f>
        <v>0</v>
      </c>
      <c r="AQ383" s="245" t="s">
        <v>553</v>
      </c>
      <c r="AV383" s="243">
        <f t="shared" si="432"/>
        <v>0</v>
      </c>
      <c r="AW383" s="243">
        <f t="shared" si="433"/>
        <v>0</v>
      </c>
      <c r="AX383" s="243">
        <f t="shared" si="434"/>
        <v>0</v>
      </c>
      <c r="AY383" s="245" t="s">
        <v>574</v>
      </c>
      <c r="AZ383" s="245" t="s">
        <v>923</v>
      </c>
      <c r="BA383" s="232" t="s">
        <v>924</v>
      </c>
      <c r="BC383" s="243">
        <f t="shared" si="435"/>
        <v>0</v>
      </c>
      <c r="BD383" s="243">
        <f t="shared" si="436"/>
        <v>0</v>
      </c>
      <c r="BE383" s="243">
        <v>0</v>
      </c>
      <c r="BF383" s="243">
        <f>383</f>
        <v>383</v>
      </c>
      <c r="BH383" s="243">
        <f t="shared" si="437"/>
        <v>0</v>
      </c>
      <c r="BI383" s="243">
        <f t="shared" si="438"/>
        <v>0</v>
      </c>
      <c r="BJ383" s="243">
        <f t="shared" si="439"/>
        <v>0</v>
      </c>
      <c r="BK383" s="243"/>
      <c r="BL383" s="243">
        <v>0</v>
      </c>
      <c r="BW383" s="243">
        <v>21</v>
      </c>
    </row>
    <row r="384" spans="1:75" ht="13.5" customHeight="1">
      <c r="A384" s="207" t="s">
        <v>919</v>
      </c>
      <c r="B384" s="208" t="s">
        <v>921</v>
      </c>
      <c r="C384" s="208" t="s">
        <v>115</v>
      </c>
      <c r="D384" s="268" t="s">
        <v>116</v>
      </c>
      <c r="E384" s="260"/>
      <c r="F384" s="208" t="s">
        <v>58</v>
      </c>
      <c r="G384" s="243">
        <v>1</v>
      </c>
      <c r="H384" s="244">
        <v>0</v>
      </c>
      <c r="I384" s="244">
        <f t="shared" si="420"/>
        <v>0</v>
      </c>
      <c r="K384" s="231"/>
      <c r="Z384" s="243">
        <f t="shared" si="421"/>
        <v>0</v>
      </c>
      <c r="AB384" s="243">
        <f t="shared" si="422"/>
        <v>0</v>
      </c>
      <c r="AC384" s="243">
        <f t="shared" si="423"/>
        <v>0</v>
      </c>
      <c r="AD384" s="243">
        <f t="shared" si="424"/>
        <v>0</v>
      </c>
      <c r="AE384" s="243">
        <f t="shared" si="425"/>
        <v>0</v>
      </c>
      <c r="AF384" s="243">
        <f t="shared" si="426"/>
        <v>0</v>
      </c>
      <c r="AG384" s="243">
        <f t="shared" si="427"/>
        <v>0</v>
      </c>
      <c r="AH384" s="243">
        <f t="shared" si="428"/>
        <v>0</v>
      </c>
      <c r="AI384" s="232" t="s">
        <v>921</v>
      </c>
      <c r="AJ384" s="243">
        <f t="shared" si="429"/>
        <v>0</v>
      </c>
      <c r="AK384" s="243">
        <f t="shared" si="430"/>
        <v>0</v>
      </c>
      <c r="AL384" s="243">
        <f t="shared" si="431"/>
        <v>0</v>
      </c>
      <c r="AN384" s="243">
        <v>21</v>
      </c>
      <c r="AO384" s="243">
        <f>H384*0</f>
        <v>0</v>
      </c>
      <c r="AP384" s="243">
        <f>H384*(1-0)</f>
        <v>0</v>
      </c>
      <c r="AQ384" s="245" t="s">
        <v>553</v>
      </c>
      <c r="AV384" s="243">
        <f t="shared" si="432"/>
        <v>0</v>
      </c>
      <c r="AW384" s="243">
        <f t="shared" si="433"/>
        <v>0</v>
      </c>
      <c r="AX384" s="243">
        <f t="shared" si="434"/>
        <v>0</v>
      </c>
      <c r="AY384" s="245" t="s">
        <v>574</v>
      </c>
      <c r="AZ384" s="245" t="s">
        <v>923</v>
      </c>
      <c r="BA384" s="232" t="s">
        <v>924</v>
      </c>
      <c r="BC384" s="243">
        <f t="shared" si="435"/>
        <v>0</v>
      </c>
      <c r="BD384" s="243">
        <f t="shared" si="436"/>
        <v>0</v>
      </c>
      <c r="BE384" s="243">
        <v>0</v>
      </c>
      <c r="BF384" s="243">
        <f>384</f>
        <v>384</v>
      </c>
      <c r="BH384" s="243">
        <f t="shared" si="437"/>
        <v>0</v>
      </c>
      <c r="BI384" s="243">
        <f t="shared" si="438"/>
        <v>0</v>
      </c>
      <c r="BJ384" s="243">
        <f t="shared" si="439"/>
        <v>0</v>
      </c>
      <c r="BK384" s="243"/>
      <c r="BL384" s="243">
        <v>0</v>
      </c>
      <c r="BW384" s="243">
        <v>21</v>
      </c>
    </row>
    <row r="385" spans="1:75" ht="13.5" customHeight="1">
      <c r="A385" s="207" t="s">
        <v>922</v>
      </c>
      <c r="B385" s="208" t="s">
        <v>921</v>
      </c>
      <c r="C385" s="208" t="s">
        <v>119</v>
      </c>
      <c r="D385" s="268" t="s">
        <v>120</v>
      </c>
      <c r="E385" s="260"/>
      <c r="F385" s="208" t="s">
        <v>58</v>
      </c>
      <c r="G385" s="243">
        <v>1</v>
      </c>
      <c r="H385" s="244">
        <v>0</v>
      </c>
      <c r="I385" s="244">
        <f t="shared" si="420"/>
        <v>0</v>
      </c>
      <c r="K385" s="231"/>
      <c r="Z385" s="243">
        <f t="shared" si="421"/>
        <v>0</v>
      </c>
      <c r="AB385" s="243">
        <f t="shared" si="422"/>
        <v>0</v>
      </c>
      <c r="AC385" s="243">
        <f t="shared" si="423"/>
        <v>0</v>
      </c>
      <c r="AD385" s="243">
        <f t="shared" si="424"/>
        <v>0</v>
      </c>
      <c r="AE385" s="243">
        <f t="shared" si="425"/>
        <v>0</v>
      </c>
      <c r="AF385" s="243">
        <f t="shared" si="426"/>
        <v>0</v>
      </c>
      <c r="AG385" s="243">
        <f t="shared" si="427"/>
        <v>0</v>
      </c>
      <c r="AH385" s="243">
        <f t="shared" si="428"/>
        <v>0</v>
      </c>
      <c r="AI385" s="232" t="s">
        <v>921</v>
      </c>
      <c r="AJ385" s="243">
        <f t="shared" si="429"/>
        <v>0</v>
      </c>
      <c r="AK385" s="243">
        <f t="shared" si="430"/>
        <v>0</v>
      </c>
      <c r="AL385" s="243">
        <f t="shared" si="431"/>
        <v>0</v>
      </c>
      <c r="AN385" s="243">
        <v>21</v>
      </c>
      <c r="AO385" s="243">
        <f>H385*0</f>
        <v>0</v>
      </c>
      <c r="AP385" s="243">
        <f>H385*(1-0)</f>
        <v>0</v>
      </c>
      <c r="AQ385" s="245" t="s">
        <v>553</v>
      </c>
      <c r="AV385" s="243">
        <f t="shared" si="432"/>
        <v>0</v>
      </c>
      <c r="AW385" s="243">
        <f t="shared" si="433"/>
        <v>0</v>
      </c>
      <c r="AX385" s="243">
        <f t="shared" si="434"/>
        <v>0</v>
      </c>
      <c r="AY385" s="245" t="s">
        <v>574</v>
      </c>
      <c r="AZ385" s="245" t="s">
        <v>923</v>
      </c>
      <c r="BA385" s="232" t="s">
        <v>924</v>
      </c>
      <c r="BC385" s="243">
        <f t="shared" si="435"/>
        <v>0</v>
      </c>
      <c r="BD385" s="243">
        <f t="shared" si="436"/>
        <v>0</v>
      </c>
      <c r="BE385" s="243">
        <v>0</v>
      </c>
      <c r="BF385" s="243">
        <f>385</f>
        <v>385</v>
      </c>
      <c r="BH385" s="243">
        <f t="shared" si="437"/>
        <v>0</v>
      </c>
      <c r="BI385" s="243">
        <f t="shared" si="438"/>
        <v>0</v>
      </c>
      <c r="BJ385" s="243">
        <f t="shared" si="439"/>
        <v>0</v>
      </c>
      <c r="BK385" s="243"/>
      <c r="BL385" s="243">
        <v>0</v>
      </c>
      <c r="BW385" s="243">
        <v>21</v>
      </c>
    </row>
    <row r="386" spans="1:75" ht="13.5" customHeight="1">
      <c r="A386" s="207" t="s">
        <v>925</v>
      </c>
      <c r="B386" s="208" t="s">
        <v>921</v>
      </c>
      <c r="C386" s="208" t="s">
        <v>71</v>
      </c>
      <c r="D386" s="268" t="s">
        <v>72</v>
      </c>
      <c r="E386" s="260"/>
      <c r="F386" s="208" t="s">
        <v>58</v>
      </c>
      <c r="G386" s="243">
        <v>1</v>
      </c>
      <c r="H386" s="244">
        <v>0</v>
      </c>
      <c r="I386" s="244">
        <f t="shared" si="420"/>
        <v>0</v>
      </c>
      <c r="K386" s="231"/>
      <c r="Z386" s="243">
        <f t="shared" si="421"/>
        <v>0</v>
      </c>
      <c r="AB386" s="243">
        <f t="shared" si="422"/>
        <v>0</v>
      </c>
      <c r="AC386" s="243">
        <f t="shared" si="423"/>
        <v>0</v>
      </c>
      <c r="AD386" s="243">
        <f t="shared" si="424"/>
        <v>0</v>
      </c>
      <c r="AE386" s="243">
        <f t="shared" si="425"/>
        <v>0</v>
      </c>
      <c r="AF386" s="243">
        <f t="shared" si="426"/>
        <v>0</v>
      </c>
      <c r="AG386" s="243">
        <f t="shared" si="427"/>
        <v>0</v>
      </c>
      <c r="AH386" s="243">
        <f t="shared" si="428"/>
        <v>0</v>
      </c>
      <c r="AI386" s="232" t="s">
        <v>921</v>
      </c>
      <c r="AJ386" s="243">
        <f t="shared" si="429"/>
        <v>0</v>
      </c>
      <c r="AK386" s="243">
        <f t="shared" si="430"/>
        <v>0</v>
      </c>
      <c r="AL386" s="243">
        <f t="shared" si="431"/>
        <v>0</v>
      </c>
      <c r="AN386" s="243">
        <v>21</v>
      </c>
      <c r="AO386" s="243">
        <f>H386*0.632508123680949</f>
        <v>0</v>
      </c>
      <c r="AP386" s="243">
        <f>H386*(1-0.632508123680949)</f>
        <v>0</v>
      </c>
      <c r="AQ386" s="245" t="s">
        <v>553</v>
      </c>
      <c r="AV386" s="243">
        <f t="shared" si="432"/>
        <v>0</v>
      </c>
      <c r="AW386" s="243">
        <f t="shared" si="433"/>
        <v>0</v>
      </c>
      <c r="AX386" s="243">
        <f t="shared" si="434"/>
        <v>0</v>
      </c>
      <c r="AY386" s="245" t="s">
        <v>574</v>
      </c>
      <c r="AZ386" s="245" t="s">
        <v>923</v>
      </c>
      <c r="BA386" s="232" t="s">
        <v>924</v>
      </c>
      <c r="BC386" s="243">
        <f t="shared" si="435"/>
        <v>0</v>
      </c>
      <c r="BD386" s="243">
        <f t="shared" si="436"/>
        <v>0</v>
      </c>
      <c r="BE386" s="243">
        <v>0</v>
      </c>
      <c r="BF386" s="243">
        <f>386</f>
        <v>386</v>
      </c>
      <c r="BH386" s="243">
        <f t="shared" si="437"/>
        <v>0</v>
      </c>
      <c r="BI386" s="243">
        <f t="shared" si="438"/>
        <v>0</v>
      </c>
      <c r="BJ386" s="243">
        <f t="shared" si="439"/>
        <v>0</v>
      </c>
      <c r="BK386" s="243"/>
      <c r="BL386" s="243">
        <v>0</v>
      </c>
      <c r="BW386" s="243">
        <v>21</v>
      </c>
    </row>
    <row r="387" spans="1:75" ht="13.5" customHeight="1">
      <c r="A387" s="207" t="s">
        <v>926</v>
      </c>
      <c r="B387" s="208" t="s">
        <v>921</v>
      </c>
      <c r="C387" s="208" t="s">
        <v>66</v>
      </c>
      <c r="D387" s="268" t="s">
        <v>67</v>
      </c>
      <c r="E387" s="260"/>
      <c r="F387" s="208" t="s">
        <v>68</v>
      </c>
      <c r="G387" s="243">
        <v>1</v>
      </c>
      <c r="H387" s="244">
        <v>0</v>
      </c>
      <c r="I387" s="244">
        <f t="shared" si="420"/>
        <v>0</v>
      </c>
      <c r="K387" s="231"/>
      <c r="Z387" s="243">
        <f t="shared" si="421"/>
        <v>0</v>
      </c>
      <c r="AB387" s="243">
        <f t="shared" si="422"/>
        <v>0</v>
      </c>
      <c r="AC387" s="243">
        <f t="shared" si="423"/>
        <v>0</v>
      </c>
      <c r="AD387" s="243">
        <f t="shared" si="424"/>
        <v>0</v>
      </c>
      <c r="AE387" s="243">
        <f t="shared" si="425"/>
        <v>0</v>
      </c>
      <c r="AF387" s="243">
        <f t="shared" si="426"/>
        <v>0</v>
      </c>
      <c r="AG387" s="243">
        <f t="shared" si="427"/>
        <v>0</v>
      </c>
      <c r="AH387" s="243">
        <f t="shared" si="428"/>
        <v>0</v>
      </c>
      <c r="AI387" s="232" t="s">
        <v>921</v>
      </c>
      <c r="AJ387" s="243">
        <f t="shared" si="429"/>
        <v>0</v>
      </c>
      <c r="AK387" s="243">
        <f t="shared" si="430"/>
        <v>0</v>
      </c>
      <c r="AL387" s="243">
        <f t="shared" si="431"/>
        <v>0</v>
      </c>
      <c r="AN387" s="243">
        <v>21</v>
      </c>
      <c r="AO387" s="243">
        <f>H387*0</f>
        <v>0</v>
      </c>
      <c r="AP387" s="243">
        <f>H387*(1-0)</f>
        <v>0</v>
      </c>
      <c r="AQ387" s="245" t="s">
        <v>553</v>
      </c>
      <c r="AV387" s="243">
        <f t="shared" si="432"/>
        <v>0</v>
      </c>
      <c r="AW387" s="243">
        <f t="shared" si="433"/>
        <v>0</v>
      </c>
      <c r="AX387" s="243">
        <f t="shared" si="434"/>
        <v>0</v>
      </c>
      <c r="AY387" s="245" t="s">
        <v>574</v>
      </c>
      <c r="AZ387" s="245" t="s">
        <v>923</v>
      </c>
      <c r="BA387" s="232" t="s">
        <v>924</v>
      </c>
      <c r="BC387" s="243">
        <f t="shared" si="435"/>
        <v>0</v>
      </c>
      <c r="BD387" s="243">
        <f t="shared" si="436"/>
        <v>0</v>
      </c>
      <c r="BE387" s="243">
        <v>0</v>
      </c>
      <c r="BF387" s="243">
        <f>387</f>
        <v>387</v>
      </c>
      <c r="BH387" s="243">
        <f t="shared" si="437"/>
        <v>0</v>
      </c>
      <c r="BI387" s="243">
        <f t="shared" si="438"/>
        <v>0</v>
      </c>
      <c r="BJ387" s="243">
        <f t="shared" si="439"/>
        <v>0</v>
      </c>
      <c r="BK387" s="243"/>
      <c r="BL387" s="243">
        <v>0</v>
      </c>
      <c r="BW387" s="243">
        <v>21</v>
      </c>
    </row>
    <row r="388" spans="1:75" ht="13.5" customHeight="1">
      <c r="A388" s="207" t="s">
        <v>927</v>
      </c>
      <c r="B388" s="208" t="s">
        <v>921</v>
      </c>
      <c r="C388" s="208" t="s">
        <v>124</v>
      </c>
      <c r="D388" s="268" t="s">
        <v>125</v>
      </c>
      <c r="E388" s="260"/>
      <c r="F388" s="208" t="s">
        <v>123</v>
      </c>
      <c r="G388" s="243">
        <v>1.04924</v>
      </c>
      <c r="H388" s="244">
        <v>0</v>
      </c>
      <c r="I388" s="244">
        <f t="shared" si="420"/>
        <v>0</v>
      </c>
      <c r="K388" s="231"/>
      <c r="Z388" s="243">
        <f t="shared" si="421"/>
        <v>0</v>
      </c>
      <c r="AB388" s="243">
        <f t="shared" si="422"/>
        <v>0</v>
      </c>
      <c r="AC388" s="243">
        <f t="shared" si="423"/>
        <v>0</v>
      </c>
      <c r="AD388" s="243">
        <f t="shared" si="424"/>
        <v>0</v>
      </c>
      <c r="AE388" s="243">
        <f t="shared" si="425"/>
        <v>0</v>
      </c>
      <c r="AF388" s="243">
        <f t="shared" si="426"/>
        <v>0</v>
      </c>
      <c r="AG388" s="243">
        <f t="shared" si="427"/>
        <v>0</v>
      </c>
      <c r="AH388" s="243">
        <f t="shared" si="428"/>
        <v>0</v>
      </c>
      <c r="AI388" s="232" t="s">
        <v>921</v>
      </c>
      <c r="AJ388" s="243">
        <f t="shared" si="429"/>
        <v>0</v>
      </c>
      <c r="AK388" s="243">
        <f t="shared" si="430"/>
        <v>0</v>
      </c>
      <c r="AL388" s="243">
        <f t="shared" si="431"/>
        <v>0</v>
      </c>
      <c r="AN388" s="243">
        <v>21</v>
      </c>
      <c r="AO388" s="243">
        <f>H388*0</f>
        <v>0</v>
      </c>
      <c r="AP388" s="243">
        <f>H388*(1-0)</f>
        <v>0</v>
      </c>
      <c r="AQ388" s="245" t="s">
        <v>564</v>
      </c>
      <c r="AV388" s="243">
        <f t="shared" si="432"/>
        <v>0</v>
      </c>
      <c r="AW388" s="243">
        <f t="shared" si="433"/>
        <v>0</v>
      </c>
      <c r="AX388" s="243">
        <f t="shared" si="434"/>
        <v>0</v>
      </c>
      <c r="AY388" s="245" t="s">
        <v>574</v>
      </c>
      <c r="AZ388" s="245" t="s">
        <v>923</v>
      </c>
      <c r="BA388" s="232" t="s">
        <v>924</v>
      </c>
      <c r="BC388" s="243">
        <f t="shared" si="435"/>
        <v>0</v>
      </c>
      <c r="BD388" s="243">
        <f t="shared" si="436"/>
        <v>0</v>
      </c>
      <c r="BE388" s="243">
        <v>0</v>
      </c>
      <c r="BF388" s="243">
        <f>388</f>
        <v>388</v>
      </c>
      <c r="BH388" s="243">
        <f t="shared" si="437"/>
        <v>0</v>
      </c>
      <c r="BI388" s="243">
        <f t="shared" si="438"/>
        <v>0</v>
      </c>
      <c r="BJ388" s="243">
        <f t="shared" si="439"/>
        <v>0</v>
      </c>
      <c r="BK388" s="243"/>
      <c r="BL388" s="243">
        <v>0</v>
      </c>
      <c r="BW388" s="243">
        <v>21</v>
      </c>
    </row>
    <row r="389" spans="1:75" ht="13.5" customHeight="1">
      <c r="A389" s="207" t="s">
        <v>928</v>
      </c>
      <c r="B389" s="208" t="s">
        <v>921</v>
      </c>
      <c r="C389" s="208" t="s">
        <v>121</v>
      </c>
      <c r="D389" s="268" t="s">
        <v>122</v>
      </c>
      <c r="E389" s="260"/>
      <c r="F389" s="208" t="s">
        <v>123</v>
      </c>
      <c r="G389" s="243">
        <v>1.04925</v>
      </c>
      <c r="H389" s="244">
        <v>0</v>
      </c>
      <c r="I389" s="244">
        <f t="shared" si="420"/>
        <v>0</v>
      </c>
      <c r="K389" s="231"/>
      <c r="Z389" s="243">
        <f t="shared" si="421"/>
        <v>0</v>
      </c>
      <c r="AB389" s="243">
        <f t="shared" si="422"/>
        <v>0</v>
      </c>
      <c r="AC389" s="243">
        <f t="shared" si="423"/>
        <v>0</v>
      </c>
      <c r="AD389" s="243">
        <f t="shared" si="424"/>
        <v>0</v>
      </c>
      <c r="AE389" s="243">
        <f t="shared" si="425"/>
        <v>0</v>
      </c>
      <c r="AF389" s="243">
        <f t="shared" si="426"/>
        <v>0</v>
      </c>
      <c r="AG389" s="243">
        <f t="shared" si="427"/>
        <v>0</v>
      </c>
      <c r="AH389" s="243">
        <f t="shared" si="428"/>
        <v>0</v>
      </c>
      <c r="AI389" s="232" t="s">
        <v>921</v>
      </c>
      <c r="AJ389" s="243">
        <f t="shared" si="429"/>
        <v>0</v>
      </c>
      <c r="AK389" s="243">
        <f t="shared" si="430"/>
        <v>0</v>
      </c>
      <c r="AL389" s="243">
        <f t="shared" si="431"/>
        <v>0</v>
      </c>
      <c r="AN389" s="243">
        <v>21</v>
      </c>
      <c r="AO389" s="243">
        <f>H389*0</f>
        <v>0</v>
      </c>
      <c r="AP389" s="243">
        <f>H389*(1-0)</f>
        <v>0</v>
      </c>
      <c r="AQ389" s="245" t="s">
        <v>564</v>
      </c>
      <c r="AV389" s="243">
        <f t="shared" si="432"/>
        <v>0</v>
      </c>
      <c r="AW389" s="243">
        <f t="shared" si="433"/>
        <v>0</v>
      </c>
      <c r="AX389" s="243">
        <f t="shared" si="434"/>
        <v>0</v>
      </c>
      <c r="AY389" s="245" t="s">
        <v>574</v>
      </c>
      <c r="AZ389" s="245" t="s">
        <v>923</v>
      </c>
      <c r="BA389" s="232" t="s">
        <v>924</v>
      </c>
      <c r="BC389" s="243">
        <f t="shared" si="435"/>
        <v>0</v>
      </c>
      <c r="BD389" s="243">
        <f t="shared" si="436"/>
        <v>0</v>
      </c>
      <c r="BE389" s="243">
        <v>0</v>
      </c>
      <c r="BF389" s="243">
        <f>389</f>
        <v>389</v>
      </c>
      <c r="BH389" s="243">
        <f t="shared" si="437"/>
        <v>0</v>
      </c>
      <c r="BI389" s="243">
        <f t="shared" si="438"/>
        <v>0</v>
      </c>
      <c r="BJ389" s="243">
        <f t="shared" si="439"/>
        <v>0</v>
      </c>
      <c r="BK389" s="243"/>
      <c r="BL389" s="243">
        <v>0</v>
      </c>
      <c r="BW389" s="243">
        <v>21</v>
      </c>
    </row>
    <row r="390" spans="1:75" ht="15" customHeight="1">
      <c r="A390" s="238" t="s">
        <v>21</v>
      </c>
      <c r="B390" s="239" t="s">
        <v>921</v>
      </c>
      <c r="C390" s="239" t="s">
        <v>59</v>
      </c>
      <c r="D390" s="309" t="s">
        <v>60</v>
      </c>
      <c r="E390" s="310"/>
      <c r="F390" s="240" t="s">
        <v>20</v>
      </c>
      <c r="G390" s="240" t="s">
        <v>20</v>
      </c>
      <c r="H390" s="241" t="s">
        <v>20</v>
      </c>
      <c r="I390" s="242">
        <f>SUM(I391:I391)</f>
        <v>0</v>
      </c>
      <c r="K390" s="231"/>
      <c r="AI390" s="232" t="s">
        <v>921</v>
      </c>
      <c r="AS390" s="225">
        <f>SUM(AJ391:AJ391)</f>
        <v>0</v>
      </c>
      <c r="AT390" s="225">
        <f>SUM(AK391:AK391)</f>
        <v>0</v>
      </c>
      <c r="AU390" s="225">
        <f>SUM(AL391:AL391)</f>
        <v>0</v>
      </c>
    </row>
    <row r="391" spans="1:75" ht="13.5" customHeight="1">
      <c r="A391" s="207" t="s">
        <v>929</v>
      </c>
      <c r="B391" s="208" t="s">
        <v>921</v>
      </c>
      <c r="C391" s="208" t="s">
        <v>61</v>
      </c>
      <c r="D391" s="268" t="s">
        <v>62</v>
      </c>
      <c r="E391" s="260"/>
      <c r="F391" s="208" t="s">
        <v>63</v>
      </c>
      <c r="G391" s="243">
        <v>20</v>
      </c>
      <c r="H391" s="244">
        <v>0</v>
      </c>
      <c r="I391" s="244">
        <f>G391*H391</f>
        <v>0</v>
      </c>
      <c r="K391" s="231"/>
      <c r="Z391" s="243">
        <f>IF(AQ391="5",BJ391,0)</f>
        <v>0</v>
      </c>
      <c r="AB391" s="243">
        <f>IF(AQ391="1",BH391,0)</f>
        <v>0</v>
      </c>
      <c r="AC391" s="243">
        <f>IF(AQ391="1",BI391,0)</f>
        <v>0</v>
      </c>
      <c r="AD391" s="243">
        <f>IF(AQ391="7",BH391,0)</f>
        <v>0</v>
      </c>
      <c r="AE391" s="243">
        <f>IF(AQ391="7",BI391,0)</f>
        <v>0</v>
      </c>
      <c r="AF391" s="243">
        <f>IF(AQ391="2",BH391,0)</f>
        <v>0</v>
      </c>
      <c r="AG391" s="243">
        <f>IF(AQ391="2",BI391,0)</f>
        <v>0</v>
      </c>
      <c r="AH391" s="243">
        <f>IF(AQ391="0",BJ391,0)</f>
        <v>0</v>
      </c>
      <c r="AI391" s="232" t="s">
        <v>921</v>
      </c>
      <c r="AJ391" s="243">
        <f>IF(AN391=0,I391,0)</f>
        <v>0</v>
      </c>
      <c r="AK391" s="243">
        <f>IF(AN391=12,I391,0)</f>
        <v>0</v>
      </c>
      <c r="AL391" s="243">
        <f>IF(AN391=21,I391,0)</f>
        <v>0</v>
      </c>
      <c r="AN391" s="243">
        <v>21</v>
      </c>
      <c r="AO391" s="243">
        <f>H391*0</f>
        <v>0</v>
      </c>
      <c r="AP391" s="243">
        <f>H391*(1-0)</f>
        <v>0</v>
      </c>
      <c r="AQ391" s="245" t="s">
        <v>567</v>
      </c>
      <c r="AV391" s="243">
        <f>AW391+AX391</f>
        <v>0</v>
      </c>
      <c r="AW391" s="243">
        <f>G391*AO391</f>
        <v>0</v>
      </c>
      <c r="AX391" s="243">
        <f>G391*AP391</f>
        <v>0</v>
      </c>
      <c r="AY391" s="245" t="s">
        <v>578</v>
      </c>
      <c r="AZ391" s="245" t="s">
        <v>934</v>
      </c>
      <c r="BA391" s="232" t="s">
        <v>924</v>
      </c>
      <c r="BC391" s="243">
        <f>AW391+AX391</f>
        <v>0</v>
      </c>
      <c r="BD391" s="243">
        <f>H391/(100-BE391)*100</f>
        <v>0</v>
      </c>
      <c r="BE391" s="243">
        <v>0</v>
      </c>
      <c r="BF391" s="243">
        <f>391</f>
        <v>391</v>
      </c>
      <c r="BH391" s="243">
        <f>G391*AO391</f>
        <v>0</v>
      </c>
      <c r="BI391" s="243">
        <f>G391*AP391</f>
        <v>0</v>
      </c>
      <c r="BJ391" s="243">
        <f>G391*H391</f>
        <v>0</v>
      </c>
      <c r="BK391" s="243"/>
      <c r="BL391" s="243">
        <v>713</v>
      </c>
      <c r="BW391" s="243">
        <v>21</v>
      </c>
    </row>
    <row r="392" spans="1:75" ht="15" customHeight="1">
      <c r="A392" s="238" t="s">
        <v>21</v>
      </c>
      <c r="B392" s="239" t="s">
        <v>921</v>
      </c>
      <c r="C392" s="239" t="s">
        <v>126</v>
      </c>
      <c r="D392" s="309" t="s">
        <v>127</v>
      </c>
      <c r="E392" s="310"/>
      <c r="F392" s="240" t="s">
        <v>20</v>
      </c>
      <c r="G392" s="240" t="s">
        <v>20</v>
      </c>
      <c r="H392" s="241" t="s">
        <v>20</v>
      </c>
      <c r="I392" s="242">
        <f>SUM(I393:I404)</f>
        <v>0</v>
      </c>
      <c r="K392" s="231"/>
      <c r="AI392" s="232" t="s">
        <v>921</v>
      </c>
      <c r="AS392" s="225">
        <f>SUM(AJ393:AJ404)</f>
        <v>0</v>
      </c>
      <c r="AT392" s="225">
        <f>SUM(AK393:AK404)</f>
        <v>0</v>
      </c>
      <c r="AU392" s="225">
        <f>SUM(AL393:AL404)</f>
        <v>0</v>
      </c>
    </row>
    <row r="393" spans="1:75" ht="13.5" customHeight="1">
      <c r="A393" s="207" t="s">
        <v>930</v>
      </c>
      <c r="B393" s="208" t="s">
        <v>921</v>
      </c>
      <c r="C393" s="208" t="s">
        <v>357</v>
      </c>
      <c r="D393" s="268" t="s">
        <v>358</v>
      </c>
      <c r="E393" s="260"/>
      <c r="F393" s="208" t="s">
        <v>68</v>
      </c>
      <c r="G393" s="243">
        <v>8</v>
      </c>
      <c r="H393" s="244">
        <v>0</v>
      </c>
      <c r="I393" s="244">
        <f t="shared" ref="I393:I404" si="440">G393*H393</f>
        <v>0</v>
      </c>
      <c r="K393" s="231"/>
      <c r="Z393" s="243">
        <f t="shared" ref="Z393:Z404" si="441">IF(AQ393="5",BJ393,0)</f>
        <v>0</v>
      </c>
      <c r="AB393" s="243">
        <f t="shared" ref="AB393:AB404" si="442">IF(AQ393="1",BH393,0)</f>
        <v>0</v>
      </c>
      <c r="AC393" s="243">
        <f t="shared" ref="AC393:AC404" si="443">IF(AQ393="1",BI393,0)</f>
        <v>0</v>
      </c>
      <c r="AD393" s="243">
        <f t="shared" ref="AD393:AD404" si="444">IF(AQ393="7",BH393,0)</f>
        <v>0</v>
      </c>
      <c r="AE393" s="243">
        <f t="shared" ref="AE393:AE404" si="445">IF(AQ393="7",BI393,0)</f>
        <v>0</v>
      </c>
      <c r="AF393" s="243">
        <f t="shared" ref="AF393:AF404" si="446">IF(AQ393="2",BH393,0)</f>
        <v>0</v>
      </c>
      <c r="AG393" s="243">
        <f t="shared" ref="AG393:AG404" si="447">IF(AQ393="2",BI393,0)</f>
        <v>0</v>
      </c>
      <c r="AH393" s="243">
        <f t="shared" ref="AH393:AH404" si="448">IF(AQ393="0",BJ393,0)</f>
        <v>0</v>
      </c>
      <c r="AI393" s="232" t="s">
        <v>921</v>
      </c>
      <c r="AJ393" s="243">
        <f t="shared" ref="AJ393:AJ404" si="449">IF(AN393=0,I393,0)</f>
        <v>0</v>
      </c>
      <c r="AK393" s="243">
        <f t="shared" ref="AK393:AK404" si="450">IF(AN393=12,I393,0)</f>
        <v>0</v>
      </c>
      <c r="AL393" s="243">
        <f t="shared" ref="AL393:AL404" si="451">IF(AN393=21,I393,0)</f>
        <v>0</v>
      </c>
      <c r="AN393" s="243">
        <v>21</v>
      </c>
      <c r="AO393" s="243">
        <f>H393*0</f>
        <v>0</v>
      </c>
      <c r="AP393" s="243">
        <f>H393*(1-0)</f>
        <v>0</v>
      </c>
      <c r="AQ393" s="245" t="s">
        <v>567</v>
      </c>
      <c r="AV393" s="243">
        <f t="shared" ref="AV393:AV404" si="452">AW393+AX393</f>
        <v>0</v>
      </c>
      <c r="AW393" s="243">
        <f t="shared" ref="AW393:AW404" si="453">G393*AO393</f>
        <v>0</v>
      </c>
      <c r="AX393" s="243">
        <f t="shared" ref="AX393:AX404" si="454">G393*AP393</f>
        <v>0</v>
      </c>
      <c r="AY393" s="245" t="s">
        <v>610</v>
      </c>
      <c r="AZ393" s="245" t="s">
        <v>936</v>
      </c>
      <c r="BA393" s="232" t="s">
        <v>924</v>
      </c>
      <c r="BC393" s="243">
        <f t="shared" ref="BC393:BC404" si="455">AW393+AX393</f>
        <v>0</v>
      </c>
      <c r="BD393" s="243">
        <f t="shared" ref="BD393:BD404" si="456">H393/(100-BE393)*100</f>
        <v>0</v>
      </c>
      <c r="BE393" s="243">
        <v>0</v>
      </c>
      <c r="BF393" s="243">
        <f>393</f>
        <v>393</v>
      </c>
      <c r="BH393" s="243">
        <f t="shared" ref="BH393:BH404" si="457">G393*AO393</f>
        <v>0</v>
      </c>
      <c r="BI393" s="243">
        <f t="shared" ref="BI393:BI404" si="458">G393*AP393</f>
        <v>0</v>
      </c>
      <c r="BJ393" s="243">
        <f t="shared" ref="BJ393:BJ404" si="459">G393*H393</f>
        <v>0</v>
      </c>
      <c r="BK393" s="243"/>
      <c r="BL393" s="243">
        <v>722</v>
      </c>
      <c r="BW393" s="243">
        <v>21</v>
      </c>
    </row>
    <row r="394" spans="1:75" ht="13.5" customHeight="1">
      <c r="A394" s="207" t="s">
        <v>931</v>
      </c>
      <c r="B394" s="208" t="s">
        <v>921</v>
      </c>
      <c r="C394" s="208" t="s">
        <v>359</v>
      </c>
      <c r="D394" s="268" t="s">
        <v>360</v>
      </c>
      <c r="E394" s="260"/>
      <c r="F394" s="208" t="s">
        <v>63</v>
      </c>
      <c r="G394" s="243">
        <v>8</v>
      </c>
      <c r="H394" s="244">
        <v>0</v>
      </c>
      <c r="I394" s="244">
        <f t="shared" si="440"/>
        <v>0</v>
      </c>
      <c r="K394" s="231"/>
      <c r="Z394" s="243">
        <f t="shared" si="441"/>
        <v>0</v>
      </c>
      <c r="AB394" s="243">
        <f t="shared" si="442"/>
        <v>0</v>
      </c>
      <c r="AC394" s="243">
        <f t="shared" si="443"/>
        <v>0</v>
      </c>
      <c r="AD394" s="243">
        <f t="shared" si="444"/>
        <v>0</v>
      </c>
      <c r="AE394" s="243">
        <f t="shared" si="445"/>
        <v>0</v>
      </c>
      <c r="AF394" s="243">
        <f t="shared" si="446"/>
        <v>0</v>
      </c>
      <c r="AG394" s="243">
        <f t="shared" si="447"/>
        <v>0</v>
      </c>
      <c r="AH394" s="243">
        <f t="shared" si="448"/>
        <v>0</v>
      </c>
      <c r="AI394" s="232" t="s">
        <v>921</v>
      </c>
      <c r="AJ394" s="243">
        <f t="shared" si="449"/>
        <v>0</v>
      </c>
      <c r="AK394" s="243">
        <f t="shared" si="450"/>
        <v>0</v>
      </c>
      <c r="AL394" s="243">
        <f t="shared" si="451"/>
        <v>0</v>
      </c>
      <c r="AN394" s="243">
        <v>21</v>
      </c>
      <c r="AO394" s="243">
        <f>H394*0</f>
        <v>0</v>
      </c>
      <c r="AP394" s="243">
        <f>H394*(1-0)</f>
        <v>0</v>
      </c>
      <c r="AQ394" s="245" t="s">
        <v>567</v>
      </c>
      <c r="AV394" s="243">
        <f t="shared" si="452"/>
        <v>0</v>
      </c>
      <c r="AW394" s="243">
        <f t="shared" si="453"/>
        <v>0</v>
      </c>
      <c r="AX394" s="243">
        <f t="shared" si="454"/>
        <v>0</v>
      </c>
      <c r="AY394" s="245" t="s">
        <v>610</v>
      </c>
      <c r="AZ394" s="245" t="s">
        <v>936</v>
      </c>
      <c r="BA394" s="232" t="s">
        <v>924</v>
      </c>
      <c r="BC394" s="243">
        <f t="shared" si="455"/>
        <v>0</v>
      </c>
      <c r="BD394" s="243">
        <f t="shared" si="456"/>
        <v>0</v>
      </c>
      <c r="BE394" s="243">
        <v>0</v>
      </c>
      <c r="BF394" s="243">
        <f>394</f>
        <v>394</v>
      </c>
      <c r="BH394" s="243">
        <f t="shared" si="457"/>
        <v>0</v>
      </c>
      <c r="BI394" s="243">
        <f t="shared" si="458"/>
        <v>0</v>
      </c>
      <c r="BJ394" s="243">
        <f t="shared" si="459"/>
        <v>0</v>
      </c>
      <c r="BK394" s="243"/>
      <c r="BL394" s="243">
        <v>722</v>
      </c>
      <c r="BW394" s="243">
        <v>21</v>
      </c>
    </row>
    <row r="395" spans="1:75" ht="13.5" customHeight="1">
      <c r="A395" s="207" t="s">
        <v>932</v>
      </c>
      <c r="B395" s="208" t="s">
        <v>921</v>
      </c>
      <c r="C395" s="208" t="s">
        <v>361</v>
      </c>
      <c r="D395" s="268" t="s">
        <v>362</v>
      </c>
      <c r="E395" s="260"/>
      <c r="F395" s="208" t="s">
        <v>68</v>
      </c>
      <c r="G395" s="243">
        <v>2</v>
      </c>
      <c r="H395" s="244">
        <v>0</v>
      </c>
      <c r="I395" s="244">
        <f t="shared" si="440"/>
        <v>0</v>
      </c>
      <c r="K395" s="231"/>
      <c r="Z395" s="243">
        <f t="shared" si="441"/>
        <v>0</v>
      </c>
      <c r="AB395" s="243">
        <f t="shared" si="442"/>
        <v>0</v>
      </c>
      <c r="AC395" s="243">
        <f t="shared" si="443"/>
        <v>0</v>
      </c>
      <c r="AD395" s="243">
        <f t="shared" si="444"/>
        <v>0</v>
      </c>
      <c r="AE395" s="243">
        <f t="shared" si="445"/>
        <v>0</v>
      </c>
      <c r="AF395" s="243">
        <f t="shared" si="446"/>
        <v>0</v>
      </c>
      <c r="AG395" s="243">
        <f t="shared" si="447"/>
        <v>0</v>
      </c>
      <c r="AH395" s="243">
        <f t="shared" si="448"/>
        <v>0</v>
      </c>
      <c r="AI395" s="232" t="s">
        <v>921</v>
      </c>
      <c r="AJ395" s="243">
        <f t="shared" si="449"/>
        <v>0</v>
      </c>
      <c r="AK395" s="243">
        <f t="shared" si="450"/>
        <v>0</v>
      </c>
      <c r="AL395" s="243">
        <f t="shared" si="451"/>
        <v>0</v>
      </c>
      <c r="AN395" s="243">
        <v>21</v>
      </c>
      <c r="AO395" s="243">
        <f>H395*0.635584415584416</f>
        <v>0</v>
      </c>
      <c r="AP395" s="243">
        <f>H395*(1-0.635584415584416)</f>
        <v>0</v>
      </c>
      <c r="AQ395" s="245" t="s">
        <v>567</v>
      </c>
      <c r="AV395" s="243">
        <f t="shared" si="452"/>
        <v>0</v>
      </c>
      <c r="AW395" s="243">
        <f t="shared" si="453"/>
        <v>0</v>
      </c>
      <c r="AX395" s="243">
        <f t="shared" si="454"/>
        <v>0</v>
      </c>
      <c r="AY395" s="245" t="s">
        <v>610</v>
      </c>
      <c r="AZ395" s="245" t="s">
        <v>936</v>
      </c>
      <c r="BA395" s="232" t="s">
        <v>924</v>
      </c>
      <c r="BC395" s="243">
        <f t="shared" si="455"/>
        <v>0</v>
      </c>
      <c r="BD395" s="243">
        <f t="shared" si="456"/>
        <v>0</v>
      </c>
      <c r="BE395" s="243">
        <v>0</v>
      </c>
      <c r="BF395" s="243">
        <f>395</f>
        <v>395</v>
      </c>
      <c r="BH395" s="243">
        <f t="shared" si="457"/>
        <v>0</v>
      </c>
      <c r="BI395" s="243">
        <f t="shared" si="458"/>
        <v>0</v>
      </c>
      <c r="BJ395" s="243">
        <f t="shared" si="459"/>
        <v>0</v>
      </c>
      <c r="BK395" s="243"/>
      <c r="BL395" s="243">
        <v>722</v>
      </c>
      <c r="BW395" s="243">
        <v>21</v>
      </c>
    </row>
    <row r="396" spans="1:75" ht="13.5" customHeight="1">
      <c r="A396" s="207" t="s">
        <v>933</v>
      </c>
      <c r="B396" s="208" t="s">
        <v>921</v>
      </c>
      <c r="C396" s="208" t="s">
        <v>136</v>
      </c>
      <c r="D396" s="268" t="s">
        <v>1314</v>
      </c>
      <c r="E396" s="260"/>
      <c r="F396" s="208" t="s">
        <v>63</v>
      </c>
      <c r="G396" s="243">
        <v>8</v>
      </c>
      <c r="H396" s="244">
        <v>0</v>
      </c>
      <c r="I396" s="244">
        <f t="shared" si="440"/>
        <v>0</v>
      </c>
      <c r="K396" s="231"/>
      <c r="Z396" s="243">
        <f t="shared" si="441"/>
        <v>0</v>
      </c>
      <c r="AB396" s="243">
        <f t="shared" si="442"/>
        <v>0</v>
      </c>
      <c r="AC396" s="243">
        <f t="shared" si="443"/>
        <v>0</v>
      </c>
      <c r="AD396" s="243">
        <f t="shared" si="444"/>
        <v>0</v>
      </c>
      <c r="AE396" s="243">
        <f t="shared" si="445"/>
        <v>0</v>
      </c>
      <c r="AF396" s="243">
        <f t="shared" si="446"/>
        <v>0</v>
      </c>
      <c r="AG396" s="243">
        <f t="shared" si="447"/>
        <v>0</v>
      </c>
      <c r="AH396" s="243">
        <f t="shared" si="448"/>
        <v>0</v>
      </c>
      <c r="AI396" s="232" t="s">
        <v>921</v>
      </c>
      <c r="AJ396" s="243">
        <f t="shared" si="449"/>
        <v>0</v>
      </c>
      <c r="AK396" s="243">
        <f t="shared" si="450"/>
        <v>0</v>
      </c>
      <c r="AL396" s="243">
        <f t="shared" si="451"/>
        <v>0</v>
      </c>
      <c r="AN396" s="243">
        <v>21</v>
      </c>
      <c r="AO396" s="243">
        <f>H396*0.388270254929131</f>
        <v>0</v>
      </c>
      <c r="AP396" s="243">
        <f>H396*(1-0.388270254929131)</f>
        <v>0</v>
      </c>
      <c r="AQ396" s="245" t="s">
        <v>567</v>
      </c>
      <c r="AV396" s="243">
        <f t="shared" si="452"/>
        <v>0</v>
      </c>
      <c r="AW396" s="243">
        <f t="shared" si="453"/>
        <v>0</v>
      </c>
      <c r="AX396" s="243">
        <f t="shared" si="454"/>
        <v>0</v>
      </c>
      <c r="AY396" s="245" t="s">
        <v>610</v>
      </c>
      <c r="AZ396" s="245" t="s">
        <v>936</v>
      </c>
      <c r="BA396" s="232" t="s">
        <v>924</v>
      </c>
      <c r="BC396" s="243">
        <f t="shared" si="455"/>
        <v>0</v>
      </c>
      <c r="BD396" s="243">
        <f t="shared" si="456"/>
        <v>0</v>
      </c>
      <c r="BE396" s="243">
        <v>0</v>
      </c>
      <c r="BF396" s="243">
        <f>396</f>
        <v>396</v>
      </c>
      <c r="BH396" s="243">
        <f t="shared" si="457"/>
        <v>0</v>
      </c>
      <c r="BI396" s="243">
        <f t="shared" si="458"/>
        <v>0</v>
      </c>
      <c r="BJ396" s="243">
        <f t="shared" si="459"/>
        <v>0</v>
      </c>
      <c r="BK396" s="243"/>
      <c r="BL396" s="243">
        <v>722</v>
      </c>
      <c r="BW396" s="243">
        <v>21</v>
      </c>
    </row>
    <row r="397" spans="1:75" ht="13.5" customHeight="1">
      <c r="A397" s="207" t="s">
        <v>935</v>
      </c>
      <c r="B397" s="208" t="s">
        <v>921</v>
      </c>
      <c r="C397" s="208" t="s">
        <v>143</v>
      </c>
      <c r="D397" s="268" t="s">
        <v>1344</v>
      </c>
      <c r="E397" s="260"/>
      <c r="F397" s="208" t="s">
        <v>63</v>
      </c>
      <c r="G397" s="243">
        <v>4</v>
      </c>
      <c r="H397" s="244">
        <v>0</v>
      </c>
      <c r="I397" s="244">
        <f t="shared" si="440"/>
        <v>0</v>
      </c>
      <c r="K397" s="231"/>
      <c r="Z397" s="243">
        <f t="shared" si="441"/>
        <v>0</v>
      </c>
      <c r="AB397" s="243">
        <f t="shared" si="442"/>
        <v>0</v>
      </c>
      <c r="AC397" s="243">
        <f t="shared" si="443"/>
        <v>0</v>
      </c>
      <c r="AD397" s="243">
        <f t="shared" si="444"/>
        <v>0</v>
      </c>
      <c r="AE397" s="243">
        <f t="shared" si="445"/>
        <v>0</v>
      </c>
      <c r="AF397" s="243">
        <f t="shared" si="446"/>
        <v>0</v>
      </c>
      <c r="AG397" s="243">
        <f t="shared" si="447"/>
        <v>0</v>
      </c>
      <c r="AH397" s="243">
        <f t="shared" si="448"/>
        <v>0</v>
      </c>
      <c r="AI397" s="232" t="s">
        <v>921</v>
      </c>
      <c r="AJ397" s="243">
        <f t="shared" si="449"/>
        <v>0</v>
      </c>
      <c r="AK397" s="243">
        <f t="shared" si="450"/>
        <v>0</v>
      </c>
      <c r="AL397" s="243">
        <f t="shared" si="451"/>
        <v>0</v>
      </c>
      <c r="AN397" s="243">
        <v>21</v>
      </c>
      <c r="AO397" s="243">
        <f>H397*0.628405063291139</f>
        <v>0</v>
      </c>
      <c r="AP397" s="243">
        <f>H397*(1-0.628405063291139)</f>
        <v>0</v>
      </c>
      <c r="AQ397" s="245" t="s">
        <v>567</v>
      </c>
      <c r="AV397" s="243">
        <f t="shared" si="452"/>
        <v>0</v>
      </c>
      <c r="AW397" s="243">
        <f t="shared" si="453"/>
        <v>0</v>
      </c>
      <c r="AX397" s="243">
        <f t="shared" si="454"/>
        <v>0</v>
      </c>
      <c r="AY397" s="245" t="s">
        <v>610</v>
      </c>
      <c r="AZ397" s="245" t="s">
        <v>936</v>
      </c>
      <c r="BA397" s="232" t="s">
        <v>924</v>
      </c>
      <c r="BC397" s="243">
        <f t="shared" si="455"/>
        <v>0</v>
      </c>
      <c r="BD397" s="243">
        <f t="shared" si="456"/>
        <v>0</v>
      </c>
      <c r="BE397" s="243">
        <v>0</v>
      </c>
      <c r="BF397" s="243">
        <f>397</f>
        <v>397</v>
      </c>
      <c r="BH397" s="243">
        <f t="shared" si="457"/>
        <v>0</v>
      </c>
      <c r="BI397" s="243">
        <f t="shared" si="458"/>
        <v>0</v>
      </c>
      <c r="BJ397" s="243">
        <f t="shared" si="459"/>
        <v>0</v>
      </c>
      <c r="BK397" s="243"/>
      <c r="BL397" s="243">
        <v>722</v>
      </c>
      <c r="BW397" s="243">
        <v>21</v>
      </c>
    </row>
    <row r="398" spans="1:75" ht="13.5" customHeight="1">
      <c r="A398" s="207" t="s">
        <v>937</v>
      </c>
      <c r="B398" s="208" t="s">
        <v>921</v>
      </c>
      <c r="C398" s="208" t="s">
        <v>364</v>
      </c>
      <c r="D398" s="268" t="s">
        <v>1345</v>
      </c>
      <c r="E398" s="260"/>
      <c r="F398" s="208" t="s">
        <v>63</v>
      </c>
      <c r="G398" s="243">
        <v>4</v>
      </c>
      <c r="H398" s="244">
        <v>0</v>
      </c>
      <c r="I398" s="244">
        <f t="shared" si="440"/>
        <v>0</v>
      </c>
      <c r="K398" s="231"/>
      <c r="Z398" s="243">
        <f t="shared" si="441"/>
        <v>0</v>
      </c>
      <c r="AB398" s="243">
        <f t="shared" si="442"/>
        <v>0</v>
      </c>
      <c r="AC398" s="243">
        <f t="shared" si="443"/>
        <v>0</v>
      </c>
      <c r="AD398" s="243">
        <f t="shared" si="444"/>
        <v>0</v>
      </c>
      <c r="AE398" s="243">
        <f t="shared" si="445"/>
        <v>0</v>
      </c>
      <c r="AF398" s="243">
        <f t="shared" si="446"/>
        <v>0</v>
      </c>
      <c r="AG398" s="243">
        <f t="shared" si="447"/>
        <v>0</v>
      </c>
      <c r="AH398" s="243">
        <f t="shared" si="448"/>
        <v>0</v>
      </c>
      <c r="AI398" s="232" t="s">
        <v>921</v>
      </c>
      <c r="AJ398" s="243">
        <f t="shared" si="449"/>
        <v>0</v>
      </c>
      <c r="AK398" s="243">
        <f t="shared" si="450"/>
        <v>0</v>
      </c>
      <c r="AL398" s="243">
        <f t="shared" si="451"/>
        <v>0</v>
      </c>
      <c r="AN398" s="243">
        <v>21</v>
      </c>
      <c r="AO398" s="243">
        <f>H398*0.373931824584468</f>
        <v>0</v>
      </c>
      <c r="AP398" s="243">
        <f>H398*(1-0.373931824584468)</f>
        <v>0</v>
      </c>
      <c r="AQ398" s="245" t="s">
        <v>567</v>
      </c>
      <c r="AV398" s="243">
        <f t="shared" si="452"/>
        <v>0</v>
      </c>
      <c r="AW398" s="243">
        <f t="shared" si="453"/>
        <v>0</v>
      </c>
      <c r="AX398" s="243">
        <f t="shared" si="454"/>
        <v>0</v>
      </c>
      <c r="AY398" s="245" t="s">
        <v>610</v>
      </c>
      <c r="AZ398" s="245" t="s">
        <v>936</v>
      </c>
      <c r="BA398" s="232" t="s">
        <v>924</v>
      </c>
      <c r="BC398" s="243">
        <f t="shared" si="455"/>
        <v>0</v>
      </c>
      <c r="BD398" s="243">
        <f t="shared" si="456"/>
        <v>0</v>
      </c>
      <c r="BE398" s="243">
        <v>0</v>
      </c>
      <c r="BF398" s="243">
        <f>398</f>
        <v>398</v>
      </c>
      <c r="BH398" s="243">
        <f t="shared" si="457"/>
        <v>0</v>
      </c>
      <c r="BI398" s="243">
        <f t="shared" si="458"/>
        <v>0</v>
      </c>
      <c r="BJ398" s="243">
        <f t="shared" si="459"/>
        <v>0</v>
      </c>
      <c r="BK398" s="243"/>
      <c r="BL398" s="243">
        <v>722</v>
      </c>
      <c r="BW398" s="243">
        <v>21</v>
      </c>
    </row>
    <row r="399" spans="1:75" ht="13.5" customHeight="1">
      <c r="A399" s="207" t="s">
        <v>938</v>
      </c>
      <c r="B399" s="208" t="s">
        <v>921</v>
      </c>
      <c r="C399" s="208" t="s">
        <v>366</v>
      </c>
      <c r="D399" s="268" t="s">
        <v>367</v>
      </c>
      <c r="E399" s="260"/>
      <c r="F399" s="208" t="s">
        <v>68</v>
      </c>
      <c r="G399" s="243">
        <v>1</v>
      </c>
      <c r="H399" s="244">
        <v>0</v>
      </c>
      <c r="I399" s="244">
        <f t="shared" si="440"/>
        <v>0</v>
      </c>
      <c r="K399" s="231"/>
      <c r="Z399" s="243">
        <f t="shared" si="441"/>
        <v>0</v>
      </c>
      <c r="AB399" s="243">
        <f t="shared" si="442"/>
        <v>0</v>
      </c>
      <c r="AC399" s="243">
        <f t="shared" si="443"/>
        <v>0</v>
      </c>
      <c r="AD399" s="243">
        <f t="shared" si="444"/>
        <v>0</v>
      </c>
      <c r="AE399" s="243">
        <f t="shared" si="445"/>
        <v>0</v>
      </c>
      <c r="AF399" s="243">
        <f t="shared" si="446"/>
        <v>0</v>
      </c>
      <c r="AG399" s="243">
        <f t="shared" si="447"/>
        <v>0</v>
      </c>
      <c r="AH399" s="243">
        <f t="shared" si="448"/>
        <v>0</v>
      </c>
      <c r="AI399" s="232" t="s">
        <v>921</v>
      </c>
      <c r="AJ399" s="243">
        <f t="shared" si="449"/>
        <v>0</v>
      </c>
      <c r="AK399" s="243">
        <f t="shared" si="450"/>
        <v>0</v>
      </c>
      <c r="AL399" s="243">
        <f t="shared" si="451"/>
        <v>0</v>
      </c>
      <c r="AN399" s="243">
        <v>21</v>
      </c>
      <c r="AO399" s="243">
        <f>H399*0.945809322033898</f>
        <v>0</v>
      </c>
      <c r="AP399" s="243">
        <f>H399*(1-0.945809322033898)</f>
        <v>0</v>
      </c>
      <c r="AQ399" s="245" t="s">
        <v>567</v>
      </c>
      <c r="AV399" s="243">
        <f t="shared" si="452"/>
        <v>0</v>
      </c>
      <c r="AW399" s="243">
        <f t="shared" si="453"/>
        <v>0</v>
      </c>
      <c r="AX399" s="243">
        <f t="shared" si="454"/>
        <v>0</v>
      </c>
      <c r="AY399" s="245" t="s">
        <v>610</v>
      </c>
      <c r="AZ399" s="245" t="s">
        <v>936</v>
      </c>
      <c r="BA399" s="232" t="s">
        <v>924</v>
      </c>
      <c r="BC399" s="243">
        <f t="shared" si="455"/>
        <v>0</v>
      </c>
      <c r="BD399" s="243">
        <f t="shared" si="456"/>
        <v>0</v>
      </c>
      <c r="BE399" s="243">
        <v>0</v>
      </c>
      <c r="BF399" s="243">
        <f>399</f>
        <v>399</v>
      </c>
      <c r="BH399" s="243">
        <f t="shared" si="457"/>
        <v>0</v>
      </c>
      <c r="BI399" s="243">
        <f t="shared" si="458"/>
        <v>0</v>
      </c>
      <c r="BJ399" s="243">
        <f t="shared" si="459"/>
        <v>0</v>
      </c>
      <c r="BK399" s="243"/>
      <c r="BL399" s="243">
        <v>722</v>
      </c>
      <c r="BW399" s="243">
        <v>21</v>
      </c>
    </row>
    <row r="400" spans="1:75" ht="13.5" customHeight="1">
      <c r="A400" s="207" t="s">
        <v>939</v>
      </c>
      <c r="B400" s="208" t="s">
        <v>921</v>
      </c>
      <c r="C400" s="208" t="s">
        <v>368</v>
      </c>
      <c r="D400" s="268" t="s">
        <v>369</v>
      </c>
      <c r="E400" s="260"/>
      <c r="F400" s="208" t="s">
        <v>68</v>
      </c>
      <c r="G400" s="243">
        <v>1</v>
      </c>
      <c r="H400" s="244">
        <v>0</v>
      </c>
      <c r="I400" s="244">
        <f t="shared" si="440"/>
        <v>0</v>
      </c>
      <c r="K400" s="231"/>
      <c r="Z400" s="243">
        <f t="shared" si="441"/>
        <v>0</v>
      </c>
      <c r="AB400" s="243">
        <f t="shared" si="442"/>
        <v>0</v>
      </c>
      <c r="AC400" s="243">
        <f t="shared" si="443"/>
        <v>0</v>
      </c>
      <c r="AD400" s="243">
        <f t="shared" si="444"/>
        <v>0</v>
      </c>
      <c r="AE400" s="243">
        <f t="shared" si="445"/>
        <v>0</v>
      </c>
      <c r="AF400" s="243">
        <f t="shared" si="446"/>
        <v>0</v>
      </c>
      <c r="AG400" s="243">
        <f t="shared" si="447"/>
        <v>0</v>
      </c>
      <c r="AH400" s="243">
        <f t="shared" si="448"/>
        <v>0</v>
      </c>
      <c r="AI400" s="232" t="s">
        <v>921</v>
      </c>
      <c r="AJ400" s="243">
        <f t="shared" si="449"/>
        <v>0</v>
      </c>
      <c r="AK400" s="243">
        <f t="shared" si="450"/>
        <v>0</v>
      </c>
      <c r="AL400" s="243">
        <f t="shared" si="451"/>
        <v>0</v>
      </c>
      <c r="AN400" s="243">
        <v>21</v>
      </c>
      <c r="AO400" s="243">
        <f>H400*0.963329388560158</f>
        <v>0</v>
      </c>
      <c r="AP400" s="243">
        <f>H400*(1-0.963329388560158)</f>
        <v>0</v>
      </c>
      <c r="AQ400" s="245" t="s">
        <v>567</v>
      </c>
      <c r="AV400" s="243">
        <f t="shared" si="452"/>
        <v>0</v>
      </c>
      <c r="AW400" s="243">
        <f t="shared" si="453"/>
        <v>0</v>
      </c>
      <c r="AX400" s="243">
        <f t="shared" si="454"/>
        <v>0</v>
      </c>
      <c r="AY400" s="245" t="s">
        <v>610</v>
      </c>
      <c r="AZ400" s="245" t="s">
        <v>936</v>
      </c>
      <c r="BA400" s="232" t="s">
        <v>924</v>
      </c>
      <c r="BC400" s="243">
        <f t="shared" si="455"/>
        <v>0</v>
      </c>
      <c r="BD400" s="243">
        <f t="shared" si="456"/>
        <v>0</v>
      </c>
      <c r="BE400" s="243">
        <v>0</v>
      </c>
      <c r="BF400" s="243">
        <f>400</f>
        <v>400</v>
      </c>
      <c r="BH400" s="243">
        <f t="shared" si="457"/>
        <v>0</v>
      </c>
      <c r="BI400" s="243">
        <f t="shared" si="458"/>
        <v>0</v>
      </c>
      <c r="BJ400" s="243">
        <f t="shared" si="459"/>
        <v>0</v>
      </c>
      <c r="BK400" s="243"/>
      <c r="BL400" s="243">
        <v>722</v>
      </c>
      <c r="BW400" s="243">
        <v>21</v>
      </c>
    </row>
    <row r="401" spans="1:75" ht="13.5" customHeight="1">
      <c r="A401" s="207" t="s">
        <v>940</v>
      </c>
      <c r="B401" s="208" t="s">
        <v>921</v>
      </c>
      <c r="C401" s="208" t="s">
        <v>149</v>
      </c>
      <c r="D401" s="268" t="s">
        <v>1320</v>
      </c>
      <c r="E401" s="260"/>
      <c r="F401" s="208" t="s">
        <v>68</v>
      </c>
      <c r="G401" s="243">
        <v>4</v>
      </c>
      <c r="H401" s="244">
        <v>0</v>
      </c>
      <c r="I401" s="244">
        <f t="shared" si="440"/>
        <v>0</v>
      </c>
      <c r="K401" s="231"/>
      <c r="Z401" s="243">
        <f t="shared" si="441"/>
        <v>0</v>
      </c>
      <c r="AB401" s="243">
        <f t="shared" si="442"/>
        <v>0</v>
      </c>
      <c r="AC401" s="243">
        <f t="shared" si="443"/>
        <v>0</v>
      </c>
      <c r="AD401" s="243">
        <f t="shared" si="444"/>
        <v>0</v>
      </c>
      <c r="AE401" s="243">
        <f t="shared" si="445"/>
        <v>0</v>
      </c>
      <c r="AF401" s="243">
        <f t="shared" si="446"/>
        <v>0</v>
      </c>
      <c r="AG401" s="243">
        <f t="shared" si="447"/>
        <v>0</v>
      </c>
      <c r="AH401" s="243">
        <f t="shared" si="448"/>
        <v>0</v>
      </c>
      <c r="AI401" s="232" t="s">
        <v>921</v>
      </c>
      <c r="AJ401" s="243">
        <f t="shared" si="449"/>
        <v>0</v>
      </c>
      <c r="AK401" s="243">
        <f t="shared" si="450"/>
        <v>0</v>
      </c>
      <c r="AL401" s="243">
        <f t="shared" si="451"/>
        <v>0</v>
      </c>
      <c r="AN401" s="243">
        <v>21</v>
      </c>
      <c r="AO401" s="243">
        <f>H401*0.767472727272727</f>
        <v>0</v>
      </c>
      <c r="AP401" s="243">
        <f>H401*(1-0.767472727272727)</f>
        <v>0</v>
      </c>
      <c r="AQ401" s="245" t="s">
        <v>567</v>
      </c>
      <c r="AV401" s="243">
        <f t="shared" si="452"/>
        <v>0</v>
      </c>
      <c r="AW401" s="243">
        <f t="shared" si="453"/>
        <v>0</v>
      </c>
      <c r="AX401" s="243">
        <f t="shared" si="454"/>
        <v>0</v>
      </c>
      <c r="AY401" s="245" t="s">
        <v>610</v>
      </c>
      <c r="AZ401" s="245" t="s">
        <v>936</v>
      </c>
      <c r="BA401" s="232" t="s">
        <v>924</v>
      </c>
      <c r="BC401" s="243">
        <f t="shared" si="455"/>
        <v>0</v>
      </c>
      <c r="BD401" s="243">
        <f t="shared" si="456"/>
        <v>0</v>
      </c>
      <c r="BE401" s="243">
        <v>0</v>
      </c>
      <c r="BF401" s="243">
        <f>401</f>
        <v>401</v>
      </c>
      <c r="BH401" s="243">
        <f t="shared" si="457"/>
        <v>0</v>
      </c>
      <c r="BI401" s="243">
        <f t="shared" si="458"/>
        <v>0</v>
      </c>
      <c r="BJ401" s="243">
        <f t="shared" si="459"/>
        <v>0</v>
      </c>
      <c r="BK401" s="243"/>
      <c r="BL401" s="243">
        <v>722</v>
      </c>
      <c r="BW401" s="243">
        <v>21</v>
      </c>
    </row>
    <row r="402" spans="1:75" ht="13.5" customHeight="1">
      <c r="A402" s="207" t="s">
        <v>941</v>
      </c>
      <c r="B402" s="208" t="s">
        <v>921</v>
      </c>
      <c r="C402" s="208" t="s">
        <v>370</v>
      </c>
      <c r="D402" s="268" t="s">
        <v>1346</v>
      </c>
      <c r="E402" s="260"/>
      <c r="F402" s="208" t="s">
        <v>68</v>
      </c>
      <c r="G402" s="243">
        <v>1</v>
      </c>
      <c r="H402" s="244">
        <v>0</v>
      </c>
      <c r="I402" s="244">
        <f t="shared" si="440"/>
        <v>0</v>
      </c>
      <c r="K402" s="231"/>
      <c r="Z402" s="243">
        <f t="shared" si="441"/>
        <v>0</v>
      </c>
      <c r="AB402" s="243">
        <f t="shared" si="442"/>
        <v>0</v>
      </c>
      <c r="AC402" s="243">
        <f t="shared" si="443"/>
        <v>0</v>
      </c>
      <c r="AD402" s="243">
        <f t="shared" si="444"/>
        <v>0</v>
      </c>
      <c r="AE402" s="243">
        <f t="shared" si="445"/>
        <v>0</v>
      </c>
      <c r="AF402" s="243">
        <f t="shared" si="446"/>
        <v>0</v>
      </c>
      <c r="AG402" s="243">
        <f t="shared" si="447"/>
        <v>0</v>
      </c>
      <c r="AH402" s="243">
        <f t="shared" si="448"/>
        <v>0</v>
      </c>
      <c r="AI402" s="232" t="s">
        <v>921</v>
      </c>
      <c r="AJ402" s="243">
        <f t="shared" si="449"/>
        <v>0</v>
      </c>
      <c r="AK402" s="243">
        <f t="shared" si="450"/>
        <v>0</v>
      </c>
      <c r="AL402" s="243">
        <f t="shared" si="451"/>
        <v>0</v>
      </c>
      <c r="AN402" s="243">
        <v>21</v>
      </c>
      <c r="AO402" s="243">
        <f>H402*0.869366700715015</f>
        <v>0</v>
      </c>
      <c r="AP402" s="243">
        <f>H402*(1-0.869366700715015)</f>
        <v>0</v>
      </c>
      <c r="AQ402" s="245" t="s">
        <v>567</v>
      </c>
      <c r="AV402" s="243">
        <f t="shared" si="452"/>
        <v>0</v>
      </c>
      <c r="AW402" s="243">
        <f t="shared" si="453"/>
        <v>0</v>
      </c>
      <c r="AX402" s="243">
        <f t="shared" si="454"/>
        <v>0</v>
      </c>
      <c r="AY402" s="245" t="s">
        <v>610</v>
      </c>
      <c r="AZ402" s="245" t="s">
        <v>936</v>
      </c>
      <c r="BA402" s="232" t="s">
        <v>924</v>
      </c>
      <c r="BC402" s="243">
        <f t="shared" si="455"/>
        <v>0</v>
      </c>
      <c r="BD402" s="243">
        <f t="shared" si="456"/>
        <v>0</v>
      </c>
      <c r="BE402" s="243">
        <v>0</v>
      </c>
      <c r="BF402" s="243">
        <f>402</f>
        <v>402</v>
      </c>
      <c r="BH402" s="243">
        <f t="shared" si="457"/>
        <v>0</v>
      </c>
      <c r="BI402" s="243">
        <f t="shared" si="458"/>
        <v>0</v>
      </c>
      <c r="BJ402" s="243">
        <f t="shared" si="459"/>
        <v>0</v>
      </c>
      <c r="BK402" s="243"/>
      <c r="BL402" s="243">
        <v>722</v>
      </c>
      <c r="BW402" s="243">
        <v>21</v>
      </c>
    </row>
    <row r="403" spans="1:75" ht="13.5" customHeight="1">
      <c r="A403" s="207" t="s">
        <v>942</v>
      </c>
      <c r="B403" s="208" t="s">
        <v>921</v>
      </c>
      <c r="C403" s="208" t="s">
        <v>372</v>
      </c>
      <c r="D403" s="268" t="s">
        <v>1347</v>
      </c>
      <c r="E403" s="260"/>
      <c r="F403" s="208" t="s">
        <v>68</v>
      </c>
      <c r="G403" s="243">
        <v>1</v>
      </c>
      <c r="H403" s="244">
        <v>0</v>
      </c>
      <c r="I403" s="244">
        <f t="shared" si="440"/>
        <v>0</v>
      </c>
      <c r="K403" s="231"/>
      <c r="Z403" s="243">
        <f t="shared" si="441"/>
        <v>0</v>
      </c>
      <c r="AB403" s="243">
        <f t="shared" si="442"/>
        <v>0</v>
      </c>
      <c r="AC403" s="243">
        <f t="shared" si="443"/>
        <v>0</v>
      </c>
      <c r="AD403" s="243">
        <f t="shared" si="444"/>
        <v>0</v>
      </c>
      <c r="AE403" s="243">
        <f t="shared" si="445"/>
        <v>0</v>
      </c>
      <c r="AF403" s="243">
        <f t="shared" si="446"/>
        <v>0</v>
      </c>
      <c r="AG403" s="243">
        <f t="shared" si="447"/>
        <v>0</v>
      </c>
      <c r="AH403" s="243">
        <f t="shared" si="448"/>
        <v>0</v>
      </c>
      <c r="AI403" s="232" t="s">
        <v>921</v>
      </c>
      <c r="AJ403" s="243">
        <f t="shared" si="449"/>
        <v>0</v>
      </c>
      <c r="AK403" s="243">
        <f t="shared" si="450"/>
        <v>0</v>
      </c>
      <c r="AL403" s="243">
        <f t="shared" si="451"/>
        <v>0</v>
      </c>
      <c r="AN403" s="243">
        <v>21</v>
      </c>
      <c r="AO403" s="243">
        <f>H403*0.767894736842105</f>
        <v>0</v>
      </c>
      <c r="AP403" s="243">
        <f>H403*(1-0.767894736842105)</f>
        <v>0</v>
      </c>
      <c r="AQ403" s="245" t="s">
        <v>567</v>
      </c>
      <c r="AV403" s="243">
        <f t="shared" si="452"/>
        <v>0</v>
      </c>
      <c r="AW403" s="243">
        <f t="shared" si="453"/>
        <v>0</v>
      </c>
      <c r="AX403" s="243">
        <f t="shared" si="454"/>
        <v>0</v>
      </c>
      <c r="AY403" s="245" t="s">
        <v>610</v>
      </c>
      <c r="AZ403" s="245" t="s">
        <v>936</v>
      </c>
      <c r="BA403" s="232" t="s">
        <v>924</v>
      </c>
      <c r="BC403" s="243">
        <f t="shared" si="455"/>
        <v>0</v>
      </c>
      <c r="BD403" s="243">
        <f t="shared" si="456"/>
        <v>0</v>
      </c>
      <c r="BE403" s="243">
        <v>0</v>
      </c>
      <c r="BF403" s="243">
        <f>403</f>
        <v>403</v>
      </c>
      <c r="BH403" s="243">
        <f t="shared" si="457"/>
        <v>0</v>
      </c>
      <c r="BI403" s="243">
        <f t="shared" si="458"/>
        <v>0</v>
      </c>
      <c r="BJ403" s="243">
        <f t="shared" si="459"/>
        <v>0</v>
      </c>
      <c r="BK403" s="243"/>
      <c r="BL403" s="243">
        <v>722</v>
      </c>
      <c r="BW403" s="243">
        <v>21</v>
      </c>
    </row>
    <row r="404" spans="1:75" ht="13.5" customHeight="1">
      <c r="A404" s="207" t="s">
        <v>943</v>
      </c>
      <c r="B404" s="208" t="s">
        <v>921</v>
      </c>
      <c r="C404" s="208" t="s">
        <v>156</v>
      </c>
      <c r="D404" s="268" t="s">
        <v>1369</v>
      </c>
      <c r="E404" s="260"/>
      <c r="F404" s="208" t="s">
        <v>68</v>
      </c>
      <c r="G404" s="243">
        <v>1</v>
      </c>
      <c r="H404" s="244">
        <v>0</v>
      </c>
      <c r="I404" s="244">
        <f t="shared" si="440"/>
        <v>0</v>
      </c>
      <c r="K404" s="231"/>
      <c r="Z404" s="243">
        <f t="shared" si="441"/>
        <v>0</v>
      </c>
      <c r="AB404" s="243">
        <f t="shared" si="442"/>
        <v>0</v>
      </c>
      <c r="AC404" s="243">
        <f t="shared" si="443"/>
        <v>0</v>
      </c>
      <c r="AD404" s="243">
        <f t="shared" si="444"/>
        <v>0</v>
      </c>
      <c r="AE404" s="243">
        <f t="shared" si="445"/>
        <v>0</v>
      </c>
      <c r="AF404" s="243">
        <f t="shared" si="446"/>
        <v>0</v>
      </c>
      <c r="AG404" s="243">
        <f t="shared" si="447"/>
        <v>0</v>
      </c>
      <c r="AH404" s="243">
        <f t="shared" si="448"/>
        <v>0</v>
      </c>
      <c r="AI404" s="232" t="s">
        <v>921</v>
      </c>
      <c r="AJ404" s="243">
        <f t="shared" si="449"/>
        <v>0</v>
      </c>
      <c r="AK404" s="243">
        <f t="shared" si="450"/>
        <v>0</v>
      </c>
      <c r="AL404" s="243">
        <f t="shared" si="451"/>
        <v>0</v>
      </c>
      <c r="AN404" s="243">
        <v>21</v>
      </c>
      <c r="AO404" s="243">
        <f>H404*0.901698693312836</f>
        <v>0</v>
      </c>
      <c r="AP404" s="243">
        <f>H404*(1-0.901698693312836)</f>
        <v>0</v>
      </c>
      <c r="AQ404" s="245" t="s">
        <v>567</v>
      </c>
      <c r="AV404" s="243">
        <f t="shared" si="452"/>
        <v>0</v>
      </c>
      <c r="AW404" s="243">
        <f t="shared" si="453"/>
        <v>0</v>
      </c>
      <c r="AX404" s="243">
        <f t="shared" si="454"/>
        <v>0</v>
      </c>
      <c r="AY404" s="245" t="s">
        <v>610</v>
      </c>
      <c r="AZ404" s="245" t="s">
        <v>936</v>
      </c>
      <c r="BA404" s="232" t="s">
        <v>924</v>
      </c>
      <c r="BC404" s="243">
        <f t="shared" si="455"/>
        <v>0</v>
      </c>
      <c r="BD404" s="243">
        <f t="shared" si="456"/>
        <v>0</v>
      </c>
      <c r="BE404" s="243">
        <v>0</v>
      </c>
      <c r="BF404" s="243">
        <f>404</f>
        <v>404</v>
      </c>
      <c r="BH404" s="243">
        <f t="shared" si="457"/>
        <v>0</v>
      </c>
      <c r="BI404" s="243">
        <f t="shared" si="458"/>
        <v>0</v>
      </c>
      <c r="BJ404" s="243">
        <f t="shared" si="459"/>
        <v>0</v>
      </c>
      <c r="BK404" s="243"/>
      <c r="BL404" s="243">
        <v>722</v>
      </c>
      <c r="BW404" s="243">
        <v>21</v>
      </c>
    </row>
    <row r="405" spans="1:75" ht="15" customHeight="1">
      <c r="A405" s="238" t="s">
        <v>21</v>
      </c>
      <c r="B405" s="239" t="s">
        <v>921</v>
      </c>
      <c r="C405" s="239" t="s">
        <v>380</v>
      </c>
      <c r="D405" s="309" t="s">
        <v>381</v>
      </c>
      <c r="E405" s="310"/>
      <c r="F405" s="240" t="s">
        <v>20</v>
      </c>
      <c r="G405" s="240" t="s">
        <v>20</v>
      </c>
      <c r="H405" s="241" t="s">
        <v>20</v>
      </c>
      <c r="I405" s="242">
        <f>SUM(I406:I406)</f>
        <v>0</v>
      </c>
      <c r="K405" s="231"/>
      <c r="AI405" s="232" t="s">
        <v>921</v>
      </c>
      <c r="AS405" s="225">
        <f>SUM(AJ406:AJ406)</f>
        <v>0</v>
      </c>
      <c r="AT405" s="225">
        <f>SUM(AK406:AK406)</f>
        <v>0</v>
      </c>
      <c r="AU405" s="225">
        <f>SUM(AL406:AL406)</f>
        <v>0</v>
      </c>
    </row>
    <row r="406" spans="1:75" ht="13.5" customHeight="1">
      <c r="A406" s="207" t="s">
        <v>944</v>
      </c>
      <c r="B406" s="208" t="s">
        <v>921</v>
      </c>
      <c r="C406" s="208" t="s">
        <v>83</v>
      </c>
      <c r="D406" s="268" t="s">
        <v>255</v>
      </c>
      <c r="E406" s="260"/>
      <c r="F406" s="208" t="s">
        <v>58</v>
      </c>
      <c r="G406" s="243">
        <v>1</v>
      </c>
      <c r="H406" s="244">
        <v>0</v>
      </c>
      <c r="I406" s="244">
        <f>G406*H406</f>
        <v>0</v>
      </c>
      <c r="K406" s="231"/>
      <c r="Z406" s="243">
        <f>IF(AQ406="5",BJ406,0)</f>
        <v>0</v>
      </c>
      <c r="AB406" s="243">
        <f>IF(AQ406="1",BH406,0)</f>
        <v>0</v>
      </c>
      <c r="AC406" s="243">
        <f>IF(AQ406="1",BI406,0)</f>
        <v>0</v>
      </c>
      <c r="AD406" s="243">
        <f>IF(AQ406="7",BH406,0)</f>
        <v>0</v>
      </c>
      <c r="AE406" s="243">
        <f>IF(AQ406="7",BI406,0)</f>
        <v>0</v>
      </c>
      <c r="AF406" s="243">
        <f>IF(AQ406="2",BH406,0)</f>
        <v>0</v>
      </c>
      <c r="AG406" s="243">
        <f>IF(AQ406="2",BI406,0)</f>
        <v>0</v>
      </c>
      <c r="AH406" s="243">
        <f>IF(AQ406="0",BJ406,0)</f>
        <v>0</v>
      </c>
      <c r="AI406" s="232" t="s">
        <v>921</v>
      </c>
      <c r="AJ406" s="243">
        <f>IF(AN406=0,I406,0)</f>
        <v>0</v>
      </c>
      <c r="AK406" s="243">
        <f>IF(AN406=12,I406,0)</f>
        <v>0</v>
      </c>
      <c r="AL406" s="243">
        <f>IF(AN406=21,I406,0)</f>
        <v>0</v>
      </c>
      <c r="AN406" s="243">
        <v>21</v>
      </c>
      <c r="AO406" s="243">
        <f>H406*0.346020761245675</f>
        <v>0</v>
      </c>
      <c r="AP406" s="243">
        <f>H406*(1-0.346020761245675)</f>
        <v>0</v>
      </c>
      <c r="AQ406" s="245" t="s">
        <v>567</v>
      </c>
      <c r="AV406" s="243">
        <f>AW406+AX406</f>
        <v>0</v>
      </c>
      <c r="AW406" s="243">
        <f>G406*AO406</f>
        <v>0</v>
      </c>
      <c r="AX406" s="243">
        <f>G406*AP406</f>
        <v>0</v>
      </c>
      <c r="AY406" s="245" t="s">
        <v>745</v>
      </c>
      <c r="AZ406" s="245" t="s">
        <v>951</v>
      </c>
      <c r="BA406" s="232" t="s">
        <v>924</v>
      </c>
      <c r="BC406" s="243">
        <f>AW406+AX406</f>
        <v>0</v>
      </c>
      <c r="BD406" s="243">
        <f>H406/(100-BE406)*100</f>
        <v>0</v>
      </c>
      <c r="BE406" s="243">
        <v>0</v>
      </c>
      <c r="BF406" s="243">
        <f>406</f>
        <v>406</v>
      </c>
      <c r="BH406" s="243">
        <f>G406*AO406</f>
        <v>0</v>
      </c>
      <c r="BI406" s="243">
        <f>G406*AP406</f>
        <v>0</v>
      </c>
      <c r="BJ406" s="243">
        <f>G406*H406</f>
        <v>0</v>
      </c>
      <c r="BK406" s="243"/>
      <c r="BL406" s="243">
        <v>73</v>
      </c>
      <c r="BW406" s="243">
        <v>21</v>
      </c>
    </row>
    <row r="407" spans="1:75" ht="15" customHeight="1">
      <c r="A407" s="238" t="s">
        <v>21</v>
      </c>
      <c r="B407" s="239" t="s">
        <v>921</v>
      </c>
      <c r="C407" s="239" t="s">
        <v>64</v>
      </c>
      <c r="D407" s="309" t="s">
        <v>65</v>
      </c>
      <c r="E407" s="310"/>
      <c r="F407" s="240" t="s">
        <v>20</v>
      </c>
      <c r="G407" s="240" t="s">
        <v>20</v>
      </c>
      <c r="H407" s="241" t="s">
        <v>20</v>
      </c>
      <c r="I407" s="242">
        <f>SUM(I408:I414)</f>
        <v>0</v>
      </c>
      <c r="K407" s="231"/>
      <c r="AI407" s="232" t="s">
        <v>921</v>
      </c>
      <c r="AS407" s="225">
        <f>SUM(AJ408:AJ414)</f>
        <v>0</v>
      </c>
      <c r="AT407" s="225">
        <f>SUM(AK408:AK414)</f>
        <v>0</v>
      </c>
      <c r="AU407" s="225">
        <f>SUM(AL408:AL414)</f>
        <v>0</v>
      </c>
    </row>
    <row r="408" spans="1:75" ht="13.5" customHeight="1">
      <c r="A408" s="207" t="s">
        <v>945</v>
      </c>
      <c r="B408" s="208" t="s">
        <v>921</v>
      </c>
      <c r="C408" s="208" t="s">
        <v>382</v>
      </c>
      <c r="D408" s="268" t="s">
        <v>114</v>
      </c>
      <c r="E408" s="260"/>
      <c r="F408" s="208" t="s">
        <v>58</v>
      </c>
      <c r="G408" s="243">
        <v>11</v>
      </c>
      <c r="H408" s="244">
        <v>0</v>
      </c>
      <c r="I408" s="244">
        <f t="shared" ref="I408:I414" si="460">G408*H408</f>
        <v>0</v>
      </c>
      <c r="K408" s="231"/>
      <c r="Z408" s="243">
        <f t="shared" ref="Z408:Z414" si="461">IF(AQ408="5",BJ408,0)</f>
        <v>0</v>
      </c>
      <c r="AB408" s="243">
        <f t="shared" ref="AB408:AB414" si="462">IF(AQ408="1",BH408,0)</f>
        <v>0</v>
      </c>
      <c r="AC408" s="243">
        <f t="shared" ref="AC408:AC414" si="463">IF(AQ408="1",BI408,0)</f>
        <v>0</v>
      </c>
      <c r="AD408" s="243">
        <f t="shared" ref="AD408:AD414" si="464">IF(AQ408="7",BH408,0)</f>
        <v>0</v>
      </c>
      <c r="AE408" s="243">
        <f t="shared" ref="AE408:AE414" si="465">IF(AQ408="7",BI408,0)</f>
        <v>0</v>
      </c>
      <c r="AF408" s="243">
        <f t="shared" ref="AF408:AF414" si="466">IF(AQ408="2",BH408,0)</f>
        <v>0</v>
      </c>
      <c r="AG408" s="243">
        <f t="shared" ref="AG408:AG414" si="467">IF(AQ408="2",BI408,0)</f>
        <v>0</v>
      </c>
      <c r="AH408" s="243">
        <f t="shared" ref="AH408:AH414" si="468">IF(AQ408="0",BJ408,0)</f>
        <v>0</v>
      </c>
      <c r="AI408" s="232" t="s">
        <v>921</v>
      </c>
      <c r="AJ408" s="243">
        <f t="shared" ref="AJ408:AJ414" si="469">IF(AN408=0,I408,0)</f>
        <v>0</v>
      </c>
      <c r="AK408" s="243">
        <f t="shared" ref="AK408:AK414" si="470">IF(AN408=12,I408,0)</f>
        <v>0</v>
      </c>
      <c r="AL408" s="243">
        <f t="shared" ref="AL408:AL414" si="471">IF(AN408=21,I408,0)</f>
        <v>0</v>
      </c>
      <c r="AN408" s="243">
        <v>21</v>
      </c>
      <c r="AO408" s="243">
        <f>H408*0.658518518518519</f>
        <v>0</v>
      </c>
      <c r="AP408" s="243">
        <f>H408*(1-0.658518518518519)</f>
        <v>0</v>
      </c>
      <c r="AQ408" s="245" t="s">
        <v>567</v>
      </c>
      <c r="AV408" s="243">
        <f t="shared" ref="AV408:AV414" si="472">AW408+AX408</f>
        <v>0</v>
      </c>
      <c r="AW408" s="243">
        <f t="shared" ref="AW408:AW414" si="473">G408*AO408</f>
        <v>0</v>
      </c>
      <c r="AX408" s="243">
        <f t="shared" ref="AX408:AX414" si="474">G408*AP408</f>
        <v>0</v>
      </c>
      <c r="AY408" s="245" t="s">
        <v>580</v>
      </c>
      <c r="AZ408" s="245" t="s">
        <v>951</v>
      </c>
      <c r="BA408" s="232" t="s">
        <v>924</v>
      </c>
      <c r="BC408" s="243">
        <f t="shared" ref="BC408:BC414" si="475">AW408+AX408</f>
        <v>0</v>
      </c>
      <c r="BD408" s="243">
        <f t="shared" ref="BD408:BD414" si="476">H408/(100-BE408)*100</f>
        <v>0</v>
      </c>
      <c r="BE408" s="243">
        <v>0</v>
      </c>
      <c r="BF408" s="243">
        <f>408</f>
        <v>408</v>
      </c>
      <c r="BH408" s="243">
        <f t="shared" ref="BH408:BH414" si="477">G408*AO408</f>
        <v>0</v>
      </c>
      <c r="BI408" s="243">
        <f t="shared" ref="BI408:BI414" si="478">G408*AP408</f>
        <v>0</v>
      </c>
      <c r="BJ408" s="243">
        <f t="shared" ref="BJ408:BJ414" si="479">G408*H408</f>
        <v>0</v>
      </c>
      <c r="BK408" s="243"/>
      <c r="BL408" s="243">
        <v>732</v>
      </c>
      <c r="BW408" s="243">
        <v>21</v>
      </c>
    </row>
    <row r="409" spans="1:75" ht="13.5" customHeight="1">
      <c r="A409" s="207" t="s">
        <v>946</v>
      </c>
      <c r="B409" s="208" t="s">
        <v>921</v>
      </c>
      <c r="C409" s="208" t="s">
        <v>383</v>
      </c>
      <c r="D409" s="268" t="s">
        <v>384</v>
      </c>
      <c r="E409" s="260"/>
      <c r="F409" s="208" t="s">
        <v>63</v>
      </c>
      <c r="G409" s="243">
        <v>2</v>
      </c>
      <c r="H409" s="244">
        <v>0</v>
      </c>
      <c r="I409" s="244">
        <f t="shared" si="460"/>
        <v>0</v>
      </c>
      <c r="K409" s="231"/>
      <c r="Z409" s="243">
        <f t="shared" si="461"/>
        <v>0</v>
      </c>
      <c r="AB409" s="243">
        <f t="shared" si="462"/>
        <v>0</v>
      </c>
      <c r="AC409" s="243">
        <f t="shared" si="463"/>
        <v>0</v>
      </c>
      <c r="AD409" s="243">
        <f t="shared" si="464"/>
        <v>0</v>
      </c>
      <c r="AE409" s="243">
        <f t="shared" si="465"/>
        <v>0</v>
      </c>
      <c r="AF409" s="243">
        <f t="shared" si="466"/>
        <v>0</v>
      </c>
      <c r="AG409" s="243">
        <f t="shared" si="467"/>
        <v>0</v>
      </c>
      <c r="AH409" s="243">
        <f t="shared" si="468"/>
        <v>0</v>
      </c>
      <c r="AI409" s="232" t="s">
        <v>921</v>
      </c>
      <c r="AJ409" s="243">
        <f t="shared" si="469"/>
        <v>0</v>
      </c>
      <c r="AK409" s="243">
        <f t="shared" si="470"/>
        <v>0</v>
      </c>
      <c r="AL409" s="243">
        <f t="shared" si="471"/>
        <v>0</v>
      </c>
      <c r="AN409" s="243">
        <v>21</v>
      </c>
      <c r="AO409" s="243">
        <f>H409*0</f>
        <v>0</v>
      </c>
      <c r="AP409" s="243">
        <f>H409*(1-0)</f>
        <v>0</v>
      </c>
      <c r="AQ409" s="245" t="s">
        <v>567</v>
      </c>
      <c r="AV409" s="243">
        <f t="shared" si="472"/>
        <v>0</v>
      </c>
      <c r="AW409" s="243">
        <f t="shared" si="473"/>
        <v>0</v>
      </c>
      <c r="AX409" s="243">
        <f t="shared" si="474"/>
        <v>0</v>
      </c>
      <c r="AY409" s="245" t="s">
        <v>580</v>
      </c>
      <c r="AZ409" s="245" t="s">
        <v>951</v>
      </c>
      <c r="BA409" s="232" t="s">
        <v>924</v>
      </c>
      <c r="BC409" s="243">
        <f t="shared" si="475"/>
        <v>0</v>
      </c>
      <c r="BD409" s="243">
        <f t="shared" si="476"/>
        <v>0</v>
      </c>
      <c r="BE409" s="243">
        <v>0</v>
      </c>
      <c r="BF409" s="243">
        <f>409</f>
        <v>409</v>
      </c>
      <c r="BH409" s="243">
        <f t="shared" si="477"/>
        <v>0</v>
      </c>
      <c r="BI409" s="243">
        <f t="shared" si="478"/>
        <v>0</v>
      </c>
      <c r="BJ409" s="243">
        <f t="shared" si="479"/>
        <v>0</v>
      </c>
      <c r="BK409" s="243"/>
      <c r="BL409" s="243">
        <v>732</v>
      </c>
      <c r="BW409" s="243">
        <v>21</v>
      </c>
    </row>
    <row r="410" spans="1:75" ht="13.5" customHeight="1">
      <c r="A410" s="207" t="s">
        <v>947</v>
      </c>
      <c r="B410" s="208" t="s">
        <v>921</v>
      </c>
      <c r="C410" s="208" t="s">
        <v>385</v>
      </c>
      <c r="D410" s="268" t="s">
        <v>386</v>
      </c>
      <c r="E410" s="260"/>
      <c r="F410" s="208" t="s">
        <v>68</v>
      </c>
      <c r="G410" s="243">
        <v>1</v>
      </c>
      <c r="H410" s="244">
        <v>0</v>
      </c>
      <c r="I410" s="244">
        <f t="shared" si="460"/>
        <v>0</v>
      </c>
      <c r="K410" s="231"/>
      <c r="Z410" s="243">
        <f t="shared" si="461"/>
        <v>0</v>
      </c>
      <c r="AB410" s="243">
        <f t="shared" si="462"/>
        <v>0</v>
      </c>
      <c r="AC410" s="243">
        <f t="shared" si="463"/>
        <v>0</v>
      </c>
      <c r="AD410" s="243">
        <f t="shared" si="464"/>
        <v>0</v>
      </c>
      <c r="AE410" s="243">
        <f t="shared" si="465"/>
        <v>0</v>
      </c>
      <c r="AF410" s="243">
        <f t="shared" si="466"/>
        <v>0</v>
      </c>
      <c r="AG410" s="243">
        <f t="shared" si="467"/>
        <v>0</v>
      </c>
      <c r="AH410" s="243">
        <f t="shared" si="468"/>
        <v>0</v>
      </c>
      <c r="AI410" s="232" t="s">
        <v>921</v>
      </c>
      <c r="AJ410" s="243">
        <f t="shared" si="469"/>
        <v>0</v>
      </c>
      <c r="AK410" s="243">
        <f t="shared" si="470"/>
        <v>0</v>
      </c>
      <c r="AL410" s="243">
        <f t="shared" si="471"/>
        <v>0</v>
      </c>
      <c r="AN410" s="243">
        <v>21</v>
      </c>
      <c r="AO410" s="243">
        <f>H410*0.674383346425766</f>
        <v>0</v>
      </c>
      <c r="AP410" s="243">
        <f>H410*(1-0.674383346425766)</f>
        <v>0</v>
      </c>
      <c r="AQ410" s="245" t="s">
        <v>567</v>
      </c>
      <c r="AV410" s="243">
        <f t="shared" si="472"/>
        <v>0</v>
      </c>
      <c r="AW410" s="243">
        <f t="shared" si="473"/>
        <v>0</v>
      </c>
      <c r="AX410" s="243">
        <f t="shared" si="474"/>
        <v>0</v>
      </c>
      <c r="AY410" s="245" t="s">
        <v>580</v>
      </c>
      <c r="AZ410" s="245" t="s">
        <v>951</v>
      </c>
      <c r="BA410" s="232" t="s">
        <v>924</v>
      </c>
      <c r="BC410" s="243">
        <f t="shared" si="475"/>
        <v>0</v>
      </c>
      <c r="BD410" s="243">
        <f t="shared" si="476"/>
        <v>0</v>
      </c>
      <c r="BE410" s="243">
        <v>0</v>
      </c>
      <c r="BF410" s="243">
        <f>410</f>
        <v>410</v>
      </c>
      <c r="BH410" s="243">
        <f t="shared" si="477"/>
        <v>0</v>
      </c>
      <c r="BI410" s="243">
        <f t="shared" si="478"/>
        <v>0</v>
      </c>
      <c r="BJ410" s="243">
        <f t="shared" si="479"/>
        <v>0</v>
      </c>
      <c r="BK410" s="243"/>
      <c r="BL410" s="243">
        <v>732</v>
      </c>
      <c r="BW410" s="243">
        <v>21</v>
      </c>
    </row>
    <row r="411" spans="1:75" ht="13.5" customHeight="1">
      <c r="A411" s="207" t="s">
        <v>948</v>
      </c>
      <c r="B411" s="208" t="s">
        <v>921</v>
      </c>
      <c r="C411" s="208" t="s">
        <v>387</v>
      </c>
      <c r="D411" s="268" t="s">
        <v>388</v>
      </c>
      <c r="E411" s="260"/>
      <c r="F411" s="208" t="s">
        <v>68</v>
      </c>
      <c r="G411" s="243">
        <v>2</v>
      </c>
      <c r="H411" s="244">
        <v>0</v>
      </c>
      <c r="I411" s="244">
        <f t="shared" si="460"/>
        <v>0</v>
      </c>
      <c r="K411" s="231"/>
      <c r="Z411" s="243">
        <f t="shared" si="461"/>
        <v>0</v>
      </c>
      <c r="AB411" s="243">
        <f t="shared" si="462"/>
        <v>0</v>
      </c>
      <c r="AC411" s="243">
        <f t="shared" si="463"/>
        <v>0</v>
      </c>
      <c r="AD411" s="243">
        <f t="shared" si="464"/>
        <v>0</v>
      </c>
      <c r="AE411" s="243">
        <f t="shared" si="465"/>
        <v>0</v>
      </c>
      <c r="AF411" s="243">
        <f t="shared" si="466"/>
        <v>0</v>
      </c>
      <c r="AG411" s="243">
        <f t="shared" si="467"/>
        <v>0</v>
      </c>
      <c r="AH411" s="243">
        <f t="shared" si="468"/>
        <v>0</v>
      </c>
      <c r="AI411" s="232" t="s">
        <v>921</v>
      </c>
      <c r="AJ411" s="243">
        <f t="shared" si="469"/>
        <v>0</v>
      </c>
      <c r="AK411" s="243">
        <f t="shared" si="470"/>
        <v>0</v>
      </c>
      <c r="AL411" s="243">
        <f t="shared" si="471"/>
        <v>0</v>
      </c>
      <c r="AN411" s="243">
        <v>21</v>
      </c>
      <c r="AO411" s="243">
        <f>H411*0.532435331230284</f>
        <v>0</v>
      </c>
      <c r="AP411" s="243">
        <f>H411*(1-0.532435331230284)</f>
        <v>0</v>
      </c>
      <c r="AQ411" s="245" t="s">
        <v>567</v>
      </c>
      <c r="AV411" s="243">
        <f t="shared" si="472"/>
        <v>0</v>
      </c>
      <c r="AW411" s="243">
        <f t="shared" si="473"/>
        <v>0</v>
      </c>
      <c r="AX411" s="243">
        <f t="shared" si="474"/>
        <v>0</v>
      </c>
      <c r="AY411" s="245" t="s">
        <v>580</v>
      </c>
      <c r="AZ411" s="245" t="s">
        <v>951</v>
      </c>
      <c r="BA411" s="232" t="s">
        <v>924</v>
      </c>
      <c r="BC411" s="243">
        <f t="shared" si="475"/>
        <v>0</v>
      </c>
      <c r="BD411" s="243">
        <f t="shared" si="476"/>
        <v>0</v>
      </c>
      <c r="BE411" s="243">
        <v>0</v>
      </c>
      <c r="BF411" s="243">
        <f>411</f>
        <v>411</v>
      </c>
      <c r="BH411" s="243">
        <f t="shared" si="477"/>
        <v>0</v>
      </c>
      <c r="BI411" s="243">
        <f t="shared" si="478"/>
        <v>0</v>
      </c>
      <c r="BJ411" s="243">
        <f t="shared" si="479"/>
        <v>0</v>
      </c>
      <c r="BK411" s="243"/>
      <c r="BL411" s="243">
        <v>732</v>
      </c>
      <c r="BW411" s="243">
        <v>21</v>
      </c>
    </row>
    <row r="412" spans="1:75" ht="13.5" customHeight="1">
      <c r="A412" s="207" t="s">
        <v>949</v>
      </c>
      <c r="B412" s="208" t="s">
        <v>921</v>
      </c>
      <c r="C412" s="208" t="s">
        <v>179</v>
      </c>
      <c r="D412" s="268" t="s">
        <v>1330</v>
      </c>
      <c r="E412" s="260"/>
      <c r="F412" s="208" t="s">
        <v>21</v>
      </c>
      <c r="G412" s="243">
        <v>1</v>
      </c>
      <c r="H412" s="244">
        <v>0</v>
      </c>
      <c r="I412" s="244">
        <f t="shared" si="460"/>
        <v>0</v>
      </c>
      <c r="K412" s="231"/>
      <c r="Z412" s="243">
        <f t="shared" si="461"/>
        <v>0</v>
      </c>
      <c r="AB412" s="243">
        <f t="shared" si="462"/>
        <v>0</v>
      </c>
      <c r="AC412" s="243">
        <f t="shared" si="463"/>
        <v>0</v>
      </c>
      <c r="AD412" s="243">
        <f t="shared" si="464"/>
        <v>0</v>
      </c>
      <c r="AE412" s="243">
        <f t="shared" si="465"/>
        <v>0</v>
      </c>
      <c r="AF412" s="243">
        <f t="shared" si="466"/>
        <v>0</v>
      </c>
      <c r="AG412" s="243">
        <f t="shared" si="467"/>
        <v>0</v>
      </c>
      <c r="AH412" s="243">
        <f t="shared" si="468"/>
        <v>0</v>
      </c>
      <c r="AI412" s="232" t="s">
        <v>921</v>
      </c>
      <c r="AJ412" s="243">
        <f t="shared" si="469"/>
        <v>0</v>
      </c>
      <c r="AK412" s="243">
        <f t="shared" si="470"/>
        <v>0</v>
      </c>
      <c r="AL412" s="243">
        <f t="shared" si="471"/>
        <v>0</v>
      </c>
      <c r="AN412" s="243">
        <v>21</v>
      </c>
      <c r="AO412" s="243">
        <f>H412*0.974240082431736</f>
        <v>0</v>
      </c>
      <c r="AP412" s="243">
        <f>H412*(1-0.974240082431736)</f>
        <v>0</v>
      </c>
      <c r="AQ412" s="245" t="s">
        <v>567</v>
      </c>
      <c r="AV412" s="243">
        <f t="shared" si="472"/>
        <v>0</v>
      </c>
      <c r="AW412" s="243">
        <f t="shared" si="473"/>
        <v>0</v>
      </c>
      <c r="AX412" s="243">
        <f t="shared" si="474"/>
        <v>0</v>
      </c>
      <c r="AY412" s="245" t="s">
        <v>580</v>
      </c>
      <c r="AZ412" s="245" t="s">
        <v>951</v>
      </c>
      <c r="BA412" s="232" t="s">
        <v>924</v>
      </c>
      <c r="BC412" s="243">
        <f t="shared" si="475"/>
        <v>0</v>
      </c>
      <c r="BD412" s="243">
        <f t="shared" si="476"/>
        <v>0</v>
      </c>
      <c r="BE412" s="243">
        <v>0</v>
      </c>
      <c r="BF412" s="243">
        <f>412</f>
        <v>412</v>
      </c>
      <c r="BH412" s="243">
        <f t="shared" si="477"/>
        <v>0</v>
      </c>
      <c r="BI412" s="243">
        <f t="shared" si="478"/>
        <v>0</v>
      </c>
      <c r="BJ412" s="243">
        <f t="shared" si="479"/>
        <v>0</v>
      </c>
      <c r="BK412" s="243"/>
      <c r="BL412" s="243">
        <v>732</v>
      </c>
      <c r="BW412" s="243">
        <v>21</v>
      </c>
    </row>
    <row r="413" spans="1:75" ht="13.5" customHeight="1">
      <c r="A413" s="207" t="s">
        <v>950</v>
      </c>
      <c r="B413" s="208" t="s">
        <v>921</v>
      </c>
      <c r="C413" s="208" t="s">
        <v>390</v>
      </c>
      <c r="D413" s="268" t="s">
        <v>391</v>
      </c>
      <c r="E413" s="260"/>
      <c r="F413" s="208" t="s">
        <v>58</v>
      </c>
      <c r="G413" s="243">
        <v>1</v>
      </c>
      <c r="H413" s="244">
        <v>0</v>
      </c>
      <c r="I413" s="244">
        <f t="shared" si="460"/>
        <v>0</v>
      </c>
      <c r="K413" s="231"/>
      <c r="Z413" s="243">
        <f t="shared" si="461"/>
        <v>0</v>
      </c>
      <c r="AB413" s="243">
        <f t="shared" si="462"/>
        <v>0</v>
      </c>
      <c r="AC413" s="243">
        <f t="shared" si="463"/>
        <v>0</v>
      </c>
      <c r="AD413" s="243">
        <f t="shared" si="464"/>
        <v>0</v>
      </c>
      <c r="AE413" s="243">
        <f t="shared" si="465"/>
        <v>0</v>
      </c>
      <c r="AF413" s="243">
        <f t="shared" si="466"/>
        <v>0</v>
      </c>
      <c r="AG413" s="243">
        <f t="shared" si="467"/>
        <v>0</v>
      </c>
      <c r="AH413" s="243">
        <f t="shared" si="468"/>
        <v>0</v>
      </c>
      <c r="AI413" s="232" t="s">
        <v>921</v>
      </c>
      <c r="AJ413" s="243">
        <f t="shared" si="469"/>
        <v>0</v>
      </c>
      <c r="AK413" s="243">
        <f t="shared" si="470"/>
        <v>0</v>
      </c>
      <c r="AL413" s="243">
        <f t="shared" si="471"/>
        <v>0</v>
      </c>
      <c r="AN413" s="243">
        <v>21</v>
      </c>
      <c r="AO413" s="243">
        <f>H413*0.642985041792658</f>
        <v>0</v>
      </c>
      <c r="AP413" s="243">
        <f>H413*(1-0.642985041792658)</f>
        <v>0</v>
      </c>
      <c r="AQ413" s="245" t="s">
        <v>567</v>
      </c>
      <c r="AV413" s="243">
        <f t="shared" si="472"/>
        <v>0</v>
      </c>
      <c r="AW413" s="243">
        <f t="shared" si="473"/>
        <v>0</v>
      </c>
      <c r="AX413" s="243">
        <f t="shared" si="474"/>
        <v>0</v>
      </c>
      <c r="AY413" s="245" t="s">
        <v>580</v>
      </c>
      <c r="AZ413" s="245" t="s">
        <v>951</v>
      </c>
      <c r="BA413" s="232" t="s">
        <v>924</v>
      </c>
      <c r="BC413" s="243">
        <f t="shared" si="475"/>
        <v>0</v>
      </c>
      <c r="BD413" s="243">
        <f t="shared" si="476"/>
        <v>0</v>
      </c>
      <c r="BE413" s="243">
        <v>0</v>
      </c>
      <c r="BF413" s="243">
        <f>413</f>
        <v>413</v>
      </c>
      <c r="BH413" s="243">
        <f t="shared" si="477"/>
        <v>0</v>
      </c>
      <c r="BI413" s="243">
        <f t="shared" si="478"/>
        <v>0</v>
      </c>
      <c r="BJ413" s="243">
        <f t="shared" si="479"/>
        <v>0</v>
      </c>
      <c r="BK413" s="243"/>
      <c r="BL413" s="243">
        <v>732</v>
      </c>
      <c r="BW413" s="243">
        <v>21</v>
      </c>
    </row>
    <row r="414" spans="1:75" ht="13.5" customHeight="1">
      <c r="A414" s="207" t="s">
        <v>952</v>
      </c>
      <c r="B414" s="208" t="s">
        <v>921</v>
      </c>
      <c r="C414" s="208" t="s">
        <v>392</v>
      </c>
      <c r="D414" s="268" t="s">
        <v>1350</v>
      </c>
      <c r="E414" s="260"/>
      <c r="F414" s="208" t="s">
        <v>68</v>
      </c>
      <c r="G414" s="243">
        <v>1</v>
      </c>
      <c r="H414" s="244">
        <v>0</v>
      </c>
      <c r="I414" s="244">
        <f t="shared" si="460"/>
        <v>0</v>
      </c>
      <c r="K414" s="231"/>
      <c r="Z414" s="243">
        <f t="shared" si="461"/>
        <v>0</v>
      </c>
      <c r="AB414" s="243">
        <f t="shared" si="462"/>
        <v>0</v>
      </c>
      <c r="AC414" s="243">
        <f t="shared" si="463"/>
        <v>0</v>
      </c>
      <c r="AD414" s="243">
        <f t="shared" si="464"/>
        <v>0</v>
      </c>
      <c r="AE414" s="243">
        <f t="shared" si="465"/>
        <v>0</v>
      </c>
      <c r="AF414" s="243">
        <f t="shared" si="466"/>
        <v>0</v>
      </c>
      <c r="AG414" s="243">
        <f t="shared" si="467"/>
        <v>0</v>
      </c>
      <c r="AH414" s="243">
        <f t="shared" si="468"/>
        <v>0</v>
      </c>
      <c r="AI414" s="232" t="s">
        <v>921</v>
      </c>
      <c r="AJ414" s="243">
        <f t="shared" si="469"/>
        <v>0</v>
      </c>
      <c r="AK414" s="243">
        <f t="shared" si="470"/>
        <v>0</v>
      </c>
      <c r="AL414" s="243">
        <f t="shared" si="471"/>
        <v>0</v>
      </c>
      <c r="AN414" s="243">
        <v>21</v>
      </c>
      <c r="AO414" s="243">
        <f>H414*1</f>
        <v>0</v>
      </c>
      <c r="AP414" s="243">
        <f>H414*(1-1)</f>
        <v>0</v>
      </c>
      <c r="AQ414" s="245" t="s">
        <v>567</v>
      </c>
      <c r="AV414" s="243">
        <f t="shared" si="472"/>
        <v>0</v>
      </c>
      <c r="AW414" s="243">
        <f t="shared" si="473"/>
        <v>0</v>
      </c>
      <c r="AX414" s="243">
        <f t="shared" si="474"/>
        <v>0</v>
      </c>
      <c r="AY414" s="245" t="s">
        <v>580</v>
      </c>
      <c r="AZ414" s="245" t="s">
        <v>951</v>
      </c>
      <c r="BA414" s="232" t="s">
        <v>924</v>
      </c>
      <c r="BC414" s="243">
        <f t="shared" si="475"/>
        <v>0</v>
      </c>
      <c r="BD414" s="243">
        <f t="shared" si="476"/>
        <v>0</v>
      </c>
      <c r="BE414" s="243">
        <v>0</v>
      </c>
      <c r="BF414" s="243">
        <f>414</f>
        <v>414</v>
      </c>
      <c r="BH414" s="243">
        <f t="shared" si="477"/>
        <v>0</v>
      </c>
      <c r="BI414" s="243">
        <f t="shared" si="478"/>
        <v>0</v>
      </c>
      <c r="BJ414" s="243">
        <f t="shared" si="479"/>
        <v>0</v>
      </c>
      <c r="BK414" s="243"/>
      <c r="BL414" s="243">
        <v>732</v>
      </c>
      <c r="BW414" s="243">
        <v>21</v>
      </c>
    </row>
    <row r="415" spans="1:75" ht="15" customHeight="1">
      <c r="A415" s="238" t="s">
        <v>21</v>
      </c>
      <c r="B415" s="239" t="s">
        <v>921</v>
      </c>
      <c r="C415" s="239" t="s">
        <v>85</v>
      </c>
      <c r="D415" s="309" t="s">
        <v>86</v>
      </c>
      <c r="E415" s="310"/>
      <c r="F415" s="240" t="s">
        <v>20</v>
      </c>
      <c r="G415" s="240" t="s">
        <v>20</v>
      </c>
      <c r="H415" s="241" t="s">
        <v>20</v>
      </c>
      <c r="I415" s="242">
        <f>SUM(I416:I426)</f>
        <v>0</v>
      </c>
      <c r="K415" s="231"/>
      <c r="AI415" s="232" t="s">
        <v>921</v>
      </c>
      <c r="AS415" s="225">
        <f>SUM(AJ416:AJ426)</f>
        <v>0</v>
      </c>
      <c r="AT415" s="225">
        <f>SUM(AK416:AK426)</f>
        <v>0</v>
      </c>
      <c r="AU415" s="225">
        <f>SUM(AL416:AL426)</f>
        <v>0</v>
      </c>
    </row>
    <row r="416" spans="1:75" ht="13.5" customHeight="1">
      <c r="A416" s="207" t="s">
        <v>953</v>
      </c>
      <c r="B416" s="208" t="s">
        <v>921</v>
      </c>
      <c r="C416" s="208" t="s">
        <v>394</v>
      </c>
      <c r="D416" s="268" t="s">
        <v>395</v>
      </c>
      <c r="E416" s="260"/>
      <c r="F416" s="208" t="s">
        <v>68</v>
      </c>
      <c r="G416" s="243">
        <v>4</v>
      </c>
      <c r="H416" s="244">
        <v>0</v>
      </c>
      <c r="I416" s="244">
        <f t="shared" ref="I416:I426" si="480">G416*H416</f>
        <v>0</v>
      </c>
      <c r="K416" s="231"/>
      <c r="Z416" s="243">
        <f t="shared" ref="Z416:Z426" si="481">IF(AQ416="5",BJ416,0)</f>
        <v>0</v>
      </c>
      <c r="AB416" s="243">
        <f t="shared" ref="AB416:AB426" si="482">IF(AQ416="1",BH416,0)</f>
        <v>0</v>
      </c>
      <c r="AC416" s="243">
        <f t="shared" ref="AC416:AC426" si="483">IF(AQ416="1",BI416,0)</f>
        <v>0</v>
      </c>
      <c r="AD416" s="243">
        <f t="shared" ref="AD416:AD426" si="484">IF(AQ416="7",BH416,0)</f>
        <v>0</v>
      </c>
      <c r="AE416" s="243">
        <f t="shared" ref="AE416:AE426" si="485">IF(AQ416="7",BI416,0)</f>
        <v>0</v>
      </c>
      <c r="AF416" s="243">
        <f t="shared" ref="AF416:AF426" si="486">IF(AQ416="2",BH416,0)</f>
        <v>0</v>
      </c>
      <c r="AG416" s="243">
        <f t="shared" ref="AG416:AG426" si="487">IF(AQ416="2",BI416,0)</f>
        <v>0</v>
      </c>
      <c r="AH416" s="243">
        <f t="shared" ref="AH416:AH426" si="488">IF(AQ416="0",BJ416,0)</f>
        <v>0</v>
      </c>
      <c r="AI416" s="232" t="s">
        <v>921</v>
      </c>
      <c r="AJ416" s="243">
        <f t="shared" ref="AJ416:AJ426" si="489">IF(AN416=0,I416,0)</f>
        <v>0</v>
      </c>
      <c r="AK416" s="243">
        <f t="shared" ref="AK416:AK426" si="490">IF(AN416=12,I416,0)</f>
        <v>0</v>
      </c>
      <c r="AL416" s="243">
        <f t="shared" ref="AL416:AL426" si="491">IF(AN416=21,I416,0)</f>
        <v>0</v>
      </c>
      <c r="AN416" s="243">
        <v>21</v>
      </c>
      <c r="AO416" s="243">
        <f>H416*0.620309050772627</f>
        <v>0</v>
      </c>
      <c r="AP416" s="243">
        <f>H416*(1-0.620309050772627)</f>
        <v>0</v>
      </c>
      <c r="AQ416" s="245" t="s">
        <v>567</v>
      </c>
      <c r="AV416" s="243">
        <f t="shared" ref="AV416:AV426" si="492">AW416+AX416</f>
        <v>0</v>
      </c>
      <c r="AW416" s="243">
        <f t="shared" ref="AW416:AW426" si="493">G416*AO416</f>
        <v>0</v>
      </c>
      <c r="AX416" s="243">
        <f t="shared" ref="AX416:AX426" si="494">G416*AP416</f>
        <v>0</v>
      </c>
      <c r="AY416" s="245" t="s">
        <v>588</v>
      </c>
      <c r="AZ416" s="245" t="s">
        <v>951</v>
      </c>
      <c r="BA416" s="232" t="s">
        <v>924</v>
      </c>
      <c r="BC416" s="243">
        <f t="shared" ref="BC416:BC426" si="495">AW416+AX416</f>
        <v>0</v>
      </c>
      <c r="BD416" s="243">
        <f t="shared" ref="BD416:BD426" si="496">H416/(100-BE416)*100</f>
        <v>0</v>
      </c>
      <c r="BE416" s="243">
        <v>0</v>
      </c>
      <c r="BF416" s="243">
        <f>416</f>
        <v>416</v>
      </c>
      <c r="BH416" s="243">
        <f t="shared" ref="BH416:BH426" si="497">G416*AO416</f>
        <v>0</v>
      </c>
      <c r="BI416" s="243">
        <f t="shared" ref="BI416:BI426" si="498">G416*AP416</f>
        <v>0</v>
      </c>
      <c r="BJ416" s="243">
        <f t="shared" ref="BJ416:BJ426" si="499">G416*H416</f>
        <v>0</v>
      </c>
      <c r="BK416" s="243"/>
      <c r="BL416" s="243">
        <v>733</v>
      </c>
      <c r="BW416" s="243">
        <v>21</v>
      </c>
    </row>
    <row r="417" spans="1:75" ht="13.5" customHeight="1">
      <c r="A417" s="207" t="s">
        <v>954</v>
      </c>
      <c r="B417" s="208" t="s">
        <v>921</v>
      </c>
      <c r="C417" s="208" t="s">
        <v>396</v>
      </c>
      <c r="D417" s="268" t="s">
        <v>397</v>
      </c>
      <c r="E417" s="260"/>
      <c r="F417" s="208" t="s">
        <v>68</v>
      </c>
      <c r="G417" s="243">
        <v>4</v>
      </c>
      <c r="H417" s="244">
        <v>0</v>
      </c>
      <c r="I417" s="244">
        <f t="shared" si="480"/>
        <v>0</v>
      </c>
      <c r="K417" s="231"/>
      <c r="Z417" s="243">
        <f t="shared" si="481"/>
        <v>0</v>
      </c>
      <c r="AB417" s="243">
        <f t="shared" si="482"/>
        <v>0</v>
      </c>
      <c r="AC417" s="243">
        <f t="shared" si="483"/>
        <v>0</v>
      </c>
      <c r="AD417" s="243">
        <f t="shared" si="484"/>
        <v>0</v>
      </c>
      <c r="AE417" s="243">
        <f t="shared" si="485"/>
        <v>0</v>
      </c>
      <c r="AF417" s="243">
        <f t="shared" si="486"/>
        <v>0</v>
      </c>
      <c r="AG417" s="243">
        <f t="shared" si="487"/>
        <v>0</v>
      </c>
      <c r="AH417" s="243">
        <f t="shared" si="488"/>
        <v>0</v>
      </c>
      <c r="AI417" s="232" t="s">
        <v>921</v>
      </c>
      <c r="AJ417" s="243">
        <f t="shared" si="489"/>
        <v>0</v>
      </c>
      <c r="AK417" s="243">
        <f t="shared" si="490"/>
        <v>0</v>
      </c>
      <c r="AL417" s="243">
        <f t="shared" si="491"/>
        <v>0</v>
      </c>
      <c r="AN417" s="243">
        <v>21</v>
      </c>
      <c r="AO417" s="243">
        <f>H417*0.259191290824261</f>
        <v>0</v>
      </c>
      <c r="AP417" s="243">
        <f>H417*(1-0.259191290824261)</f>
        <v>0</v>
      </c>
      <c r="AQ417" s="245" t="s">
        <v>567</v>
      </c>
      <c r="AV417" s="243">
        <f t="shared" si="492"/>
        <v>0</v>
      </c>
      <c r="AW417" s="243">
        <f t="shared" si="493"/>
        <v>0</v>
      </c>
      <c r="AX417" s="243">
        <f t="shared" si="494"/>
        <v>0</v>
      </c>
      <c r="AY417" s="245" t="s">
        <v>588</v>
      </c>
      <c r="AZ417" s="245" t="s">
        <v>951</v>
      </c>
      <c r="BA417" s="232" t="s">
        <v>924</v>
      </c>
      <c r="BC417" s="243">
        <f t="shared" si="495"/>
        <v>0</v>
      </c>
      <c r="BD417" s="243">
        <f t="shared" si="496"/>
        <v>0</v>
      </c>
      <c r="BE417" s="243">
        <v>0</v>
      </c>
      <c r="BF417" s="243">
        <f>417</f>
        <v>417</v>
      </c>
      <c r="BH417" s="243">
        <f t="shared" si="497"/>
        <v>0</v>
      </c>
      <c r="BI417" s="243">
        <f t="shared" si="498"/>
        <v>0</v>
      </c>
      <c r="BJ417" s="243">
        <f t="shared" si="499"/>
        <v>0</v>
      </c>
      <c r="BK417" s="243"/>
      <c r="BL417" s="243">
        <v>733</v>
      </c>
      <c r="BW417" s="243">
        <v>21</v>
      </c>
    </row>
    <row r="418" spans="1:75" ht="13.5" customHeight="1">
      <c r="A418" s="207" t="s">
        <v>955</v>
      </c>
      <c r="B418" s="208" t="s">
        <v>921</v>
      </c>
      <c r="C418" s="208" t="s">
        <v>398</v>
      </c>
      <c r="D418" s="268" t="s">
        <v>399</v>
      </c>
      <c r="E418" s="260"/>
      <c r="F418" s="208" t="s">
        <v>68</v>
      </c>
      <c r="G418" s="243">
        <v>4</v>
      </c>
      <c r="H418" s="244">
        <v>0</v>
      </c>
      <c r="I418" s="244">
        <f t="shared" si="480"/>
        <v>0</v>
      </c>
      <c r="K418" s="231"/>
      <c r="Z418" s="243">
        <f t="shared" si="481"/>
        <v>0</v>
      </c>
      <c r="AB418" s="243">
        <f t="shared" si="482"/>
        <v>0</v>
      </c>
      <c r="AC418" s="243">
        <f t="shared" si="483"/>
        <v>0</v>
      </c>
      <c r="AD418" s="243">
        <f t="shared" si="484"/>
        <v>0</v>
      </c>
      <c r="AE418" s="243">
        <f t="shared" si="485"/>
        <v>0</v>
      </c>
      <c r="AF418" s="243">
        <f t="shared" si="486"/>
        <v>0</v>
      </c>
      <c r="AG418" s="243">
        <f t="shared" si="487"/>
        <v>0</v>
      </c>
      <c r="AH418" s="243">
        <f t="shared" si="488"/>
        <v>0</v>
      </c>
      <c r="AI418" s="232" t="s">
        <v>921</v>
      </c>
      <c r="AJ418" s="243">
        <f t="shared" si="489"/>
        <v>0</v>
      </c>
      <c r="AK418" s="243">
        <f t="shared" si="490"/>
        <v>0</v>
      </c>
      <c r="AL418" s="243">
        <f t="shared" si="491"/>
        <v>0</v>
      </c>
      <c r="AN418" s="243">
        <v>21</v>
      </c>
      <c r="AO418" s="243">
        <f>H418*0.345851428571429</f>
        <v>0</v>
      </c>
      <c r="AP418" s="243">
        <f>H418*(1-0.345851428571429)</f>
        <v>0</v>
      </c>
      <c r="AQ418" s="245" t="s">
        <v>567</v>
      </c>
      <c r="AV418" s="243">
        <f t="shared" si="492"/>
        <v>0</v>
      </c>
      <c r="AW418" s="243">
        <f t="shared" si="493"/>
        <v>0</v>
      </c>
      <c r="AX418" s="243">
        <f t="shared" si="494"/>
        <v>0</v>
      </c>
      <c r="AY418" s="245" t="s">
        <v>588</v>
      </c>
      <c r="AZ418" s="245" t="s">
        <v>951</v>
      </c>
      <c r="BA418" s="232" t="s">
        <v>924</v>
      </c>
      <c r="BC418" s="243">
        <f t="shared" si="495"/>
        <v>0</v>
      </c>
      <c r="BD418" s="243">
        <f t="shared" si="496"/>
        <v>0</v>
      </c>
      <c r="BE418" s="243">
        <v>0</v>
      </c>
      <c r="BF418" s="243">
        <f>418</f>
        <v>418</v>
      </c>
      <c r="BH418" s="243">
        <f t="shared" si="497"/>
        <v>0</v>
      </c>
      <c r="BI418" s="243">
        <f t="shared" si="498"/>
        <v>0</v>
      </c>
      <c r="BJ418" s="243">
        <f t="shared" si="499"/>
        <v>0</v>
      </c>
      <c r="BK418" s="243"/>
      <c r="BL418" s="243">
        <v>733</v>
      </c>
      <c r="BW418" s="243">
        <v>21</v>
      </c>
    </row>
    <row r="419" spans="1:75" ht="13.5" customHeight="1">
      <c r="A419" s="207" t="s">
        <v>956</v>
      </c>
      <c r="B419" s="208" t="s">
        <v>921</v>
      </c>
      <c r="C419" s="208" t="s">
        <v>400</v>
      </c>
      <c r="D419" s="268" t="s">
        <v>401</v>
      </c>
      <c r="E419" s="260"/>
      <c r="F419" s="208" t="s">
        <v>63</v>
      </c>
      <c r="G419" s="243">
        <v>12</v>
      </c>
      <c r="H419" s="244">
        <v>0</v>
      </c>
      <c r="I419" s="244">
        <f t="shared" si="480"/>
        <v>0</v>
      </c>
      <c r="K419" s="231"/>
      <c r="Z419" s="243">
        <f t="shared" si="481"/>
        <v>0</v>
      </c>
      <c r="AB419" s="243">
        <f t="shared" si="482"/>
        <v>0</v>
      </c>
      <c r="AC419" s="243">
        <f t="shared" si="483"/>
        <v>0</v>
      </c>
      <c r="AD419" s="243">
        <f t="shared" si="484"/>
        <v>0</v>
      </c>
      <c r="AE419" s="243">
        <f t="shared" si="485"/>
        <v>0</v>
      </c>
      <c r="AF419" s="243">
        <f t="shared" si="486"/>
        <v>0</v>
      </c>
      <c r="AG419" s="243">
        <f t="shared" si="487"/>
        <v>0</v>
      </c>
      <c r="AH419" s="243">
        <f t="shared" si="488"/>
        <v>0</v>
      </c>
      <c r="AI419" s="232" t="s">
        <v>921</v>
      </c>
      <c r="AJ419" s="243">
        <f t="shared" si="489"/>
        <v>0</v>
      </c>
      <c r="AK419" s="243">
        <f t="shared" si="490"/>
        <v>0</v>
      </c>
      <c r="AL419" s="243">
        <f t="shared" si="491"/>
        <v>0</v>
      </c>
      <c r="AN419" s="243">
        <v>21</v>
      </c>
      <c r="AO419" s="243">
        <f>H419*0.212764227642276</f>
        <v>0</v>
      </c>
      <c r="AP419" s="243">
        <f>H419*(1-0.212764227642276)</f>
        <v>0</v>
      </c>
      <c r="AQ419" s="245" t="s">
        <v>567</v>
      </c>
      <c r="AV419" s="243">
        <f t="shared" si="492"/>
        <v>0</v>
      </c>
      <c r="AW419" s="243">
        <f t="shared" si="493"/>
        <v>0</v>
      </c>
      <c r="AX419" s="243">
        <f t="shared" si="494"/>
        <v>0</v>
      </c>
      <c r="AY419" s="245" t="s">
        <v>588</v>
      </c>
      <c r="AZ419" s="245" t="s">
        <v>951</v>
      </c>
      <c r="BA419" s="232" t="s">
        <v>924</v>
      </c>
      <c r="BC419" s="243">
        <f t="shared" si="495"/>
        <v>0</v>
      </c>
      <c r="BD419" s="243">
        <f t="shared" si="496"/>
        <v>0</v>
      </c>
      <c r="BE419" s="243">
        <v>0</v>
      </c>
      <c r="BF419" s="243">
        <f>419</f>
        <v>419</v>
      </c>
      <c r="BH419" s="243">
        <f t="shared" si="497"/>
        <v>0</v>
      </c>
      <c r="BI419" s="243">
        <f t="shared" si="498"/>
        <v>0</v>
      </c>
      <c r="BJ419" s="243">
        <f t="shared" si="499"/>
        <v>0</v>
      </c>
      <c r="BK419" s="243"/>
      <c r="BL419" s="243">
        <v>733</v>
      </c>
      <c r="BW419" s="243">
        <v>21</v>
      </c>
    </row>
    <row r="420" spans="1:75" ht="13.5" customHeight="1">
      <c r="A420" s="207" t="s">
        <v>957</v>
      </c>
      <c r="B420" s="208" t="s">
        <v>921</v>
      </c>
      <c r="C420" s="208" t="s">
        <v>402</v>
      </c>
      <c r="D420" s="268" t="s">
        <v>403</v>
      </c>
      <c r="E420" s="260"/>
      <c r="F420" s="208" t="s">
        <v>63</v>
      </c>
      <c r="G420" s="243">
        <v>6</v>
      </c>
      <c r="H420" s="244">
        <v>0</v>
      </c>
      <c r="I420" s="244">
        <f t="shared" si="480"/>
        <v>0</v>
      </c>
      <c r="K420" s="231"/>
      <c r="Z420" s="243">
        <f t="shared" si="481"/>
        <v>0</v>
      </c>
      <c r="AB420" s="243">
        <f t="shared" si="482"/>
        <v>0</v>
      </c>
      <c r="AC420" s="243">
        <f t="shared" si="483"/>
        <v>0</v>
      </c>
      <c r="AD420" s="243">
        <f t="shared" si="484"/>
        <v>0</v>
      </c>
      <c r="AE420" s="243">
        <f t="shared" si="485"/>
        <v>0</v>
      </c>
      <c r="AF420" s="243">
        <f t="shared" si="486"/>
        <v>0</v>
      </c>
      <c r="AG420" s="243">
        <f t="shared" si="487"/>
        <v>0</v>
      </c>
      <c r="AH420" s="243">
        <f t="shared" si="488"/>
        <v>0</v>
      </c>
      <c r="AI420" s="232" t="s">
        <v>921</v>
      </c>
      <c r="AJ420" s="243">
        <f t="shared" si="489"/>
        <v>0</v>
      </c>
      <c r="AK420" s="243">
        <f t="shared" si="490"/>
        <v>0</v>
      </c>
      <c r="AL420" s="243">
        <f t="shared" si="491"/>
        <v>0</v>
      </c>
      <c r="AN420" s="243">
        <v>21</v>
      </c>
      <c r="AO420" s="243">
        <f>H420*0.58344860710855</f>
        <v>0</v>
      </c>
      <c r="AP420" s="243">
        <f>H420*(1-0.58344860710855)</f>
        <v>0</v>
      </c>
      <c r="AQ420" s="245" t="s">
        <v>567</v>
      </c>
      <c r="AV420" s="243">
        <f t="shared" si="492"/>
        <v>0</v>
      </c>
      <c r="AW420" s="243">
        <f t="shared" si="493"/>
        <v>0</v>
      </c>
      <c r="AX420" s="243">
        <f t="shared" si="494"/>
        <v>0</v>
      </c>
      <c r="AY420" s="245" t="s">
        <v>588</v>
      </c>
      <c r="AZ420" s="245" t="s">
        <v>951</v>
      </c>
      <c r="BA420" s="232" t="s">
        <v>924</v>
      </c>
      <c r="BC420" s="243">
        <f t="shared" si="495"/>
        <v>0</v>
      </c>
      <c r="BD420" s="243">
        <f t="shared" si="496"/>
        <v>0</v>
      </c>
      <c r="BE420" s="243">
        <v>0</v>
      </c>
      <c r="BF420" s="243">
        <f>420</f>
        <v>420</v>
      </c>
      <c r="BH420" s="243">
        <f t="shared" si="497"/>
        <v>0</v>
      </c>
      <c r="BI420" s="243">
        <f t="shared" si="498"/>
        <v>0</v>
      </c>
      <c r="BJ420" s="243">
        <f t="shared" si="499"/>
        <v>0</v>
      </c>
      <c r="BK420" s="243"/>
      <c r="BL420" s="243">
        <v>733</v>
      </c>
      <c r="BW420" s="243">
        <v>21</v>
      </c>
    </row>
    <row r="421" spans="1:75" ht="13.5" customHeight="1">
      <c r="A421" s="207" t="s">
        <v>958</v>
      </c>
      <c r="B421" s="208" t="s">
        <v>921</v>
      </c>
      <c r="C421" s="208" t="s">
        <v>404</v>
      </c>
      <c r="D421" s="268" t="s">
        <v>405</v>
      </c>
      <c r="E421" s="260"/>
      <c r="F421" s="208" t="s">
        <v>63</v>
      </c>
      <c r="G421" s="243">
        <v>8</v>
      </c>
      <c r="H421" s="244">
        <v>0</v>
      </c>
      <c r="I421" s="244">
        <f t="shared" si="480"/>
        <v>0</v>
      </c>
      <c r="K421" s="231"/>
      <c r="Z421" s="243">
        <f t="shared" si="481"/>
        <v>0</v>
      </c>
      <c r="AB421" s="243">
        <f t="shared" si="482"/>
        <v>0</v>
      </c>
      <c r="AC421" s="243">
        <f t="shared" si="483"/>
        <v>0</v>
      </c>
      <c r="AD421" s="243">
        <f t="shared" si="484"/>
        <v>0</v>
      </c>
      <c r="AE421" s="243">
        <f t="shared" si="485"/>
        <v>0</v>
      </c>
      <c r="AF421" s="243">
        <f t="shared" si="486"/>
        <v>0</v>
      </c>
      <c r="AG421" s="243">
        <f t="shared" si="487"/>
        <v>0</v>
      </c>
      <c r="AH421" s="243">
        <f t="shared" si="488"/>
        <v>0</v>
      </c>
      <c r="AI421" s="232" t="s">
        <v>921</v>
      </c>
      <c r="AJ421" s="243">
        <f t="shared" si="489"/>
        <v>0</v>
      </c>
      <c r="AK421" s="243">
        <f t="shared" si="490"/>
        <v>0</v>
      </c>
      <c r="AL421" s="243">
        <f t="shared" si="491"/>
        <v>0</v>
      </c>
      <c r="AN421" s="243">
        <v>21</v>
      </c>
      <c r="AO421" s="243">
        <f>H421*0.144233333333333</f>
        <v>0</v>
      </c>
      <c r="AP421" s="243">
        <f>H421*(1-0.144233333333333)</f>
        <v>0</v>
      </c>
      <c r="AQ421" s="245" t="s">
        <v>567</v>
      </c>
      <c r="AV421" s="243">
        <f t="shared" si="492"/>
        <v>0</v>
      </c>
      <c r="AW421" s="243">
        <f t="shared" si="493"/>
        <v>0</v>
      </c>
      <c r="AX421" s="243">
        <f t="shared" si="494"/>
        <v>0</v>
      </c>
      <c r="AY421" s="245" t="s">
        <v>588</v>
      </c>
      <c r="AZ421" s="245" t="s">
        <v>951</v>
      </c>
      <c r="BA421" s="232" t="s">
        <v>924</v>
      </c>
      <c r="BC421" s="243">
        <f t="shared" si="495"/>
        <v>0</v>
      </c>
      <c r="BD421" s="243">
        <f t="shared" si="496"/>
        <v>0</v>
      </c>
      <c r="BE421" s="243">
        <v>0</v>
      </c>
      <c r="BF421" s="243">
        <f>421</f>
        <v>421</v>
      </c>
      <c r="BH421" s="243">
        <f t="shared" si="497"/>
        <v>0</v>
      </c>
      <c r="BI421" s="243">
        <f t="shared" si="498"/>
        <v>0</v>
      </c>
      <c r="BJ421" s="243">
        <f t="shared" si="499"/>
        <v>0</v>
      </c>
      <c r="BK421" s="243"/>
      <c r="BL421" s="243">
        <v>733</v>
      </c>
      <c r="BW421" s="243">
        <v>21</v>
      </c>
    </row>
    <row r="422" spans="1:75" ht="13.5" customHeight="1">
      <c r="A422" s="207" t="s">
        <v>959</v>
      </c>
      <c r="B422" s="208" t="s">
        <v>921</v>
      </c>
      <c r="C422" s="208" t="s">
        <v>406</v>
      </c>
      <c r="D422" s="268" t="s">
        <v>407</v>
      </c>
      <c r="E422" s="260"/>
      <c r="F422" s="208" t="s">
        <v>63</v>
      </c>
      <c r="G422" s="243">
        <v>0.5</v>
      </c>
      <c r="H422" s="244">
        <v>0</v>
      </c>
      <c r="I422" s="244">
        <f t="shared" si="480"/>
        <v>0</v>
      </c>
      <c r="K422" s="231"/>
      <c r="Z422" s="243">
        <f t="shared" si="481"/>
        <v>0</v>
      </c>
      <c r="AB422" s="243">
        <f t="shared" si="482"/>
        <v>0</v>
      </c>
      <c r="AC422" s="243">
        <f t="shared" si="483"/>
        <v>0</v>
      </c>
      <c r="AD422" s="243">
        <f t="shared" si="484"/>
        <v>0</v>
      </c>
      <c r="AE422" s="243">
        <f t="shared" si="485"/>
        <v>0</v>
      </c>
      <c r="AF422" s="243">
        <f t="shared" si="486"/>
        <v>0</v>
      </c>
      <c r="AG422" s="243">
        <f t="shared" si="487"/>
        <v>0</v>
      </c>
      <c r="AH422" s="243">
        <f t="shared" si="488"/>
        <v>0</v>
      </c>
      <c r="AI422" s="232" t="s">
        <v>921</v>
      </c>
      <c r="AJ422" s="243">
        <f t="shared" si="489"/>
        <v>0</v>
      </c>
      <c r="AK422" s="243">
        <f t="shared" si="490"/>
        <v>0</v>
      </c>
      <c r="AL422" s="243">
        <f t="shared" si="491"/>
        <v>0</v>
      </c>
      <c r="AN422" s="243">
        <v>21</v>
      </c>
      <c r="AO422" s="243">
        <f>H422*0.0775828460038986</f>
        <v>0</v>
      </c>
      <c r="AP422" s="243">
        <f>H422*(1-0.0775828460038986)</f>
        <v>0</v>
      </c>
      <c r="AQ422" s="245" t="s">
        <v>567</v>
      </c>
      <c r="AV422" s="243">
        <f t="shared" si="492"/>
        <v>0</v>
      </c>
      <c r="AW422" s="243">
        <f t="shared" si="493"/>
        <v>0</v>
      </c>
      <c r="AX422" s="243">
        <f t="shared" si="494"/>
        <v>0</v>
      </c>
      <c r="AY422" s="245" t="s">
        <v>588</v>
      </c>
      <c r="AZ422" s="245" t="s">
        <v>951</v>
      </c>
      <c r="BA422" s="232" t="s">
        <v>924</v>
      </c>
      <c r="BC422" s="243">
        <f t="shared" si="495"/>
        <v>0</v>
      </c>
      <c r="BD422" s="243">
        <f t="shared" si="496"/>
        <v>0</v>
      </c>
      <c r="BE422" s="243">
        <v>0</v>
      </c>
      <c r="BF422" s="243">
        <f>422</f>
        <v>422</v>
      </c>
      <c r="BH422" s="243">
        <f t="shared" si="497"/>
        <v>0</v>
      </c>
      <c r="BI422" s="243">
        <f t="shared" si="498"/>
        <v>0</v>
      </c>
      <c r="BJ422" s="243">
        <f t="shared" si="499"/>
        <v>0</v>
      </c>
      <c r="BK422" s="243"/>
      <c r="BL422" s="243">
        <v>733</v>
      </c>
      <c r="BW422" s="243">
        <v>21</v>
      </c>
    </row>
    <row r="423" spans="1:75" ht="13.5" customHeight="1">
      <c r="A423" s="207" t="s">
        <v>960</v>
      </c>
      <c r="B423" s="208" t="s">
        <v>921</v>
      </c>
      <c r="C423" s="208" t="s">
        <v>189</v>
      </c>
      <c r="D423" s="268" t="s">
        <v>190</v>
      </c>
      <c r="E423" s="260"/>
      <c r="F423" s="208" t="s">
        <v>63</v>
      </c>
      <c r="G423" s="243">
        <v>14.5</v>
      </c>
      <c r="H423" s="244">
        <v>0</v>
      </c>
      <c r="I423" s="244">
        <f t="shared" si="480"/>
        <v>0</v>
      </c>
      <c r="K423" s="231"/>
      <c r="Z423" s="243">
        <f t="shared" si="481"/>
        <v>0</v>
      </c>
      <c r="AB423" s="243">
        <f t="shared" si="482"/>
        <v>0</v>
      </c>
      <c r="AC423" s="243">
        <f t="shared" si="483"/>
        <v>0</v>
      </c>
      <c r="AD423" s="243">
        <f t="shared" si="484"/>
        <v>0</v>
      </c>
      <c r="AE423" s="243">
        <f t="shared" si="485"/>
        <v>0</v>
      </c>
      <c r="AF423" s="243">
        <f t="shared" si="486"/>
        <v>0</v>
      </c>
      <c r="AG423" s="243">
        <f t="shared" si="487"/>
        <v>0</v>
      </c>
      <c r="AH423" s="243">
        <f t="shared" si="488"/>
        <v>0</v>
      </c>
      <c r="AI423" s="232" t="s">
        <v>921</v>
      </c>
      <c r="AJ423" s="243">
        <f t="shared" si="489"/>
        <v>0</v>
      </c>
      <c r="AK423" s="243">
        <f t="shared" si="490"/>
        <v>0</v>
      </c>
      <c r="AL423" s="243">
        <f t="shared" si="491"/>
        <v>0</v>
      </c>
      <c r="AN423" s="243">
        <v>21</v>
      </c>
      <c r="AO423" s="243">
        <f>H423*0</f>
        <v>0</v>
      </c>
      <c r="AP423" s="243">
        <f>H423*(1-0)</f>
        <v>0</v>
      </c>
      <c r="AQ423" s="245" t="s">
        <v>567</v>
      </c>
      <c r="AV423" s="243">
        <f t="shared" si="492"/>
        <v>0</v>
      </c>
      <c r="AW423" s="243">
        <f t="shared" si="493"/>
        <v>0</v>
      </c>
      <c r="AX423" s="243">
        <f t="shared" si="494"/>
        <v>0</v>
      </c>
      <c r="AY423" s="245" t="s">
        <v>588</v>
      </c>
      <c r="AZ423" s="245" t="s">
        <v>951</v>
      </c>
      <c r="BA423" s="232" t="s">
        <v>924</v>
      </c>
      <c r="BC423" s="243">
        <f t="shared" si="495"/>
        <v>0</v>
      </c>
      <c r="BD423" s="243">
        <f t="shared" si="496"/>
        <v>0</v>
      </c>
      <c r="BE423" s="243">
        <v>0</v>
      </c>
      <c r="BF423" s="243">
        <f>423</f>
        <v>423</v>
      </c>
      <c r="BH423" s="243">
        <f t="shared" si="497"/>
        <v>0</v>
      </c>
      <c r="BI423" s="243">
        <f t="shared" si="498"/>
        <v>0</v>
      </c>
      <c r="BJ423" s="243">
        <f t="shared" si="499"/>
        <v>0</v>
      </c>
      <c r="BK423" s="243"/>
      <c r="BL423" s="243">
        <v>733</v>
      </c>
      <c r="BW423" s="243">
        <v>21</v>
      </c>
    </row>
    <row r="424" spans="1:75" ht="13.5" customHeight="1">
      <c r="A424" s="207" t="s">
        <v>961</v>
      </c>
      <c r="B424" s="208" t="s">
        <v>921</v>
      </c>
      <c r="C424" s="208" t="s">
        <v>408</v>
      </c>
      <c r="D424" s="268" t="s">
        <v>1351</v>
      </c>
      <c r="E424" s="260"/>
      <c r="F424" s="208" t="s">
        <v>63</v>
      </c>
      <c r="G424" s="243">
        <v>6</v>
      </c>
      <c r="H424" s="244">
        <v>0</v>
      </c>
      <c r="I424" s="244">
        <f t="shared" si="480"/>
        <v>0</v>
      </c>
      <c r="K424" s="231"/>
      <c r="Z424" s="243">
        <f t="shared" si="481"/>
        <v>0</v>
      </c>
      <c r="AB424" s="243">
        <f t="shared" si="482"/>
        <v>0</v>
      </c>
      <c r="AC424" s="243">
        <f t="shared" si="483"/>
        <v>0</v>
      </c>
      <c r="AD424" s="243">
        <f t="shared" si="484"/>
        <v>0</v>
      </c>
      <c r="AE424" s="243">
        <f t="shared" si="485"/>
        <v>0</v>
      </c>
      <c r="AF424" s="243">
        <f t="shared" si="486"/>
        <v>0</v>
      </c>
      <c r="AG424" s="243">
        <f t="shared" si="487"/>
        <v>0</v>
      </c>
      <c r="AH424" s="243">
        <f t="shared" si="488"/>
        <v>0</v>
      </c>
      <c r="AI424" s="232" t="s">
        <v>921</v>
      </c>
      <c r="AJ424" s="243">
        <f t="shared" si="489"/>
        <v>0</v>
      </c>
      <c r="AK424" s="243">
        <f t="shared" si="490"/>
        <v>0</v>
      </c>
      <c r="AL424" s="243">
        <f t="shared" si="491"/>
        <v>0</v>
      </c>
      <c r="AN424" s="243">
        <v>21</v>
      </c>
      <c r="AO424" s="243">
        <f>H424*1</f>
        <v>0</v>
      </c>
      <c r="AP424" s="243">
        <f>H424*(1-1)</f>
        <v>0</v>
      </c>
      <c r="AQ424" s="245" t="s">
        <v>567</v>
      </c>
      <c r="AV424" s="243">
        <f t="shared" si="492"/>
        <v>0</v>
      </c>
      <c r="AW424" s="243">
        <f t="shared" si="493"/>
        <v>0</v>
      </c>
      <c r="AX424" s="243">
        <f t="shared" si="494"/>
        <v>0</v>
      </c>
      <c r="AY424" s="245" t="s">
        <v>588</v>
      </c>
      <c r="AZ424" s="245" t="s">
        <v>951</v>
      </c>
      <c r="BA424" s="232" t="s">
        <v>924</v>
      </c>
      <c r="BC424" s="243">
        <f t="shared" si="495"/>
        <v>0</v>
      </c>
      <c r="BD424" s="243">
        <f t="shared" si="496"/>
        <v>0</v>
      </c>
      <c r="BE424" s="243">
        <v>0</v>
      </c>
      <c r="BF424" s="243">
        <f>424</f>
        <v>424</v>
      </c>
      <c r="BH424" s="243">
        <f t="shared" si="497"/>
        <v>0</v>
      </c>
      <c r="BI424" s="243">
        <f t="shared" si="498"/>
        <v>0</v>
      </c>
      <c r="BJ424" s="243">
        <f t="shared" si="499"/>
        <v>0</v>
      </c>
      <c r="BK424" s="243"/>
      <c r="BL424" s="243">
        <v>733</v>
      </c>
      <c r="BW424" s="243">
        <v>21</v>
      </c>
    </row>
    <row r="425" spans="1:75" ht="13.5" customHeight="1">
      <c r="A425" s="207" t="s">
        <v>962</v>
      </c>
      <c r="B425" s="208" t="s">
        <v>921</v>
      </c>
      <c r="C425" s="208" t="s">
        <v>410</v>
      </c>
      <c r="D425" s="268" t="s">
        <v>1352</v>
      </c>
      <c r="E425" s="260"/>
      <c r="F425" s="208" t="s">
        <v>63</v>
      </c>
      <c r="G425" s="243">
        <v>8</v>
      </c>
      <c r="H425" s="244">
        <v>0</v>
      </c>
      <c r="I425" s="244">
        <f t="shared" si="480"/>
        <v>0</v>
      </c>
      <c r="K425" s="231"/>
      <c r="Z425" s="243">
        <f t="shared" si="481"/>
        <v>0</v>
      </c>
      <c r="AB425" s="243">
        <f t="shared" si="482"/>
        <v>0</v>
      </c>
      <c r="AC425" s="243">
        <f t="shared" si="483"/>
        <v>0</v>
      </c>
      <c r="AD425" s="243">
        <f t="shared" si="484"/>
        <v>0</v>
      </c>
      <c r="AE425" s="243">
        <f t="shared" si="485"/>
        <v>0</v>
      </c>
      <c r="AF425" s="243">
        <f t="shared" si="486"/>
        <v>0</v>
      </c>
      <c r="AG425" s="243">
        <f t="shared" si="487"/>
        <v>0</v>
      </c>
      <c r="AH425" s="243">
        <f t="shared" si="488"/>
        <v>0</v>
      </c>
      <c r="AI425" s="232" t="s">
        <v>921</v>
      </c>
      <c r="AJ425" s="243">
        <f t="shared" si="489"/>
        <v>0</v>
      </c>
      <c r="AK425" s="243">
        <f t="shared" si="490"/>
        <v>0</v>
      </c>
      <c r="AL425" s="243">
        <f t="shared" si="491"/>
        <v>0</v>
      </c>
      <c r="AN425" s="243">
        <v>21</v>
      </c>
      <c r="AO425" s="243">
        <f>H425*1</f>
        <v>0</v>
      </c>
      <c r="AP425" s="243">
        <f>H425*(1-1)</f>
        <v>0</v>
      </c>
      <c r="AQ425" s="245" t="s">
        <v>567</v>
      </c>
      <c r="AV425" s="243">
        <f t="shared" si="492"/>
        <v>0</v>
      </c>
      <c r="AW425" s="243">
        <f t="shared" si="493"/>
        <v>0</v>
      </c>
      <c r="AX425" s="243">
        <f t="shared" si="494"/>
        <v>0</v>
      </c>
      <c r="AY425" s="245" t="s">
        <v>588</v>
      </c>
      <c r="AZ425" s="245" t="s">
        <v>951</v>
      </c>
      <c r="BA425" s="232" t="s">
        <v>924</v>
      </c>
      <c r="BC425" s="243">
        <f t="shared" si="495"/>
        <v>0</v>
      </c>
      <c r="BD425" s="243">
        <f t="shared" si="496"/>
        <v>0</v>
      </c>
      <c r="BE425" s="243">
        <v>0</v>
      </c>
      <c r="BF425" s="243">
        <f>425</f>
        <v>425</v>
      </c>
      <c r="BH425" s="243">
        <f t="shared" si="497"/>
        <v>0</v>
      </c>
      <c r="BI425" s="243">
        <f t="shared" si="498"/>
        <v>0</v>
      </c>
      <c r="BJ425" s="243">
        <f t="shared" si="499"/>
        <v>0</v>
      </c>
      <c r="BK425" s="243"/>
      <c r="BL425" s="243">
        <v>733</v>
      </c>
      <c r="BW425" s="243">
        <v>21</v>
      </c>
    </row>
    <row r="426" spans="1:75" ht="13.5" customHeight="1">
      <c r="A426" s="207" t="s">
        <v>963</v>
      </c>
      <c r="B426" s="208" t="s">
        <v>921</v>
      </c>
      <c r="C426" s="208" t="s">
        <v>412</v>
      </c>
      <c r="D426" s="268" t="s">
        <v>1370</v>
      </c>
      <c r="E426" s="260"/>
      <c r="F426" s="208" t="s">
        <v>63</v>
      </c>
      <c r="G426" s="243">
        <v>0.5</v>
      </c>
      <c r="H426" s="244">
        <v>0</v>
      </c>
      <c r="I426" s="244">
        <f t="shared" si="480"/>
        <v>0</v>
      </c>
      <c r="K426" s="231"/>
      <c r="Z426" s="243">
        <f t="shared" si="481"/>
        <v>0</v>
      </c>
      <c r="AB426" s="243">
        <f t="shared" si="482"/>
        <v>0</v>
      </c>
      <c r="AC426" s="243">
        <f t="shared" si="483"/>
        <v>0</v>
      </c>
      <c r="AD426" s="243">
        <f t="shared" si="484"/>
        <v>0</v>
      </c>
      <c r="AE426" s="243">
        <f t="shared" si="485"/>
        <v>0</v>
      </c>
      <c r="AF426" s="243">
        <f t="shared" si="486"/>
        <v>0</v>
      </c>
      <c r="AG426" s="243">
        <f t="shared" si="487"/>
        <v>0</v>
      </c>
      <c r="AH426" s="243">
        <f t="shared" si="488"/>
        <v>0</v>
      </c>
      <c r="AI426" s="232" t="s">
        <v>921</v>
      </c>
      <c r="AJ426" s="243">
        <f t="shared" si="489"/>
        <v>0</v>
      </c>
      <c r="AK426" s="243">
        <f t="shared" si="490"/>
        <v>0</v>
      </c>
      <c r="AL426" s="243">
        <f t="shared" si="491"/>
        <v>0</v>
      </c>
      <c r="AN426" s="243">
        <v>21</v>
      </c>
      <c r="AO426" s="243">
        <f>H426*1</f>
        <v>0</v>
      </c>
      <c r="AP426" s="243">
        <f>H426*(1-1)</f>
        <v>0</v>
      </c>
      <c r="AQ426" s="245" t="s">
        <v>567</v>
      </c>
      <c r="AV426" s="243">
        <f t="shared" si="492"/>
        <v>0</v>
      </c>
      <c r="AW426" s="243">
        <f t="shared" si="493"/>
        <v>0</v>
      </c>
      <c r="AX426" s="243">
        <f t="shared" si="494"/>
        <v>0</v>
      </c>
      <c r="AY426" s="245" t="s">
        <v>588</v>
      </c>
      <c r="AZ426" s="245" t="s">
        <v>951</v>
      </c>
      <c r="BA426" s="232" t="s">
        <v>924</v>
      </c>
      <c r="BC426" s="243">
        <f t="shared" si="495"/>
        <v>0</v>
      </c>
      <c r="BD426" s="243">
        <f t="shared" si="496"/>
        <v>0</v>
      </c>
      <c r="BE426" s="243">
        <v>0</v>
      </c>
      <c r="BF426" s="243">
        <f>426</f>
        <v>426</v>
      </c>
      <c r="BH426" s="243">
        <f t="shared" si="497"/>
        <v>0</v>
      </c>
      <c r="BI426" s="243">
        <f t="shared" si="498"/>
        <v>0</v>
      </c>
      <c r="BJ426" s="243">
        <f t="shared" si="499"/>
        <v>0</v>
      </c>
      <c r="BK426" s="243"/>
      <c r="BL426" s="243">
        <v>733</v>
      </c>
      <c r="BW426" s="243">
        <v>21</v>
      </c>
    </row>
    <row r="427" spans="1:75" ht="15" customHeight="1">
      <c r="A427" s="238" t="s">
        <v>21</v>
      </c>
      <c r="B427" s="239" t="s">
        <v>921</v>
      </c>
      <c r="C427" s="239" t="s">
        <v>95</v>
      </c>
      <c r="D427" s="309" t="s">
        <v>96</v>
      </c>
      <c r="E427" s="310"/>
      <c r="F427" s="240" t="s">
        <v>20</v>
      </c>
      <c r="G427" s="240" t="s">
        <v>20</v>
      </c>
      <c r="H427" s="241" t="s">
        <v>20</v>
      </c>
      <c r="I427" s="242">
        <f>SUM(I428:I442)</f>
        <v>0</v>
      </c>
      <c r="K427" s="231"/>
      <c r="AI427" s="232" t="s">
        <v>921</v>
      </c>
      <c r="AS427" s="225">
        <f>SUM(AJ428:AJ442)</f>
        <v>0</v>
      </c>
      <c r="AT427" s="225">
        <f>SUM(AK428:AK442)</f>
        <v>0</v>
      </c>
      <c r="AU427" s="225">
        <f>SUM(AL428:AL442)</f>
        <v>0</v>
      </c>
    </row>
    <row r="428" spans="1:75" ht="13.5" customHeight="1">
      <c r="A428" s="207" t="s">
        <v>964</v>
      </c>
      <c r="B428" s="208" t="s">
        <v>921</v>
      </c>
      <c r="C428" s="208" t="s">
        <v>99</v>
      </c>
      <c r="D428" s="268" t="s">
        <v>100</v>
      </c>
      <c r="E428" s="260"/>
      <c r="F428" s="208" t="s">
        <v>68</v>
      </c>
      <c r="G428" s="243">
        <v>6</v>
      </c>
      <c r="H428" s="244">
        <v>0</v>
      </c>
      <c r="I428" s="244">
        <f t="shared" ref="I428:I442" si="500">G428*H428</f>
        <v>0</v>
      </c>
      <c r="K428" s="231"/>
      <c r="Z428" s="243">
        <f t="shared" ref="Z428:Z442" si="501">IF(AQ428="5",BJ428,0)</f>
        <v>0</v>
      </c>
      <c r="AB428" s="243">
        <f t="shared" ref="AB428:AB442" si="502">IF(AQ428="1",BH428,0)</f>
        <v>0</v>
      </c>
      <c r="AC428" s="243">
        <f t="shared" ref="AC428:AC442" si="503">IF(AQ428="1",BI428,0)</f>
        <v>0</v>
      </c>
      <c r="AD428" s="243">
        <f t="shared" ref="AD428:AD442" si="504">IF(AQ428="7",BH428,0)</f>
        <v>0</v>
      </c>
      <c r="AE428" s="243">
        <f t="shared" ref="AE428:AE442" si="505">IF(AQ428="7",BI428,0)</f>
        <v>0</v>
      </c>
      <c r="AF428" s="243">
        <f t="shared" ref="AF428:AF442" si="506">IF(AQ428="2",BH428,0)</f>
        <v>0</v>
      </c>
      <c r="AG428" s="243">
        <f t="shared" ref="AG428:AG442" si="507">IF(AQ428="2",BI428,0)</f>
        <v>0</v>
      </c>
      <c r="AH428" s="243">
        <f t="shared" ref="AH428:AH442" si="508">IF(AQ428="0",BJ428,0)</f>
        <v>0</v>
      </c>
      <c r="AI428" s="232" t="s">
        <v>921</v>
      </c>
      <c r="AJ428" s="243">
        <f t="shared" ref="AJ428:AJ442" si="509">IF(AN428=0,I428,0)</f>
        <v>0</v>
      </c>
      <c r="AK428" s="243">
        <f t="shared" ref="AK428:AK442" si="510">IF(AN428=12,I428,0)</f>
        <v>0</v>
      </c>
      <c r="AL428" s="243">
        <f t="shared" ref="AL428:AL442" si="511">IF(AN428=21,I428,0)</f>
        <v>0</v>
      </c>
      <c r="AN428" s="243">
        <v>21</v>
      </c>
      <c r="AO428" s="243">
        <f>H428*0.289347179920003</f>
        <v>0</v>
      </c>
      <c r="AP428" s="243">
        <f>H428*(1-0.289347179920003)</f>
        <v>0</v>
      </c>
      <c r="AQ428" s="245" t="s">
        <v>567</v>
      </c>
      <c r="AV428" s="243">
        <f t="shared" ref="AV428:AV442" si="512">AW428+AX428</f>
        <v>0</v>
      </c>
      <c r="AW428" s="243">
        <f t="shared" ref="AW428:AW442" si="513">G428*AO428</f>
        <v>0</v>
      </c>
      <c r="AX428" s="243">
        <f t="shared" ref="AX428:AX442" si="514">G428*AP428</f>
        <v>0</v>
      </c>
      <c r="AY428" s="245" t="s">
        <v>593</v>
      </c>
      <c r="AZ428" s="245" t="s">
        <v>951</v>
      </c>
      <c r="BA428" s="232" t="s">
        <v>924</v>
      </c>
      <c r="BC428" s="243">
        <f t="shared" ref="BC428:BC442" si="515">AW428+AX428</f>
        <v>0</v>
      </c>
      <c r="BD428" s="243">
        <f t="shared" ref="BD428:BD442" si="516">H428/(100-BE428)*100</f>
        <v>0</v>
      </c>
      <c r="BE428" s="243">
        <v>0</v>
      </c>
      <c r="BF428" s="243">
        <f>428</f>
        <v>428</v>
      </c>
      <c r="BH428" s="243">
        <f t="shared" ref="BH428:BH442" si="517">G428*AO428</f>
        <v>0</v>
      </c>
      <c r="BI428" s="243">
        <f t="shared" ref="BI428:BI442" si="518">G428*AP428</f>
        <v>0</v>
      </c>
      <c r="BJ428" s="243">
        <f t="shared" ref="BJ428:BJ442" si="519">G428*H428</f>
        <v>0</v>
      </c>
      <c r="BK428" s="243"/>
      <c r="BL428" s="243">
        <v>734</v>
      </c>
      <c r="BW428" s="243">
        <v>21</v>
      </c>
    </row>
    <row r="429" spans="1:75" ht="13.5" customHeight="1">
      <c r="A429" s="207" t="s">
        <v>965</v>
      </c>
      <c r="B429" s="208" t="s">
        <v>921</v>
      </c>
      <c r="C429" s="208" t="s">
        <v>97</v>
      </c>
      <c r="D429" s="268" t="s">
        <v>98</v>
      </c>
      <c r="E429" s="260"/>
      <c r="F429" s="208" t="s">
        <v>68</v>
      </c>
      <c r="G429" s="243">
        <v>4</v>
      </c>
      <c r="H429" s="244">
        <v>0</v>
      </c>
      <c r="I429" s="244">
        <f t="shared" si="500"/>
        <v>0</v>
      </c>
      <c r="K429" s="231"/>
      <c r="Z429" s="243">
        <f t="shared" si="501"/>
        <v>0</v>
      </c>
      <c r="AB429" s="243">
        <f t="shared" si="502"/>
        <v>0</v>
      </c>
      <c r="AC429" s="243">
        <f t="shared" si="503"/>
        <v>0</v>
      </c>
      <c r="AD429" s="243">
        <f t="shared" si="504"/>
        <v>0</v>
      </c>
      <c r="AE429" s="243">
        <f t="shared" si="505"/>
        <v>0</v>
      </c>
      <c r="AF429" s="243">
        <f t="shared" si="506"/>
        <v>0</v>
      </c>
      <c r="AG429" s="243">
        <f t="shared" si="507"/>
        <v>0</v>
      </c>
      <c r="AH429" s="243">
        <f t="shared" si="508"/>
        <v>0</v>
      </c>
      <c r="AI429" s="232" t="s">
        <v>921</v>
      </c>
      <c r="AJ429" s="243">
        <f t="shared" si="509"/>
        <v>0</v>
      </c>
      <c r="AK429" s="243">
        <f t="shared" si="510"/>
        <v>0</v>
      </c>
      <c r="AL429" s="243">
        <f t="shared" si="511"/>
        <v>0</v>
      </c>
      <c r="AN429" s="243">
        <v>21</v>
      </c>
      <c r="AO429" s="243">
        <f>H429*0.0054421768707483</f>
        <v>0</v>
      </c>
      <c r="AP429" s="243">
        <f>H429*(1-0.0054421768707483)</f>
        <v>0</v>
      </c>
      <c r="AQ429" s="245" t="s">
        <v>567</v>
      </c>
      <c r="AV429" s="243">
        <f t="shared" si="512"/>
        <v>0</v>
      </c>
      <c r="AW429" s="243">
        <f t="shared" si="513"/>
        <v>0</v>
      </c>
      <c r="AX429" s="243">
        <f t="shared" si="514"/>
        <v>0</v>
      </c>
      <c r="AY429" s="245" t="s">
        <v>593</v>
      </c>
      <c r="AZ429" s="245" t="s">
        <v>951</v>
      </c>
      <c r="BA429" s="232" t="s">
        <v>924</v>
      </c>
      <c r="BC429" s="243">
        <f t="shared" si="515"/>
        <v>0</v>
      </c>
      <c r="BD429" s="243">
        <f t="shared" si="516"/>
        <v>0</v>
      </c>
      <c r="BE429" s="243">
        <v>0</v>
      </c>
      <c r="BF429" s="243">
        <f>429</f>
        <v>429</v>
      </c>
      <c r="BH429" s="243">
        <f t="shared" si="517"/>
        <v>0</v>
      </c>
      <c r="BI429" s="243">
        <f t="shared" si="518"/>
        <v>0</v>
      </c>
      <c r="BJ429" s="243">
        <f t="shared" si="519"/>
        <v>0</v>
      </c>
      <c r="BK429" s="243"/>
      <c r="BL429" s="243">
        <v>734</v>
      </c>
      <c r="BW429" s="243">
        <v>21</v>
      </c>
    </row>
    <row r="430" spans="1:75" ht="13.5" customHeight="1">
      <c r="A430" s="207" t="s">
        <v>966</v>
      </c>
      <c r="B430" s="208" t="s">
        <v>921</v>
      </c>
      <c r="C430" s="208" t="s">
        <v>414</v>
      </c>
      <c r="D430" s="268" t="s">
        <v>1354</v>
      </c>
      <c r="E430" s="260"/>
      <c r="F430" s="208" t="s">
        <v>68</v>
      </c>
      <c r="G430" s="243">
        <v>2</v>
      </c>
      <c r="H430" s="244">
        <v>0</v>
      </c>
      <c r="I430" s="244">
        <f t="shared" si="500"/>
        <v>0</v>
      </c>
      <c r="K430" s="231"/>
      <c r="Z430" s="243">
        <f t="shared" si="501"/>
        <v>0</v>
      </c>
      <c r="AB430" s="243">
        <f t="shared" si="502"/>
        <v>0</v>
      </c>
      <c r="AC430" s="243">
        <f t="shared" si="503"/>
        <v>0</v>
      </c>
      <c r="AD430" s="243">
        <f t="shared" si="504"/>
        <v>0</v>
      </c>
      <c r="AE430" s="243">
        <f t="shared" si="505"/>
        <v>0</v>
      </c>
      <c r="AF430" s="243">
        <f t="shared" si="506"/>
        <v>0</v>
      </c>
      <c r="AG430" s="243">
        <f t="shared" si="507"/>
        <v>0</v>
      </c>
      <c r="AH430" s="243">
        <f t="shared" si="508"/>
        <v>0</v>
      </c>
      <c r="AI430" s="232" t="s">
        <v>921</v>
      </c>
      <c r="AJ430" s="243">
        <f t="shared" si="509"/>
        <v>0</v>
      </c>
      <c r="AK430" s="243">
        <f t="shared" si="510"/>
        <v>0</v>
      </c>
      <c r="AL430" s="243">
        <f t="shared" si="511"/>
        <v>0</v>
      </c>
      <c r="AN430" s="243">
        <v>21</v>
      </c>
      <c r="AO430" s="243">
        <f>H430*0.925843353557639</f>
        <v>0</v>
      </c>
      <c r="AP430" s="243">
        <f>H430*(1-0.925843353557639)</f>
        <v>0</v>
      </c>
      <c r="AQ430" s="245" t="s">
        <v>567</v>
      </c>
      <c r="AV430" s="243">
        <f t="shared" si="512"/>
        <v>0</v>
      </c>
      <c r="AW430" s="243">
        <f t="shared" si="513"/>
        <v>0</v>
      </c>
      <c r="AX430" s="243">
        <f t="shared" si="514"/>
        <v>0</v>
      </c>
      <c r="AY430" s="245" t="s">
        <v>593</v>
      </c>
      <c r="AZ430" s="245" t="s">
        <v>951</v>
      </c>
      <c r="BA430" s="232" t="s">
        <v>924</v>
      </c>
      <c r="BC430" s="243">
        <f t="shared" si="515"/>
        <v>0</v>
      </c>
      <c r="BD430" s="243">
        <f t="shared" si="516"/>
        <v>0</v>
      </c>
      <c r="BE430" s="243">
        <v>0</v>
      </c>
      <c r="BF430" s="243">
        <f>430</f>
        <v>430</v>
      </c>
      <c r="BH430" s="243">
        <f t="shared" si="517"/>
        <v>0</v>
      </c>
      <c r="BI430" s="243">
        <f t="shared" si="518"/>
        <v>0</v>
      </c>
      <c r="BJ430" s="243">
        <f t="shared" si="519"/>
        <v>0</v>
      </c>
      <c r="BK430" s="243"/>
      <c r="BL430" s="243">
        <v>734</v>
      </c>
      <c r="BW430" s="243">
        <v>21</v>
      </c>
    </row>
    <row r="431" spans="1:75" ht="13.5" customHeight="1">
      <c r="A431" s="207" t="s">
        <v>967</v>
      </c>
      <c r="B431" s="208" t="s">
        <v>921</v>
      </c>
      <c r="C431" s="208" t="s">
        <v>416</v>
      </c>
      <c r="D431" s="268" t="s">
        <v>417</v>
      </c>
      <c r="E431" s="260"/>
      <c r="F431" s="208" t="s">
        <v>68</v>
      </c>
      <c r="G431" s="243">
        <v>6</v>
      </c>
      <c r="H431" s="244">
        <v>0</v>
      </c>
      <c r="I431" s="244">
        <f t="shared" si="500"/>
        <v>0</v>
      </c>
      <c r="K431" s="231"/>
      <c r="Z431" s="243">
        <f t="shared" si="501"/>
        <v>0</v>
      </c>
      <c r="AB431" s="243">
        <f t="shared" si="502"/>
        <v>0</v>
      </c>
      <c r="AC431" s="243">
        <f t="shared" si="503"/>
        <v>0</v>
      </c>
      <c r="AD431" s="243">
        <f t="shared" si="504"/>
        <v>0</v>
      </c>
      <c r="AE431" s="243">
        <f t="shared" si="505"/>
        <v>0</v>
      </c>
      <c r="AF431" s="243">
        <f t="shared" si="506"/>
        <v>0</v>
      </c>
      <c r="AG431" s="243">
        <f t="shared" si="507"/>
        <v>0</v>
      </c>
      <c r="AH431" s="243">
        <f t="shared" si="508"/>
        <v>0</v>
      </c>
      <c r="AI431" s="232" t="s">
        <v>921</v>
      </c>
      <c r="AJ431" s="243">
        <f t="shared" si="509"/>
        <v>0</v>
      </c>
      <c r="AK431" s="243">
        <f t="shared" si="510"/>
        <v>0</v>
      </c>
      <c r="AL431" s="243">
        <f t="shared" si="511"/>
        <v>0</v>
      </c>
      <c r="AN431" s="243">
        <v>21</v>
      </c>
      <c r="AO431" s="243">
        <f>H431*0.711852348993289</f>
        <v>0</v>
      </c>
      <c r="AP431" s="243">
        <f>H431*(1-0.711852348993289)</f>
        <v>0</v>
      </c>
      <c r="AQ431" s="245" t="s">
        <v>567</v>
      </c>
      <c r="AV431" s="243">
        <f t="shared" si="512"/>
        <v>0</v>
      </c>
      <c r="AW431" s="243">
        <f t="shared" si="513"/>
        <v>0</v>
      </c>
      <c r="AX431" s="243">
        <f t="shared" si="514"/>
        <v>0</v>
      </c>
      <c r="AY431" s="245" t="s">
        <v>593</v>
      </c>
      <c r="AZ431" s="245" t="s">
        <v>951</v>
      </c>
      <c r="BA431" s="232" t="s">
        <v>924</v>
      </c>
      <c r="BC431" s="243">
        <f t="shared" si="515"/>
        <v>0</v>
      </c>
      <c r="BD431" s="243">
        <f t="shared" si="516"/>
        <v>0</v>
      </c>
      <c r="BE431" s="243">
        <v>0</v>
      </c>
      <c r="BF431" s="243">
        <f>431</f>
        <v>431</v>
      </c>
      <c r="BH431" s="243">
        <f t="shared" si="517"/>
        <v>0</v>
      </c>
      <c r="BI431" s="243">
        <f t="shared" si="518"/>
        <v>0</v>
      </c>
      <c r="BJ431" s="243">
        <f t="shared" si="519"/>
        <v>0</v>
      </c>
      <c r="BK431" s="243"/>
      <c r="BL431" s="243">
        <v>734</v>
      </c>
      <c r="BW431" s="243">
        <v>21</v>
      </c>
    </row>
    <row r="432" spans="1:75" ht="13.5" customHeight="1">
      <c r="A432" s="207" t="s">
        <v>968</v>
      </c>
      <c r="B432" s="208" t="s">
        <v>921</v>
      </c>
      <c r="C432" s="208" t="s">
        <v>418</v>
      </c>
      <c r="D432" s="268" t="s">
        <v>419</v>
      </c>
      <c r="E432" s="260"/>
      <c r="F432" s="208" t="s">
        <v>68</v>
      </c>
      <c r="G432" s="243">
        <v>3</v>
      </c>
      <c r="H432" s="244">
        <v>0</v>
      </c>
      <c r="I432" s="244">
        <f t="shared" si="500"/>
        <v>0</v>
      </c>
      <c r="K432" s="231"/>
      <c r="Z432" s="243">
        <f t="shared" si="501"/>
        <v>0</v>
      </c>
      <c r="AB432" s="243">
        <f t="shared" si="502"/>
        <v>0</v>
      </c>
      <c r="AC432" s="243">
        <f t="shared" si="503"/>
        <v>0</v>
      </c>
      <c r="AD432" s="243">
        <f t="shared" si="504"/>
        <v>0</v>
      </c>
      <c r="AE432" s="243">
        <f t="shared" si="505"/>
        <v>0</v>
      </c>
      <c r="AF432" s="243">
        <f t="shared" si="506"/>
        <v>0</v>
      </c>
      <c r="AG432" s="243">
        <f t="shared" si="507"/>
        <v>0</v>
      </c>
      <c r="AH432" s="243">
        <f t="shared" si="508"/>
        <v>0</v>
      </c>
      <c r="AI432" s="232" t="s">
        <v>921</v>
      </c>
      <c r="AJ432" s="243">
        <f t="shared" si="509"/>
        <v>0</v>
      </c>
      <c r="AK432" s="243">
        <f t="shared" si="510"/>
        <v>0</v>
      </c>
      <c r="AL432" s="243">
        <f t="shared" si="511"/>
        <v>0</v>
      </c>
      <c r="AN432" s="243">
        <v>21</v>
      </c>
      <c r="AO432" s="243">
        <f>H432*0.893467248908297</f>
        <v>0</v>
      </c>
      <c r="AP432" s="243">
        <f>H432*(1-0.893467248908297)</f>
        <v>0</v>
      </c>
      <c r="AQ432" s="245" t="s">
        <v>567</v>
      </c>
      <c r="AV432" s="243">
        <f t="shared" si="512"/>
        <v>0</v>
      </c>
      <c r="AW432" s="243">
        <f t="shared" si="513"/>
        <v>0</v>
      </c>
      <c r="AX432" s="243">
        <f t="shared" si="514"/>
        <v>0</v>
      </c>
      <c r="AY432" s="245" t="s">
        <v>593</v>
      </c>
      <c r="AZ432" s="245" t="s">
        <v>951</v>
      </c>
      <c r="BA432" s="232" t="s">
        <v>924</v>
      </c>
      <c r="BC432" s="243">
        <f t="shared" si="515"/>
        <v>0</v>
      </c>
      <c r="BD432" s="243">
        <f t="shared" si="516"/>
        <v>0</v>
      </c>
      <c r="BE432" s="243">
        <v>0</v>
      </c>
      <c r="BF432" s="243">
        <f>432</f>
        <v>432</v>
      </c>
      <c r="BH432" s="243">
        <f t="shared" si="517"/>
        <v>0</v>
      </c>
      <c r="BI432" s="243">
        <f t="shared" si="518"/>
        <v>0</v>
      </c>
      <c r="BJ432" s="243">
        <f t="shared" si="519"/>
        <v>0</v>
      </c>
      <c r="BK432" s="243"/>
      <c r="BL432" s="243">
        <v>734</v>
      </c>
      <c r="BW432" s="243">
        <v>21</v>
      </c>
    </row>
    <row r="433" spans="1:75" ht="13.5" customHeight="1">
      <c r="A433" s="207" t="s">
        <v>969</v>
      </c>
      <c r="B433" s="208" t="s">
        <v>921</v>
      </c>
      <c r="C433" s="208" t="s">
        <v>420</v>
      </c>
      <c r="D433" s="268" t="s">
        <v>421</v>
      </c>
      <c r="E433" s="260"/>
      <c r="F433" s="208" t="s">
        <v>68</v>
      </c>
      <c r="G433" s="243">
        <v>1</v>
      </c>
      <c r="H433" s="244">
        <v>0</v>
      </c>
      <c r="I433" s="244">
        <f t="shared" si="500"/>
        <v>0</v>
      </c>
      <c r="K433" s="231"/>
      <c r="Z433" s="243">
        <f t="shared" si="501"/>
        <v>0</v>
      </c>
      <c r="AB433" s="243">
        <f t="shared" si="502"/>
        <v>0</v>
      </c>
      <c r="AC433" s="243">
        <f t="shared" si="503"/>
        <v>0</v>
      </c>
      <c r="AD433" s="243">
        <f t="shared" si="504"/>
        <v>0</v>
      </c>
      <c r="AE433" s="243">
        <f t="shared" si="505"/>
        <v>0</v>
      </c>
      <c r="AF433" s="243">
        <f t="shared" si="506"/>
        <v>0</v>
      </c>
      <c r="AG433" s="243">
        <f t="shared" si="507"/>
        <v>0</v>
      </c>
      <c r="AH433" s="243">
        <f t="shared" si="508"/>
        <v>0</v>
      </c>
      <c r="AI433" s="232" t="s">
        <v>921</v>
      </c>
      <c r="AJ433" s="243">
        <f t="shared" si="509"/>
        <v>0</v>
      </c>
      <c r="AK433" s="243">
        <f t="shared" si="510"/>
        <v>0</v>
      </c>
      <c r="AL433" s="243">
        <f t="shared" si="511"/>
        <v>0</v>
      </c>
      <c r="AN433" s="243">
        <v>21</v>
      </c>
      <c r="AO433" s="243">
        <f>H433*0.945546104928458</f>
        <v>0</v>
      </c>
      <c r="AP433" s="243">
        <f>H433*(1-0.945546104928458)</f>
        <v>0</v>
      </c>
      <c r="AQ433" s="245" t="s">
        <v>567</v>
      </c>
      <c r="AV433" s="243">
        <f t="shared" si="512"/>
        <v>0</v>
      </c>
      <c r="AW433" s="243">
        <f t="shared" si="513"/>
        <v>0</v>
      </c>
      <c r="AX433" s="243">
        <f t="shared" si="514"/>
        <v>0</v>
      </c>
      <c r="AY433" s="245" t="s">
        <v>593</v>
      </c>
      <c r="AZ433" s="245" t="s">
        <v>951</v>
      </c>
      <c r="BA433" s="232" t="s">
        <v>924</v>
      </c>
      <c r="BC433" s="243">
        <f t="shared" si="515"/>
        <v>0</v>
      </c>
      <c r="BD433" s="243">
        <f t="shared" si="516"/>
        <v>0</v>
      </c>
      <c r="BE433" s="243">
        <v>0</v>
      </c>
      <c r="BF433" s="243">
        <f>433</f>
        <v>433</v>
      </c>
      <c r="BH433" s="243">
        <f t="shared" si="517"/>
        <v>0</v>
      </c>
      <c r="BI433" s="243">
        <f t="shared" si="518"/>
        <v>0</v>
      </c>
      <c r="BJ433" s="243">
        <f t="shared" si="519"/>
        <v>0</v>
      </c>
      <c r="BK433" s="243"/>
      <c r="BL433" s="243">
        <v>734</v>
      </c>
      <c r="BW433" s="243">
        <v>21</v>
      </c>
    </row>
    <row r="434" spans="1:75" ht="13.5" customHeight="1">
      <c r="A434" s="207" t="s">
        <v>970</v>
      </c>
      <c r="B434" s="208" t="s">
        <v>921</v>
      </c>
      <c r="C434" s="208" t="s">
        <v>422</v>
      </c>
      <c r="D434" s="268" t="s">
        <v>423</v>
      </c>
      <c r="E434" s="260"/>
      <c r="F434" s="208" t="s">
        <v>68</v>
      </c>
      <c r="G434" s="243">
        <v>1</v>
      </c>
      <c r="H434" s="244">
        <v>0</v>
      </c>
      <c r="I434" s="244">
        <f t="shared" si="500"/>
        <v>0</v>
      </c>
      <c r="K434" s="231"/>
      <c r="Z434" s="243">
        <f t="shared" si="501"/>
        <v>0</v>
      </c>
      <c r="AB434" s="243">
        <f t="shared" si="502"/>
        <v>0</v>
      </c>
      <c r="AC434" s="243">
        <f t="shared" si="503"/>
        <v>0</v>
      </c>
      <c r="AD434" s="243">
        <f t="shared" si="504"/>
        <v>0</v>
      </c>
      <c r="AE434" s="243">
        <f t="shared" si="505"/>
        <v>0</v>
      </c>
      <c r="AF434" s="243">
        <f t="shared" si="506"/>
        <v>0</v>
      </c>
      <c r="AG434" s="243">
        <f t="shared" si="507"/>
        <v>0</v>
      </c>
      <c r="AH434" s="243">
        <f t="shared" si="508"/>
        <v>0</v>
      </c>
      <c r="AI434" s="232" t="s">
        <v>921</v>
      </c>
      <c r="AJ434" s="243">
        <f t="shared" si="509"/>
        <v>0</v>
      </c>
      <c r="AK434" s="243">
        <f t="shared" si="510"/>
        <v>0</v>
      </c>
      <c r="AL434" s="243">
        <f t="shared" si="511"/>
        <v>0</v>
      </c>
      <c r="AN434" s="243">
        <v>21</v>
      </c>
      <c r="AO434" s="243">
        <f>H434*0.913686165273909</f>
        <v>0</v>
      </c>
      <c r="AP434" s="243">
        <f>H434*(1-0.913686165273909)</f>
        <v>0</v>
      </c>
      <c r="AQ434" s="245" t="s">
        <v>567</v>
      </c>
      <c r="AV434" s="243">
        <f t="shared" si="512"/>
        <v>0</v>
      </c>
      <c r="AW434" s="243">
        <f t="shared" si="513"/>
        <v>0</v>
      </c>
      <c r="AX434" s="243">
        <f t="shared" si="514"/>
        <v>0</v>
      </c>
      <c r="AY434" s="245" t="s">
        <v>593</v>
      </c>
      <c r="AZ434" s="245" t="s">
        <v>951</v>
      </c>
      <c r="BA434" s="232" t="s">
        <v>924</v>
      </c>
      <c r="BC434" s="243">
        <f t="shared" si="515"/>
        <v>0</v>
      </c>
      <c r="BD434" s="243">
        <f t="shared" si="516"/>
        <v>0</v>
      </c>
      <c r="BE434" s="243">
        <v>0</v>
      </c>
      <c r="BF434" s="243">
        <f>434</f>
        <v>434</v>
      </c>
      <c r="BH434" s="243">
        <f t="shared" si="517"/>
        <v>0</v>
      </c>
      <c r="BI434" s="243">
        <f t="shared" si="518"/>
        <v>0</v>
      </c>
      <c r="BJ434" s="243">
        <f t="shared" si="519"/>
        <v>0</v>
      </c>
      <c r="BK434" s="243"/>
      <c r="BL434" s="243">
        <v>734</v>
      </c>
      <c r="BW434" s="243">
        <v>21</v>
      </c>
    </row>
    <row r="435" spans="1:75" ht="13.5" customHeight="1">
      <c r="A435" s="207" t="s">
        <v>971</v>
      </c>
      <c r="B435" s="208" t="s">
        <v>921</v>
      </c>
      <c r="C435" s="208" t="s">
        <v>424</v>
      </c>
      <c r="D435" s="268" t="s">
        <v>1355</v>
      </c>
      <c r="E435" s="260"/>
      <c r="F435" s="208" t="s">
        <v>68</v>
      </c>
      <c r="G435" s="243">
        <v>2</v>
      </c>
      <c r="H435" s="244">
        <v>0</v>
      </c>
      <c r="I435" s="244">
        <f t="shared" si="500"/>
        <v>0</v>
      </c>
      <c r="K435" s="231"/>
      <c r="Z435" s="243">
        <f t="shared" si="501"/>
        <v>0</v>
      </c>
      <c r="AB435" s="243">
        <f t="shared" si="502"/>
        <v>0</v>
      </c>
      <c r="AC435" s="243">
        <f t="shared" si="503"/>
        <v>0</v>
      </c>
      <c r="AD435" s="243">
        <f t="shared" si="504"/>
        <v>0</v>
      </c>
      <c r="AE435" s="243">
        <f t="shared" si="505"/>
        <v>0</v>
      </c>
      <c r="AF435" s="243">
        <f t="shared" si="506"/>
        <v>0</v>
      </c>
      <c r="AG435" s="243">
        <f t="shared" si="507"/>
        <v>0</v>
      </c>
      <c r="AH435" s="243">
        <f t="shared" si="508"/>
        <v>0</v>
      </c>
      <c r="AI435" s="232" t="s">
        <v>921</v>
      </c>
      <c r="AJ435" s="243">
        <f t="shared" si="509"/>
        <v>0</v>
      </c>
      <c r="AK435" s="243">
        <f t="shared" si="510"/>
        <v>0</v>
      </c>
      <c r="AL435" s="243">
        <f t="shared" si="511"/>
        <v>0</v>
      </c>
      <c r="AN435" s="243">
        <v>21</v>
      </c>
      <c r="AO435" s="243">
        <f>H435*0.869366700715015</f>
        <v>0</v>
      </c>
      <c r="AP435" s="243">
        <f>H435*(1-0.869366700715015)</f>
        <v>0</v>
      </c>
      <c r="AQ435" s="245" t="s">
        <v>567</v>
      </c>
      <c r="AV435" s="243">
        <f t="shared" si="512"/>
        <v>0</v>
      </c>
      <c r="AW435" s="243">
        <f t="shared" si="513"/>
        <v>0</v>
      </c>
      <c r="AX435" s="243">
        <f t="shared" si="514"/>
        <v>0</v>
      </c>
      <c r="AY435" s="245" t="s">
        <v>593</v>
      </c>
      <c r="AZ435" s="245" t="s">
        <v>951</v>
      </c>
      <c r="BA435" s="232" t="s">
        <v>924</v>
      </c>
      <c r="BC435" s="243">
        <f t="shared" si="515"/>
        <v>0</v>
      </c>
      <c r="BD435" s="243">
        <f t="shared" si="516"/>
        <v>0</v>
      </c>
      <c r="BE435" s="243">
        <v>0</v>
      </c>
      <c r="BF435" s="243">
        <f>435</f>
        <v>435</v>
      </c>
      <c r="BH435" s="243">
        <f t="shared" si="517"/>
        <v>0</v>
      </c>
      <c r="BI435" s="243">
        <f t="shared" si="518"/>
        <v>0</v>
      </c>
      <c r="BJ435" s="243">
        <f t="shared" si="519"/>
        <v>0</v>
      </c>
      <c r="BK435" s="243"/>
      <c r="BL435" s="243">
        <v>734</v>
      </c>
      <c r="BW435" s="243">
        <v>21</v>
      </c>
    </row>
    <row r="436" spans="1:75" ht="13.5" customHeight="1">
      <c r="A436" s="207" t="s">
        <v>972</v>
      </c>
      <c r="B436" s="208" t="s">
        <v>921</v>
      </c>
      <c r="C436" s="208" t="s">
        <v>426</v>
      </c>
      <c r="D436" s="268" t="s">
        <v>1356</v>
      </c>
      <c r="E436" s="260"/>
      <c r="F436" s="208" t="s">
        <v>68</v>
      </c>
      <c r="G436" s="243">
        <v>1</v>
      </c>
      <c r="H436" s="244">
        <v>0</v>
      </c>
      <c r="I436" s="244">
        <f t="shared" si="500"/>
        <v>0</v>
      </c>
      <c r="K436" s="231"/>
      <c r="Z436" s="243">
        <f t="shared" si="501"/>
        <v>0</v>
      </c>
      <c r="AB436" s="243">
        <f t="shared" si="502"/>
        <v>0</v>
      </c>
      <c r="AC436" s="243">
        <f t="shared" si="503"/>
        <v>0</v>
      </c>
      <c r="AD436" s="243">
        <f t="shared" si="504"/>
        <v>0</v>
      </c>
      <c r="AE436" s="243">
        <f t="shared" si="505"/>
        <v>0</v>
      </c>
      <c r="AF436" s="243">
        <f t="shared" si="506"/>
        <v>0</v>
      </c>
      <c r="AG436" s="243">
        <f t="shared" si="507"/>
        <v>0</v>
      </c>
      <c r="AH436" s="243">
        <f t="shared" si="508"/>
        <v>0</v>
      </c>
      <c r="AI436" s="232" t="s">
        <v>921</v>
      </c>
      <c r="AJ436" s="243">
        <f t="shared" si="509"/>
        <v>0</v>
      </c>
      <c r="AK436" s="243">
        <f t="shared" si="510"/>
        <v>0</v>
      </c>
      <c r="AL436" s="243">
        <f t="shared" si="511"/>
        <v>0</v>
      </c>
      <c r="AN436" s="243">
        <v>21</v>
      </c>
      <c r="AO436" s="243">
        <f>H436*0.929993168165776</f>
        <v>0</v>
      </c>
      <c r="AP436" s="243">
        <f>H436*(1-0.929993168165776)</f>
        <v>0</v>
      </c>
      <c r="AQ436" s="245" t="s">
        <v>567</v>
      </c>
      <c r="AV436" s="243">
        <f t="shared" si="512"/>
        <v>0</v>
      </c>
      <c r="AW436" s="243">
        <f t="shared" si="513"/>
        <v>0</v>
      </c>
      <c r="AX436" s="243">
        <f t="shared" si="514"/>
        <v>0</v>
      </c>
      <c r="AY436" s="245" t="s">
        <v>593</v>
      </c>
      <c r="AZ436" s="245" t="s">
        <v>951</v>
      </c>
      <c r="BA436" s="232" t="s">
        <v>924</v>
      </c>
      <c r="BC436" s="243">
        <f t="shared" si="515"/>
        <v>0</v>
      </c>
      <c r="BD436" s="243">
        <f t="shared" si="516"/>
        <v>0</v>
      </c>
      <c r="BE436" s="243">
        <v>0</v>
      </c>
      <c r="BF436" s="243">
        <f>436</f>
        <v>436</v>
      </c>
      <c r="BH436" s="243">
        <f t="shared" si="517"/>
        <v>0</v>
      </c>
      <c r="BI436" s="243">
        <f t="shared" si="518"/>
        <v>0</v>
      </c>
      <c r="BJ436" s="243">
        <f t="shared" si="519"/>
        <v>0</v>
      </c>
      <c r="BK436" s="243"/>
      <c r="BL436" s="243">
        <v>734</v>
      </c>
      <c r="BW436" s="243">
        <v>21</v>
      </c>
    </row>
    <row r="437" spans="1:75" ht="13.5" customHeight="1">
      <c r="A437" s="207" t="s">
        <v>973</v>
      </c>
      <c r="B437" s="208" t="s">
        <v>921</v>
      </c>
      <c r="C437" s="208" t="s">
        <v>428</v>
      </c>
      <c r="D437" s="268" t="s">
        <v>1371</v>
      </c>
      <c r="E437" s="260"/>
      <c r="F437" s="208" t="s">
        <v>68</v>
      </c>
      <c r="G437" s="243">
        <v>1</v>
      </c>
      <c r="H437" s="244">
        <v>0</v>
      </c>
      <c r="I437" s="244">
        <f t="shared" si="500"/>
        <v>0</v>
      </c>
      <c r="K437" s="231"/>
      <c r="Z437" s="243">
        <f t="shared" si="501"/>
        <v>0</v>
      </c>
      <c r="AB437" s="243">
        <f t="shared" si="502"/>
        <v>0</v>
      </c>
      <c r="AC437" s="243">
        <f t="shared" si="503"/>
        <v>0</v>
      </c>
      <c r="AD437" s="243">
        <f t="shared" si="504"/>
        <v>0</v>
      </c>
      <c r="AE437" s="243">
        <f t="shared" si="505"/>
        <v>0</v>
      </c>
      <c r="AF437" s="243">
        <f t="shared" si="506"/>
        <v>0</v>
      </c>
      <c r="AG437" s="243">
        <f t="shared" si="507"/>
        <v>0</v>
      </c>
      <c r="AH437" s="243">
        <f t="shared" si="508"/>
        <v>0</v>
      </c>
      <c r="AI437" s="232" t="s">
        <v>921</v>
      </c>
      <c r="AJ437" s="243">
        <f t="shared" si="509"/>
        <v>0</v>
      </c>
      <c r="AK437" s="243">
        <f t="shared" si="510"/>
        <v>0</v>
      </c>
      <c r="AL437" s="243">
        <f t="shared" si="511"/>
        <v>0</v>
      </c>
      <c r="AN437" s="243">
        <v>21</v>
      </c>
      <c r="AO437" s="243">
        <f>H437*0.76990099009901</f>
        <v>0</v>
      </c>
      <c r="AP437" s="243">
        <f>H437*(1-0.76990099009901)</f>
        <v>0</v>
      </c>
      <c r="AQ437" s="245" t="s">
        <v>567</v>
      </c>
      <c r="AV437" s="243">
        <f t="shared" si="512"/>
        <v>0</v>
      </c>
      <c r="AW437" s="243">
        <f t="shared" si="513"/>
        <v>0</v>
      </c>
      <c r="AX437" s="243">
        <f t="shared" si="514"/>
        <v>0</v>
      </c>
      <c r="AY437" s="245" t="s">
        <v>593</v>
      </c>
      <c r="AZ437" s="245" t="s">
        <v>951</v>
      </c>
      <c r="BA437" s="232" t="s">
        <v>924</v>
      </c>
      <c r="BC437" s="243">
        <f t="shared" si="515"/>
        <v>0</v>
      </c>
      <c r="BD437" s="243">
        <f t="shared" si="516"/>
        <v>0</v>
      </c>
      <c r="BE437" s="243">
        <v>0</v>
      </c>
      <c r="BF437" s="243">
        <f>437</f>
        <v>437</v>
      </c>
      <c r="BH437" s="243">
        <f t="shared" si="517"/>
        <v>0</v>
      </c>
      <c r="BI437" s="243">
        <f t="shared" si="518"/>
        <v>0</v>
      </c>
      <c r="BJ437" s="243">
        <f t="shared" si="519"/>
        <v>0</v>
      </c>
      <c r="BK437" s="243"/>
      <c r="BL437" s="243">
        <v>734</v>
      </c>
      <c r="BW437" s="243">
        <v>21</v>
      </c>
    </row>
    <row r="438" spans="1:75" ht="13.5" customHeight="1">
      <c r="A438" s="207" t="s">
        <v>974</v>
      </c>
      <c r="B438" s="208" t="s">
        <v>921</v>
      </c>
      <c r="C438" s="208" t="s">
        <v>430</v>
      </c>
      <c r="D438" s="268" t="s">
        <v>1358</v>
      </c>
      <c r="E438" s="260"/>
      <c r="F438" s="208" t="s">
        <v>68</v>
      </c>
      <c r="G438" s="243">
        <v>1</v>
      </c>
      <c r="H438" s="244">
        <v>0</v>
      </c>
      <c r="I438" s="244">
        <f t="shared" si="500"/>
        <v>0</v>
      </c>
      <c r="K438" s="231"/>
      <c r="Z438" s="243">
        <f t="shared" si="501"/>
        <v>0</v>
      </c>
      <c r="AB438" s="243">
        <f t="shared" si="502"/>
        <v>0</v>
      </c>
      <c r="AC438" s="243">
        <f t="shared" si="503"/>
        <v>0</v>
      </c>
      <c r="AD438" s="243">
        <f t="shared" si="504"/>
        <v>0</v>
      </c>
      <c r="AE438" s="243">
        <f t="shared" si="505"/>
        <v>0</v>
      </c>
      <c r="AF438" s="243">
        <f t="shared" si="506"/>
        <v>0</v>
      </c>
      <c r="AG438" s="243">
        <f t="shared" si="507"/>
        <v>0</v>
      </c>
      <c r="AH438" s="243">
        <f t="shared" si="508"/>
        <v>0</v>
      </c>
      <c r="AI438" s="232" t="s">
        <v>921</v>
      </c>
      <c r="AJ438" s="243">
        <f t="shared" si="509"/>
        <v>0</v>
      </c>
      <c r="AK438" s="243">
        <f t="shared" si="510"/>
        <v>0</v>
      </c>
      <c r="AL438" s="243">
        <f t="shared" si="511"/>
        <v>0</v>
      </c>
      <c r="AN438" s="243">
        <v>21</v>
      </c>
      <c r="AO438" s="243">
        <f>H438*0.872981818181818</f>
        <v>0</v>
      </c>
      <c r="AP438" s="243">
        <f>H438*(1-0.872981818181818)</f>
        <v>0</v>
      </c>
      <c r="AQ438" s="245" t="s">
        <v>567</v>
      </c>
      <c r="AV438" s="243">
        <f t="shared" si="512"/>
        <v>0</v>
      </c>
      <c r="AW438" s="243">
        <f t="shared" si="513"/>
        <v>0</v>
      </c>
      <c r="AX438" s="243">
        <f t="shared" si="514"/>
        <v>0</v>
      </c>
      <c r="AY438" s="245" t="s">
        <v>593</v>
      </c>
      <c r="AZ438" s="245" t="s">
        <v>951</v>
      </c>
      <c r="BA438" s="232" t="s">
        <v>924</v>
      </c>
      <c r="BC438" s="243">
        <f t="shared" si="515"/>
        <v>0</v>
      </c>
      <c r="BD438" s="243">
        <f t="shared" si="516"/>
        <v>0</v>
      </c>
      <c r="BE438" s="243">
        <v>0</v>
      </c>
      <c r="BF438" s="243">
        <f>438</f>
        <v>438</v>
      </c>
      <c r="BH438" s="243">
        <f t="shared" si="517"/>
        <v>0</v>
      </c>
      <c r="BI438" s="243">
        <f t="shared" si="518"/>
        <v>0</v>
      </c>
      <c r="BJ438" s="243">
        <f t="shared" si="519"/>
        <v>0</v>
      </c>
      <c r="BK438" s="243"/>
      <c r="BL438" s="243">
        <v>734</v>
      </c>
      <c r="BW438" s="243">
        <v>21</v>
      </c>
    </row>
    <row r="439" spans="1:75" ht="13.5" customHeight="1">
      <c r="A439" s="207" t="s">
        <v>975</v>
      </c>
      <c r="B439" s="208" t="s">
        <v>921</v>
      </c>
      <c r="C439" s="208" t="s">
        <v>432</v>
      </c>
      <c r="D439" s="268" t="s">
        <v>433</v>
      </c>
      <c r="E439" s="260"/>
      <c r="F439" s="208" t="s">
        <v>58</v>
      </c>
      <c r="G439" s="243">
        <v>1</v>
      </c>
      <c r="H439" s="244">
        <v>0</v>
      </c>
      <c r="I439" s="244">
        <f t="shared" si="500"/>
        <v>0</v>
      </c>
      <c r="K439" s="231"/>
      <c r="Z439" s="243">
        <f t="shared" si="501"/>
        <v>0</v>
      </c>
      <c r="AB439" s="243">
        <f t="shared" si="502"/>
        <v>0</v>
      </c>
      <c r="AC439" s="243">
        <f t="shared" si="503"/>
        <v>0</v>
      </c>
      <c r="AD439" s="243">
        <f t="shared" si="504"/>
        <v>0</v>
      </c>
      <c r="AE439" s="243">
        <f t="shared" si="505"/>
        <v>0</v>
      </c>
      <c r="AF439" s="243">
        <f t="shared" si="506"/>
        <v>0</v>
      </c>
      <c r="AG439" s="243">
        <f t="shared" si="507"/>
        <v>0</v>
      </c>
      <c r="AH439" s="243">
        <f t="shared" si="508"/>
        <v>0</v>
      </c>
      <c r="AI439" s="232" t="s">
        <v>921</v>
      </c>
      <c r="AJ439" s="243">
        <f t="shared" si="509"/>
        <v>0</v>
      </c>
      <c r="AK439" s="243">
        <f t="shared" si="510"/>
        <v>0</v>
      </c>
      <c r="AL439" s="243">
        <f t="shared" si="511"/>
        <v>0</v>
      </c>
      <c r="AN439" s="243">
        <v>21</v>
      </c>
      <c r="AO439" s="243">
        <f>H439*0.924761904761905</f>
        <v>0</v>
      </c>
      <c r="AP439" s="243">
        <f>H439*(1-0.924761904761905)</f>
        <v>0</v>
      </c>
      <c r="AQ439" s="245" t="s">
        <v>567</v>
      </c>
      <c r="AV439" s="243">
        <f t="shared" si="512"/>
        <v>0</v>
      </c>
      <c r="AW439" s="243">
        <f t="shared" si="513"/>
        <v>0</v>
      </c>
      <c r="AX439" s="243">
        <f t="shared" si="514"/>
        <v>0</v>
      </c>
      <c r="AY439" s="245" t="s">
        <v>593</v>
      </c>
      <c r="AZ439" s="245" t="s">
        <v>951</v>
      </c>
      <c r="BA439" s="232" t="s">
        <v>924</v>
      </c>
      <c r="BC439" s="243">
        <f t="shared" si="515"/>
        <v>0</v>
      </c>
      <c r="BD439" s="243">
        <f t="shared" si="516"/>
        <v>0</v>
      </c>
      <c r="BE439" s="243">
        <v>0</v>
      </c>
      <c r="BF439" s="243">
        <f>439</f>
        <v>439</v>
      </c>
      <c r="BH439" s="243">
        <f t="shared" si="517"/>
        <v>0</v>
      </c>
      <c r="BI439" s="243">
        <f t="shared" si="518"/>
        <v>0</v>
      </c>
      <c r="BJ439" s="243">
        <f t="shared" si="519"/>
        <v>0</v>
      </c>
      <c r="BK439" s="243"/>
      <c r="BL439" s="243">
        <v>734</v>
      </c>
      <c r="BW439" s="243">
        <v>21</v>
      </c>
    </row>
    <row r="440" spans="1:75" ht="13.5" customHeight="1">
      <c r="A440" s="207" t="s">
        <v>976</v>
      </c>
      <c r="B440" s="208" t="s">
        <v>921</v>
      </c>
      <c r="C440" s="208" t="s">
        <v>434</v>
      </c>
      <c r="D440" s="268" t="s">
        <v>435</v>
      </c>
      <c r="E440" s="260"/>
      <c r="F440" s="208" t="s">
        <v>68</v>
      </c>
      <c r="G440" s="243">
        <v>1</v>
      </c>
      <c r="H440" s="244">
        <v>0</v>
      </c>
      <c r="I440" s="244">
        <f t="shared" si="500"/>
        <v>0</v>
      </c>
      <c r="K440" s="231"/>
      <c r="Z440" s="243">
        <f t="shared" si="501"/>
        <v>0</v>
      </c>
      <c r="AB440" s="243">
        <f t="shared" si="502"/>
        <v>0</v>
      </c>
      <c r="AC440" s="243">
        <f t="shared" si="503"/>
        <v>0</v>
      </c>
      <c r="AD440" s="243">
        <f t="shared" si="504"/>
        <v>0</v>
      </c>
      <c r="AE440" s="243">
        <f t="shared" si="505"/>
        <v>0</v>
      </c>
      <c r="AF440" s="243">
        <f t="shared" si="506"/>
        <v>0</v>
      </c>
      <c r="AG440" s="243">
        <f t="shared" si="507"/>
        <v>0</v>
      </c>
      <c r="AH440" s="243">
        <f t="shared" si="508"/>
        <v>0</v>
      </c>
      <c r="AI440" s="232" t="s">
        <v>921</v>
      </c>
      <c r="AJ440" s="243">
        <f t="shared" si="509"/>
        <v>0</v>
      </c>
      <c r="AK440" s="243">
        <f t="shared" si="510"/>
        <v>0</v>
      </c>
      <c r="AL440" s="243">
        <f t="shared" si="511"/>
        <v>0</v>
      </c>
      <c r="AN440" s="243">
        <v>21</v>
      </c>
      <c r="AO440" s="243">
        <f>H440*0.698084842146545</f>
        <v>0</v>
      </c>
      <c r="AP440" s="243">
        <f>H440*(1-0.698084842146545)</f>
        <v>0</v>
      </c>
      <c r="AQ440" s="245" t="s">
        <v>567</v>
      </c>
      <c r="AV440" s="243">
        <f t="shared" si="512"/>
        <v>0</v>
      </c>
      <c r="AW440" s="243">
        <f t="shared" si="513"/>
        <v>0</v>
      </c>
      <c r="AX440" s="243">
        <f t="shared" si="514"/>
        <v>0</v>
      </c>
      <c r="AY440" s="245" t="s">
        <v>593</v>
      </c>
      <c r="AZ440" s="245" t="s">
        <v>951</v>
      </c>
      <c r="BA440" s="232" t="s">
        <v>924</v>
      </c>
      <c r="BC440" s="243">
        <f t="shared" si="515"/>
        <v>0</v>
      </c>
      <c r="BD440" s="243">
        <f t="shared" si="516"/>
        <v>0</v>
      </c>
      <c r="BE440" s="243">
        <v>0</v>
      </c>
      <c r="BF440" s="243">
        <f>440</f>
        <v>440</v>
      </c>
      <c r="BH440" s="243">
        <f t="shared" si="517"/>
        <v>0</v>
      </c>
      <c r="BI440" s="243">
        <f t="shared" si="518"/>
        <v>0</v>
      </c>
      <c r="BJ440" s="243">
        <f t="shared" si="519"/>
        <v>0</v>
      </c>
      <c r="BK440" s="243"/>
      <c r="BL440" s="243">
        <v>734</v>
      </c>
      <c r="BW440" s="243">
        <v>21</v>
      </c>
    </row>
    <row r="441" spans="1:75" ht="13.5" customHeight="1">
      <c r="A441" s="207" t="s">
        <v>977</v>
      </c>
      <c r="B441" s="208" t="s">
        <v>921</v>
      </c>
      <c r="C441" s="208" t="s">
        <v>436</v>
      </c>
      <c r="D441" s="268" t="s">
        <v>1359</v>
      </c>
      <c r="E441" s="260"/>
      <c r="F441" s="208" t="s">
        <v>68</v>
      </c>
      <c r="G441" s="243">
        <v>1</v>
      </c>
      <c r="H441" s="244">
        <v>0</v>
      </c>
      <c r="I441" s="244">
        <f t="shared" si="500"/>
        <v>0</v>
      </c>
      <c r="K441" s="231"/>
      <c r="Z441" s="243">
        <f t="shared" si="501"/>
        <v>0</v>
      </c>
      <c r="AB441" s="243">
        <f t="shared" si="502"/>
        <v>0</v>
      </c>
      <c r="AC441" s="243">
        <f t="shared" si="503"/>
        <v>0</v>
      </c>
      <c r="AD441" s="243">
        <f t="shared" si="504"/>
        <v>0</v>
      </c>
      <c r="AE441" s="243">
        <f t="shared" si="505"/>
        <v>0</v>
      </c>
      <c r="AF441" s="243">
        <f t="shared" si="506"/>
        <v>0</v>
      </c>
      <c r="AG441" s="243">
        <f t="shared" si="507"/>
        <v>0</v>
      </c>
      <c r="AH441" s="243">
        <f t="shared" si="508"/>
        <v>0</v>
      </c>
      <c r="AI441" s="232" t="s">
        <v>921</v>
      </c>
      <c r="AJ441" s="243">
        <f t="shared" si="509"/>
        <v>0</v>
      </c>
      <c r="AK441" s="243">
        <f t="shared" si="510"/>
        <v>0</v>
      </c>
      <c r="AL441" s="243">
        <f t="shared" si="511"/>
        <v>0</v>
      </c>
      <c r="AN441" s="243">
        <v>21</v>
      </c>
      <c r="AO441" s="243">
        <f>H441*0.796243845047714</f>
        <v>0</v>
      </c>
      <c r="AP441" s="243">
        <f>H441*(1-0.796243845047714)</f>
        <v>0</v>
      </c>
      <c r="AQ441" s="245" t="s">
        <v>567</v>
      </c>
      <c r="AV441" s="243">
        <f t="shared" si="512"/>
        <v>0</v>
      </c>
      <c r="AW441" s="243">
        <f t="shared" si="513"/>
        <v>0</v>
      </c>
      <c r="AX441" s="243">
        <f t="shared" si="514"/>
        <v>0</v>
      </c>
      <c r="AY441" s="245" t="s">
        <v>593</v>
      </c>
      <c r="AZ441" s="245" t="s">
        <v>951</v>
      </c>
      <c r="BA441" s="232" t="s">
        <v>924</v>
      </c>
      <c r="BC441" s="243">
        <f t="shared" si="515"/>
        <v>0</v>
      </c>
      <c r="BD441" s="243">
        <f t="shared" si="516"/>
        <v>0</v>
      </c>
      <c r="BE441" s="243">
        <v>0</v>
      </c>
      <c r="BF441" s="243">
        <f>441</f>
        <v>441</v>
      </c>
      <c r="BH441" s="243">
        <f t="shared" si="517"/>
        <v>0</v>
      </c>
      <c r="BI441" s="243">
        <f t="shared" si="518"/>
        <v>0</v>
      </c>
      <c r="BJ441" s="243">
        <f t="shared" si="519"/>
        <v>0</v>
      </c>
      <c r="BK441" s="243"/>
      <c r="BL441" s="243">
        <v>734</v>
      </c>
      <c r="BW441" s="243">
        <v>21</v>
      </c>
    </row>
    <row r="442" spans="1:75" ht="13.5" customHeight="1">
      <c r="A442" s="207" t="s">
        <v>978</v>
      </c>
      <c r="B442" s="208" t="s">
        <v>921</v>
      </c>
      <c r="C442" s="208" t="s">
        <v>438</v>
      </c>
      <c r="D442" s="268" t="s">
        <v>1372</v>
      </c>
      <c r="E442" s="260"/>
      <c r="F442" s="208" t="s">
        <v>68</v>
      </c>
      <c r="G442" s="243">
        <v>3</v>
      </c>
      <c r="H442" s="244">
        <v>0</v>
      </c>
      <c r="I442" s="244">
        <f t="shared" si="500"/>
        <v>0</v>
      </c>
      <c r="K442" s="231"/>
      <c r="Z442" s="243">
        <f t="shared" si="501"/>
        <v>0</v>
      </c>
      <c r="AB442" s="243">
        <f t="shared" si="502"/>
        <v>0</v>
      </c>
      <c r="AC442" s="243">
        <f t="shared" si="503"/>
        <v>0</v>
      </c>
      <c r="AD442" s="243">
        <f t="shared" si="504"/>
        <v>0</v>
      </c>
      <c r="AE442" s="243">
        <f t="shared" si="505"/>
        <v>0</v>
      </c>
      <c r="AF442" s="243">
        <f t="shared" si="506"/>
        <v>0</v>
      </c>
      <c r="AG442" s="243">
        <f t="shared" si="507"/>
        <v>0</v>
      </c>
      <c r="AH442" s="243">
        <f t="shared" si="508"/>
        <v>0</v>
      </c>
      <c r="AI442" s="232" t="s">
        <v>921</v>
      </c>
      <c r="AJ442" s="243">
        <f t="shared" si="509"/>
        <v>0</v>
      </c>
      <c r="AK442" s="243">
        <f t="shared" si="510"/>
        <v>0</v>
      </c>
      <c r="AL442" s="243">
        <f t="shared" si="511"/>
        <v>0</v>
      </c>
      <c r="AN442" s="243">
        <v>21</v>
      </c>
      <c r="AO442" s="243">
        <f>H442*0.893386019482375</f>
        <v>0</v>
      </c>
      <c r="AP442" s="243">
        <f>H442*(1-0.893386019482375)</f>
        <v>0</v>
      </c>
      <c r="AQ442" s="245" t="s">
        <v>567</v>
      </c>
      <c r="AV442" s="243">
        <f t="shared" si="512"/>
        <v>0</v>
      </c>
      <c r="AW442" s="243">
        <f t="shared" si="513"/>
        <v>0</v>
      </c>
      <c r="AX442" s="243">
        <f t="shared" si="514"/>
        <v>0</v>
      </c>
      <c r="AY442" s="245" t="s">
        <v>593</v>
      </c>
      <c r="AZ442" s="245" t="s">
        <v>951</v>
      </c>
      <c r="BA442" s="232" t="s">
        <v>924</v>
      </c>
      <c r="BC442" s="243">
        <f t="shared" si="515"/>
        <v>0</v>
      </c>
      <c r="BD442" s="243">
        <f t="shared" si="516"/>
        <v>0</v>
      </c>
      <c r="BE442" s="243">
        <v>0</v>
      </c>
      <c r="BF442" s="243">
        <f>442</f>
        <v>442</v>
      </c>
      <c r="BH442" s="243">
        <f t="shared" si="517"/>
        <v>0</v>
      </c>
      <c r="BI442" s="243">
        <f t="shared" si="518"/>
        <v>0</v>
      </c>
      <c r="BJ442" s="243">
        <f t="shared" si="519"/>
        <v>0</v>
      </c>
      <c r="BK442" s="243"/>
      <c r="BL442" s="243">
        <v>734</v>
      </c>
      <c r="BW442" s="243">
        <v>21</v>
      </c>
    </row>
    <row r="443" spans="1:75" ht="15" customHeight="1">
      <c r="A443" s="238" t="s">
        <v>21</v>
      </c>
      <c r="B443" s="239" t="s">
        <v>921</v>
      </c>
      <c r="C443" s="239" t="s">
        <v>101</v>
      </c>
      <c r="D443" s="309" t="s">
        <v>102</v>
      </c>
      <c r="E443" s="310"/>
      <c r="F443" s="240" t="s">
        <v>20</v>
      </c>
      <c r="G443" s="240" t="s">
        <v>20</v>
      </c>
      <c r="H443" s="241" t="s">
        <v>20</v>
      </c>
      <c r="I443" s="242">
        <f>SUM(I444:I445)</f>
        <v>0</v>
      </c>
      <c r="K443" s="231"/>
      <c r="AI443" s="232" t="s">
        <v>921</v>
      </c>
      <c r="AS443" s="225">
        <f>SUM(AJ444:AJ445)</f>
        <v>0</v>
      </c>
      <c r="AT443" s="225">
        <f>SUM(AK444:AK445)</f>
        <v>0</v>
      </c>
      <c r="AU443" s="225">
        <f>SUM(AL444:AL445)</f>
        <v>0</v>
      </c>
    </row>
    <row r="444" spans="1:75" ht="13.5" customHeight="1">
      <c r="A444" s="207" t="s">
        <v>979</v>
      </c>
      <c r="B444" s="208" t="s">
        <v>921</v>
      </c>
      <c r="C444" s="208" t="s">
        <v>440</v>
      </c>
      <c r="D444" s="268" t="s">
        <v>441</v>
      </c>
      <c r="E444" s="260"/>
      <c r="F444" s="208" t="s">
        <v>105</v>
      </c>
      <c r="G444" s="243">
        <v>50</v>
      </c>
      <c r="H444" s="244">
        <v>0</v>
      </c>
      <c r="I444" s="244">
        <f>G444*H444</f>
        <v>0</v>
      </c>
      <c r="K444" s="231"/>
      <c r="Z444" s="243">
        <f>IF(AQ444="5",BJ444,0)</f>
        <v>0</v>
      </c>
      <c r="AB444" s="243">
        <f>IF(AQ444="1",BH444,0)</f>
        <v>0</v>
      </c>
      <c r="AC444" s="243">
        <f>IF(AQ444="1",BI444,0)</f>
        <v>0</v>
      </c>
      <c r="AD444" s="243">
        <f>IF(AQ444="7",BH444,0)</f>
        <v>0</v>
      </c>
      <c r="AE444" s="243">
        <f>IF(AQ444="7",BI444,0)</f>
        <v>0</v>
      </c>
      <c r="AF444" s="243">
        <f>IF(AQ444="2",BH444,0)</f>
        <v>0</v>
      </c>
      <c r="AG444" s="243">
        <f>IF(AQ444="2",BI444,0)</f>
        <v>0</v>
      </c>
      <c r="AH444" s="243">
        <f>IF(AQ444="0",BJ444,0)</f>
        <v>0</v>
      </c>
      <c r="AI444" s="232" t="s">
        <v>921</v>
      </c>
      <c r="AJ444" s="243">
        <f>IF(AN444=0,I444,0)</f>
        <v>0</v>
      </c>
      <c r="AK444" s="243">
        <f>IF(AN444=12,I444,0)</f>
        <v>0</v>
      </c>
      <c r="AL444" s="243">
        <f>IF(AN444=21,I444,0)</f>
        <v>0</v>
      </c>
      <c r="AN444" s="243">
        <v>21</v>
      </c>
      <c r="AO444" s="243">
        <f>H444*0.166280991735537</f>
        <v>0</v>
      </c>
      <c r="AP444" s="243">
        <f>H444*(1-0.166280991735537)</f>
        <v>0</v>
      </c>
      <c r="AQ444" s="245" t="s">
        <v>567</v>
      </c>
      <c r="AV444" s="243">
        <f>AW444+AX444</f>
        <v>0</v>
      </c>
      <c r="AW444" s="243">
        <f>G444*AO444</f>
        <v>0</v>
      </c>
      <c r="AX444" s="243">
        <f>G444*AP444</f>
        <v>0</v>
      </c>
      <c r="AY444" s="245" t="s">
        <v>596</v>
      </c>
      <c r="AZ444" s="245" t="s">
        <v>986</v>
      </c>
      <c r="BA444" s="232" t="s">
        <v>924</v>
      </c>
      <c r="BC444" s="243">
        <f>AW444+AX444</f>
        <v>0</v>
      </c>
      <c r="BD444" s="243">
        <f>H444/(100-BE444)*100</f>
        <v>0</v>
      </c>
      <c r="BE444" s="243">
        <v>0</v>
      </c>
      <c r="BF444" s="243">
        <f>444</f>
        <v>444</v>
      </c>
      <c r="BH444" s="243">
        <f>G444*AO444</f>
        <v>0</v>
      </c>
      <c r="BI444" s="243">
        <f>G444*AP444</f>
        <v>0</v>
      </c>
      <c r="BJ444" s="243">
        <f>G444*H444</f>
        <v>0</v>
      </c>
      <c r="BK444" s="243"/>
      <c r="BL444" s="243">
        <v>767</v>
      </c>
      <c r="BW444" s="243">
        <v>21</v>
      </c>
    </row>
    <row r="445" spans="1:75" ht="13.5" customHeight="1">
      <c r="A445" s="207" t="s">
        <v>980</v>
      </c>
      <c r="B445" s="208" t="s">
        <v>921</v>
      </c>
      <c r="C445" s="208" t="s">
        <v>442</v>
      </c>
      <c r="D445" s="268" t="s">
        <v>443</v>
      </c>
      <c r="E445" s="260"/>
      <c r="F445" s="208" t="s">
        <v>105</v>
      </c>
      <c r="G445" s="243">
        <v>60</v>
      </c>
      <c r="H445" s="244">
        <v>0</v>
      </c>
      <c r="I445" s="244">
        <f>G445*H445</f>
        <v>0</v>
      </c>
      <c r="K445" s="231"/>
      <c r="Z445" s="243">
        <f>IF(AQ445="5",BJ445,0)</f>
        <v>0</v>
      </c>
      <c r="AB445" s="243">
        <f>IF(AQ445="1",BH445,0)</f>
        <v>0</v>
      </c>
      <c r="AC445" s="243">
        <f>IF(AQ445="1",BI445,0)</f>
        <v>0</v>
      </c>
      <c r="AD445" s="243">
        <f>IF(AQ445="7",BH445,0)</f>
        <v>0</v>
      </c>
      <c r="AE445" s="243">
        <f>IF(AQ445="7",BI445,0)</f>
        <v>0</v>
      </c>
      <c r="AF445" s="243">
        <f>IF(AQ445="2",BH445,0)</f>
        <v>0</v>
      </c>
      <c r="AG445" s="243">
        <f>IF(AQ445="2",BI445,0)</f>
        <v>0</v>
      </c>
      <c r="AH445" s="243">
        <f>IF(AQ445="0",BJ445,0)</f>
        <v>0</v>
      </c>
      <c r="AI445" s="232" t="s">
        <v>921</v>
      </c>
      <c r="AJ445" s="243">
        <f>IF(AN445=0,I445,0)</f>
        <v>0</v>
      </c>
      <c r="AK445" s="243">
        <f>IF(AN445=12,I445,0)</f>
        <v>0</v>
      </c>
      <c r="AL445" s="243">
        <f>IF(AN445=21,I445,0)</f>
        <v>0</v>
      </c>
      <c r="AN445" s="243">
        <v>21</v>
      </c>
      <c r="AO445" s="243">
        <f>H445*0.329041487839771</f>
        <v>0</v>
      </c>
      <c r="AP445" s="243">
        <f>H445*(1-0.329041487839771)</f>
        <v>0</v>
      </c>
      <c r="AQ445" s="245" t="s">
        <v>567</v>
      </c>
      <c r="AV445" s="243">
        <f>AW445+AX445</f>
        <v>0</v>
      </c>
      <c r="AW445" s="243">
        <f>G445*AO445</f>
        <v>0</v>
      </c>
      <c r="AX445" s="243">
        <f>G445*AP445</f>
        <v>0</v>
      </c>
      <c r="AY445" s="245" t="s">
        <v>596</v>
      </c>
      <c r="AZ445" s="245" t="s">
        <v>986</v>
      </c>
      <c r="BA445" s="232" t="s">
        <v>924</v>
      </c>
      <c r="BC445" s="243">
        <f>AW445+AX445</f>
        <v>0</v>
      </c>
      <c r="BD445" s="243">
        <f>H445/(100-BE445)*100</f>
        <v>0</v>
      </c>
      <c r="BE445" s="243">
        <v>0</v>
      </c>
      <c r="BF445" s="243">
        <f>445</f>
        <v>445</v>
      </c>
      <c r="BH445" s="243">
        <f>G445*AO445</f>
        <v>0</v>
      </c>
      <c r="BI445" s="243">
        <f>G445*AP445</f>
        <v>0</v>
      </c>
      <c r="BJ445" s="243">
        <f>G445*H445</f>
        <v>0</v>
      </c>
      <c r="BK445" s="243"/>
      <c r="BL445" s="243">
        <v>767</v>
      </c>
      <c r="BW445" s="243">
        <v>21</v>
      </c>
    </row>
    <row r="446" spans="1:75" ht="15" customHeight="1">
      <c r="A446" s="238" t="s">
        <v>21</v>
      </c>
      <c r="B446" s="239" t="s">
        <v>921</v>
      </c>
      <c r="C446" s="239" t="s">
        <v>21</v>
      </c>
      <c r="D446" s="309" t="s">
        <v>1310</v>
      </c>
      <c r="E446" s="310"/>
      <c r="F446" s="240" t="s">
        <v>20</v>
      </c>
      <c r="G446" s="240" t="s">
        <v>20</v>
      </c>
      <c r="H446" s="241" t="s">
        <v>20</v>
      </c>
      <c r="I446" s="242">
        <f>I447</f>
        <v>0</v>
      </c>
      <c r="K446" s="231"/>
      <c r="AI446" s="232" t="s">
        <v>921</v>
      </c>
    </row>
    <row r="447" spans="1:75" ht="15" customHeight="1">
      <c r="A447" s="238" t="s">
        <v>21</v>
      </c>
      <c r="B447" s="239" t="s">
        <v>921</v>
      </c>
      <c r="C447" s="239" t="s">
        <v>348</v>
      </c>
      <c r="D447" s="309" t="s">
        <v>349</v>
      </c>
      <c r="E447" s="310"/>
      <c r="F447" s="240" t="s">
        <v>20</v>
      </c>
      <c r="G447" s="240" t="s">
        <v>20</v>
      </c>
      <c r="H447" s="241" t="s">
        <v>20</v>
      </c>
      <c r="I447" s="242">
        <f>SUM(I448:I448)</f>
        <v>0</v>
      </c>
      <c r="K447" s="231"/>
      <c r="AI447" s="232" t="s">
        <v>921</v>
      </c>
      <c r="AS447" s="225">
        <f>SUM(AJ448:AJ448)</f>
        <v>0</v>
      </c>
      <c r="AT447" s="225">
        <f>SUM(AK448:AK448)</f>
        <v>0</v>
      </c>
      <c r="AU447" s="225">
        <f>SUM(AL448:AL448)</f>
        <v>0</v>
      </c>
    </row>
    <row r="448" spans="1:75" ht="13.5" customHeight="1">
      <c r="A448" s="207" t="s">
        <v>981</v>
      </c>
      <c r="B448" s="208" t="s">
        <v>921</v>
      </c>
      <c r="C448" s="208" t="s">
        <v>350</v>
      </c>
      <c r="D448" s="268" t="s">
        <v>447</v>
      </c>
      <c r="E448" s="260"/>
      <c r="F448" s="208" t="s">
        <v>29</v>
      </c>
      <c r="G448" s="243">
        <v>1</v>
      </c>
      <c r="H448" s="244">
        <v>0</v>
      </c>
      <c r="I448" s="244">
        <f>G448*H448</f>
        <v>0</v>
      </c>
      <c r="K448" s="231"/>
      <c r="Z448" s="243">
        <f>IF(AQ448="5",BJ448,0)</f>
        <v>0</v>
      </c>
      <c r="AB448" s="243">
        <f>IF(AQ448="1",BH448,0)</f>
        <v>0</v>
      </c>
      <c r="AC448" s="243">
        <f>IF(AQ448="1",BI448,0)</f>
        <v>0</v>
      </c>
      <c r="AD448" s="243">
        <f>IF(AQ448="7",BH448,0)</f>
        <v>0</v>
      </c>
      <c r="AE448" s="243">
        <f>IF(AQ448="7",BI448,0)</f>
        <v>0</v>
      </c>
      <c r="AF448" s="243">
        <f>IF(AQ448="2",BH448,0)</f>
        <v>0</v>
      </c>
      <c r="AG448" s="243">
        <f>IF(AQ448="2",BI448,0)</f>
        <v>0</v>
      </c>
      <c r="AH448" s="243">
        <f>IF(AQ448="0",BJ448,0)</f>
        <v>0</v>
      </c>
      <c r="AI448" s="232" t="s">
        <v>921</v>
      </c>
      <c r="AJ448" s="243">
        <f>IF(AN448=0,I448,0)</f>
        <v>0</v>
      </c>
      <c r="AK448" s="243">
        <f>IF(AN448=12,I448,0)</f>
        <v>0</v>
      </c>
      <c r="AL448" s="243">
        <f>IF(AN448=21,I448,0)</f>
        <v>0</v>
      </c>
      <c r="AN448" s="243">
        <v>21</v>
      </c>
      <c r="AO448" s="243">
        <f>H448*0</f>
        <v>0</v>
      </c>
      <c r="AP448" s="243">
        <f>H448*(1-0)</f>
        <v>0</v>
      </c>
      <c r="AQ448" s="245" t="s">
        <v>556</v>
      </c>
      <c r="AV448" s="243">
        <f>AW448+AX448</f>
        <v>0</v>
      </c>
      <c r="AW448" s="243">
        <f>G448*AO448</f>
        <v>0</v>
      </c>
      <c r="AX448" s="243">
        <f>G448*AP448</f>
        <v>0</v>
      </c>
      <c r="AY448" s="245" t="s">
        <v>711</v>
      </c>
      <c r="AZ448" s="245" t="s">
        <v>1373</v>
      </c>
      <c r="BA448" s="232" t="s">
        <v>924</v>
      </c>
      <c r="BC448" s="243">
        <f>AW448+AX448</f>
        <v>0</v>
      </c>
      <c r="BD448" s="243">
        <f>H448/(100-BE448)*100</f>
        <v>0</v>
      </c>
      <c r="BE448" s="243">
        <v>0</v>
      </c>
      <c r="BF448" s="243">
        <f>448</f>
        <v>448</v>
      </c>
      <c r="BH448" s="243">
        <f>G448*AO448</f>
        <v>0</v>
      </c>
      <c r="BI448" s="243">
        <f>G448*AP448</f>
        <v>0</v>
      </c>
      <c r="BJ448" s="243">
        <f>G448*H448</f>
        <v>0</v>
      </c>
      <c r="BK448" s="243"/>
      <c r="BL448" s="243"/>
      <c r="BR448" s="243">
        <f>G448*H448</f>
        <v>0</v>
      </c>
      <c r="BW448" s="243">
        <v>21</v>
      </c>
    </row>
    <row r="449" spans="1:75" ht="15" customHeight="1">
      <c r="A449" s="238" t="s">
        <v>21</v>
      </c>
      <c r="B449" s="239" t="s">
        <v>990</v>
      </c>
      <c r="C449" s="239" t="s">
        <v>21</v>
      </c>
      <c r="D449" s="309" t="s">
        <v>448</v>
      </c>
      <c r="E449" s="310"/>
      <c r="F449" s="240" t="s">
        <v>20</v>
      </c>
      <c r="G449" s="240" t="s">
        <v>20</v>
      </c>
      <c r="H449" s="241" t="s">
        <v>20</v>
      </c>
      <c r="I449" s="242">
        <f>I450+I460+I462+I475+I477+I485+I497+I513+I517</f>
        <v>0</v>
      </c>
      <c r="K449" s="231"/>
    </row>
    <row r="450" spans="1:75" ht="15" customHeight="1">
      <c r="A450" s="238" t="s">
        <v>21</v>
      </c>
      <c r="B450" s="239" t="s">
        <v>990</v>
      </c>
      <c r="C450" s="239" t="s">
        <v>54</v>
      </c>
      <c r="D450" s="309" t="s">
        <v>55</v>
      </c>
      <c r="E450" s="310"/>
      <c r="F450" s="240" t="s">
        <v>20</v>
      </c>
      <c r="G450" s="240" t="s">
        <v>20</v>
      </c>
      <c r="H450" s="241" t="s">
        <v>20</v>
      </c>
      <c r="I450" s="242">
        <f>SUM(I451:I459)</f>
        <v>0</v>
      </c>
      <c r="K450" s="231"/>
      <c r="AI450" s="232" t="s">
        <v>990</v>
      </c>
      <c r="AS450" s="225">
        <f>SUM(AJ451:AJ459)</f>
        <v>0</v>
      </c>
      <c r="AT450" s="225">
        <f>SUM(AK451:AK459)</f>
        <v>0</v>
      </c>
      <c r="AU450" s="225">
        <f>SUM(AL451:AL459)</f>
        <v>0</v>
      </c>
    </row>
    <row r="451" spans="1:75" ht="13.5" customHeight="1">
      <c r="A451" s="207" t="s">
        <v>982</v>
      </c>
      <c r="B451" s="208" t="s">
        <v>990</v>
      </c>
      <c r="C451" s="208" t="s">
        <v>69</v>
      </c>
      <c r="D451" s="268" t="s">
        <v>356</v>
      </c>
      <c r="E451" s="260"/>
      <c r="F451" s="208" t="s">
        <v>68</v>
      </c>
      <c r="G451" s="243">
        <v>1</v>
      </c>
      <c r="H451" s="244">
        <v>0</v>
      </c>
      <c r="I451" s="244">
        <f t="shared" ref="I451:I459" si="520">G451*H451</f>
        <v>0</v>
      </c>
      <c r="K451" s="231"/>
      <c r="Z451" s="243">
        <f t="shared" ref="Z451:Z459" si="521">IF(AQ451="5",BJ451,0)</f>
        <v>0</v>
      </c>
      <c r="AB451" s="243">
        <f t="shared" ref="AB451:AB459" si="522">IF(AQ451="1",BH451,0)</f>
        <v>0</v>
      </c>
      <c r="AC451" s="243">
        <f t="shared" ref="AC451:AC459" si="523">IF(AQ451="1",BI451,0)</f>
        <v>0</v>
      </c>
      <c r="AD451" s="243">
        <f t="shared" ref="AD451:AD459" si="524">IF(AQ451="7",BH451,0)</f>
        <v>0</v>
      </c>
      <c r="AE451" s="243">
        <f t="shared" ref="AE451:AE459" si="525">IF(AQ451="7",BI451,0)</f>
        <v>0</v>
      </c>
      <c r="AF451" s="243">
        <f t="shared" ref="AF451:AF459" si="526">IF(AQ451="2",BH451,0)</f>
        <v>0</v>
      </c>
      <c r="AG451" s="243">
        <f t="shared" ref="AG451:AG459" si="527">IF(AQ451="2",BI451,0)</f>
        <v>0</v>
      </c>
      <c r="AH451" s="243">
        <f t="shared" ref="AH451:AH459" si="528">IF(AQ451="0",BJ451,0)</f>
        <v>0</v>
      </c>
      <c r="AI451" s="232" t="s">
        <v>990</v>
      </c>
      <c r="AJ451" s="243">
        <f t="shared" ref="AJ451:AJ459" si="529">IF(AN451=0,I451,0)</f>
        <v>0</v>
      </c>
      <c r="AK451" s="243">
        <f t="shared" ref="AK451:AK459" si="530">IF(AN451=12,I451,0)</f>
        <v>0</v>
      </c>
      <c r="AL451" s="243">
        <f t="shared" ref="AL451:AL459" si="531">IF(AN451=21,I451,0)</f>
        <v>0</v>
      </c>
      <c r="AN451" s="243">
        <v>21</v>
      </c>
      <c r="AO451" s="243">
        <f>H451*0</f>
        <v>0</v>
      </c>
      <c r="AP451" s="243">
        <f>H451*(1-0)</f>
        <v>0</v>
      </c>
      <c r="AQ451" s="245" t="s">
        <v>553</v>
      </c>
      <c r="AV451" s="243">
        <f t="shared" ref="AV451:AV459" si="532">AW451+AX451</f>
        <v>0</v>
      </c>
      <c r="AW451" s="243">
        <f t="shared" ref="AW451:AW459" si="533">G451*AO451</f>
        <v>0</v>
      </c>
      <c r="AX451" s="243">
        <f t="shared" ref="AX451:AX459" si="534">G451*AP451</f>
        <v>0</v>
      </c>
      <c r="AY451" s="245" t="s">
        <v>574</v>
      </c>
      <c r="AZ451" s="245" t="s">
        <v>992</v>
      </c>
      <c r="BA451" s="232" t="s">
        <v>993</v>
      </c>
      <c r="BC451" s="243">
        <f t="shared" ref="BC451:BC459" si="535">AW451+AX451</f>
        <v>0</v>
      </c>
      <c r="BD451" s="243">
        <f t="shared" ref="BD451:BD459" si="536">H451/(100-BE451)*100</f>
        <v>0</v>
      </c>
      <c r="BE451" s="243">
        <v>0</v>
      </c>
      <c r="BF451" s="243">
        <f>451</f>
        <v>451</v>
      </c>
      <c r="BH451" s="243">
        <f t="shared" ref="BH451:BH459" si="537">G451*AO451</f>
        <v>0</v>
      </c>
      <c r="BI451" s="243">
        <f t="shared" ref="BI451:BI459" si="538">G451*AP451</f>
        <v>0</v>
      </c>
      <c r="BJ451" s="243">
        <f t="shared" ref="BJ451:BJ459" si="539">G451*H451</f>
        <v>0</v>
      </c>
      <c r="BK451" s="243"/>
      <c r="BL451" s="243">
        <v>0</v>
      </c>
      <c r="BW451" s="243">
        <v>21</v>
      </c>
    </row>
    <row r="452" spans="1:75" ht="13.5" customHeight="1">
      <c r="A452" s="207" t="s">
        <v>983</v>
      </c>
      <c r="B452" s="208" t="s">
        <v>990</v>
      </c>
      <c r="C452" s="208" t="s">
        <v>107</v>
      </c>
      <c r="D452" s="268" t="s">
        <v>108</v>
      </c>
      <c r="E452" s="260"/>
      <c r="F452" s="208" t="s">
        <v>109</v>
      </c>
      <c r="G452" s="243">
        <v>8</v>
      </c>
      <c r="H452" s="244">
        <v>0</v>
      </c>
      <c r="I452" s="244">
        <f t="shared" si="520"/>
        <v>0</v>
      </c>
      <c r="K452" s="231"/>
      <c r="Z452" s="243">
        <f t="shared" si="521"/>
        <v>0</v>
      </c>
      <c r="AB452" s="243">
        <f t="shared" si="522"/>
        <v>0</v>
      </c>
      <c r="AC452" s="243">
        <f t="shared" si="523"/>
        <v>0</v>
      </c>
      <c r="AD452" s="243">
        <f t="shared" si="524"/>
        <v>0</v>
      </c>
      <c r="AE452" s="243">
        <f t="shared" si="525"/>
        <v>0</v>
      </c>
      <c r="AF452" s="243">
        <f t="shared" si="526"/>
        <v>0</v>
      </c>
      <c r="AG452" s="243">
        <f t="shared" si="527"/>
        <v>0</v>
      </c>
      <c r="AH452" s="243">
        <f t="shared" si="528"/>
        <v>0</v>
      </c>
      <c r="AI452" s="232" t="s">
        <v>990</v>
      </c>
      <c r="AJ452" s="243">
        <f t="shared" si="529"/>
        <v>0</v>
      </c>
      <c r="AK452" s="243">
        <f t="shared" si="530"/>
        <v>0</v>
      </c>
      <c r="AL452" s="243">
        <f t="shared" si="531"/>
        <v>0</v>
      </c>
      <c r="AN452" s="243">
        <v>21</v>
      </c>
      <c r="AO452" s="243">
        <f>H452*0</f>
        <v>0</v>
      </c>
      <c r="AP452" s="243">
        <f>H452*(1-0)</f>
        <v>0</v>
      </c>
      <c r="AQ452" s="245" t="s">
        <v>553</v>
      </c>
      <c r="AV452" s="243">
        <f t="shared" si="532"/>
        <v>0</v>
      </c>
      <c r="AW452" s="243">
        <f t="shared" si="533"/>
        <v>0</v>
      </c>
      <c r="AX452" s="243">
        <f t="shared" si="534"/>
        <v>0</v>
      </c>
      <c r="AY452" s="245" t="s">
        <v>574</v>
      </c>
      <c r="AZ452" s="245" t="s">
        <v>992</v>
      </c>
      <c r="BA452" s="232" t="s">
        <v>993</v>
      </c>
      <c r="BC452" s="243">
        <f t="shared" si="535"/>
        <v>0</v>
      </c>
      <c r="BD452" s="243">
        <f t="shared" si="536"/>
        <v>0</v>
      </c>
      <c r="BE452" s="243">
        <v>0</v>
      </c>
      <c r="BF452" s="243">
        <f>452</f>
        <v>452</v>
      </c>
      <c r="BH452" s="243">
        <f t="shared" si="537"/>
        <v>0</v>
      </c>
      <c r="BI452" s="243">
        <f t="shared" si="538"/>
        <v>0</v>
      </c>
      <c r="BJ452" s="243">
        <f t="shared" si="539"/>
        <v>0</v>
      </c>
      <c r="BK452" s="243"/>
      <c r="BL452" s="243">
        <v>0</v>
      </c>
      <c r="BW452" s="243">
        <v>21</v>
      </c>
    </row>
    <row r="453" spans="1:75" ht="27" customHeight="1">
      <c r="A453" s="207" t="s">
        <v>984</v>
      </c>
      <c r="B453" s="208" t="s">
        <v>990</v>
      </c>
      <c r="C453" s="208" t="s">
        <v>110</v>
      </c>
      <c r="D453" s="268" t="s">
        <v>111</v>
      </c>
      <c r="E453" s="260"/>
      <c r="F453" s="208" t="s">
        <v>112</v>
      </c>
      <c r="G453" s="243">
        <v>8</v>
      </c>
      <c r="H453" s="244">
        <v>0</v>
      </c>
      <c r="I453" s="244">
        <f t="shared" si="520"/>
        <v>0</v>
      </c>
      <c r="K453" s="231"/>
      <c r="Z453" s="243">
        <f t="shared" si="521"/>
        <v>0</v>
      </c>
      <c r="AB453" s="243">
        <f t="shared" si="522"/>
        <v>0</v>
      </c>
      <c r="AC453" s="243">
        <f t="shared" si="523"/>
        <v>0</v>
      </c>
      <c r="AD453" s="243">
        <f t="shared" si="524"/>
        <v>0</v>
      </c>
      <c r="AE453" s="243">
        <f t="shared" si="525"/>
        <v>0</v>
      </c>
      <c r="AF453" s="243">
        <f t="shared" si="526"/>
        <v>0</v>
      </c>
      <c r="AG453" s="243">
        <f t="shared" si="527"/>
        <v>0</v>
      </c>
      <c r="AH453" s="243">
        <f t="shared" si="528"/>
        <v>0</v>
      </c>
      <c r="AI453" s="232" t="s">
        <v>990</v>
      </c>
      <c r="AJ453" s="243">
        <f t="shared" si="529"/>
        <v>0</v>
      </c>
      <c r="AK453" s="243">
        <f t="shared" si="530"/>
        <v>0</v>
      </c>
      <c r="AL453" s="243">
        <f t="shared" si="531"/>
        <v>0</v>
      </c>
      <c r="AN453" s="243">
        <v>21</v>
      </c>
      <c r="AO453" s="243">
        <f>H453*0.298352654057352</f>
        <v>0</v>
      </c>
      <c r="AP453" s="243">
        <f>H453*(1-0.298352654057352)</f>
        <v>0</v>
      </c>
      <c r="AQ453" s="245" t="s">
        <v>553</v>
      </c>
      <c r="AV453" s="243">
        <f t="shared" si="532"/>
        <v>0</v>
      </c>
      <c r="AW453" s="243">
        <f t="shared" si="533"/>
        <v>0</v>
      </c>
      <c r="AX453" s="243">
        <f t="shared" si="534"/>
        <v>0</v>
      </c>
      <c r="AY453" s="245" t="s">
        <v>574</v>
      </c>
      <c r="AZ453" s="245" t="s">
        <v>992</v>
      </c>
      <c r="BA453" s="232" t="s">
        <v>993</v>
      </c>
      <c r="BC453" s="243">
        <f t="shared" si="535"/>
        <v>0</v>
      </c>
      <c r="BD453" s="243">
        <f t="shared" si="536"/>
        <v>0</v>
      </c>
      <c r="BE453" s="243">
        <v>0</v>
      </c>
      <c r="BF453" s="243">
        <f>453</f>
        <v>453</v>
      </c>
      <c r="BH453" s="243">
        <f t="shared" si="537"/>
        <v>0</v>
      </c>
      <c r="BI453" s="243">
        <f t="shared" si="538"/>
        <v>0</v>
      </c>
      <c r="BJ453" s="243">
        <f t="shared" si="539"/>
        <v>0</v>
      </c>
      <c r="BK453" s="243"/>
      <c r="BL453" s="243">
        <v>0</v>
      </c>
      <c r="BW453" s="243">
        <v>21</v>
      </c>
    </row>
    <row r="454" spans="1:75" ht="13.5" customHeight="1">
      <c r="A454" s="207" t="s">
        <v>985</v>
      </c>
      <c r="B454" s="208" t="s">
        <v>990</v>
      </c>
      <c r="C454" s="208" t="s">
        <v>115</v>
      </c>
      <c r="D454" s="268" t="s">
        <v>116</v>
      </c>
      <c r="E454" s="260"/>
      <c r="F454" s="208" t="s">
        <v>58</v>
      </c>
      <c r="G454" s="243">
        <v>1</v>
      </c>
      <c r="H454" s="244">
        <v>0</v>
      </c>
      <c r="I454" s="244">
        <f t="shared" si="520"/>
        <v>0</v>
      </c>
      <c r="K454" s="231"/>
      <c r="Z454" s="243">
        <f t="shared" si="521"/>
        <v>0</v>
      </c>
      <c r="AB454" s="243">
        <f t="shared" si="522"/>
        <v>0</v>
      </c>
      <c r="AC454" s="243">
        <f t="shared" si="523"/>
        <v>0</v>
      </c>
      <c r="AD454" s="243">
        <f t="shared" si="524"/>
        <v>0</v>
      </c>
      <c r="AE454" s="243">
        <f t="shared" si="525"/>
        <v>0</v>
      </c>
      <c r="AF454" s="243">
        <f t="shared" si="526"/>
        <v>0</v>
      </c>
      <c r="AG454" s="243">
        <f t="shared" si="527"/>
        <v>0</v>
      </c>
      <c r="AH454" s="243">
        <f t="shared" si="528"/>
        <v>0</v>
      </c>
      <c r="AI454" s="232" t="s">
        <v>990</v>
      </c>
      <c r="AJ454" s="243">
        <f t="shared" si="529"/>
        <v>0</v>
      </c>
      <c r="AK454" s="243">
        <f t="shared" si="530"/>
        <v>0</v>
      </c>
      <c r="AL454" s="243">
        <f t="shared" si="531"/>
        <v>0</v>
      </c>
      <c r="AN454" s="243">
        <v>21</v>
      </c>
      <c r="AO454" s="243">
        <f>H454*0</f>
        <v>0</v>
      </c>
      <c r="AP454" s="243">
        <f>H454*(1-0)</f>
        <v>0</v>
      </c>
      <c r="AQ454" s="245" t="s">
        <v>553</v>
      </c>
      <c r="AV454" s="243">
        <f t="shared" si="532"/>
        <v>0</v>
      </c>
      <c r="AW454" s="243">
        <f t="shared" si="533"/>
        <v>0</v>
      </c>
      <c r="AX454" s="243">
        <f t="shared" si="534"/>
        <v>0</v>
      </c>
      <c r="AY454" s="245" t="s">
        <v>574</v>
      </c>
      <c r="AZ454" s="245" t="s">
        <v>992</v>
      </c>
      <c r="BA454" s="232" t="s">
        <v>993</v>
      </c>
      <c r="BC454" s="243">
        <f t="shared" si="535"/>
        <v>0</v>
      </c>
      <c r="BD454" s="243">
        <f t="shared" si="536"/>
        <v>0</v>
      </c>
      <c r="BE454" s="243">
        <v>0</v>
      </c>
      <c r="BF454" s="243">
        <f>454</f>
        <v>454</v>
      </c>
      <c r="BH454" s="243">
        <f t="shared" si="537"/>
        <v>0</v>
      </c>
      <c r="BI454" s="243">
        <f t="shared" si="538"/>
        <v>0</v>
      </c>
      <c r="BJ454" s="243">
        <f t="shared" si="539"/>
        <v>0</v>
      </c>
      <c r="BK454" s="243"/>
      <c r="BL454" s="243">
        <v>0</v>
      </c>
      <c r="BW454" s="243">
        <v>21</v>
      </c>
    </row>
    <row r="455" spans="1:75" ht="13.5" customHeight="1">
      <c r="A455" s="207" t="s">
        <v>987</v>
      </c>
      <c r="B455" s="208" t="s">
        <v>990</v>
      </c>
      <c r="C455" s="208" t="s">
        <v>119</v>
      </c>
      <c r="D455" s="268" t="s">
        <v>120</v>
      </c>
      <c r="E455" s="260"/>
      <c r="F455" s="208" t="s">
        <v>58</v>
      </c>
      <c r="G455" s="243">
        <v>1</v>
      </c>
      <c r="H455" s="244">
        <v>0</v>
      </c>
      <c r="I455" s="244">
        <f t="shared" si="520"/>
        <v>0</v>
      </c>
      <c r="K455" s="231"/>
      <c r="Z455" s="243">
        <f t="shared" si="521"/>
        <v>0</v>
      </c>
      <c r="AB455" s="243">
        <f t="shared" si="522"/>
        <v>0</v>
      </c>
      <c r="AC455" s="243">
        <f t="shared" si="523"/>
        <v>0</v>
      </c>
      <c r="AD455" s="243">
        <f t="shared" si="524"/>
        <v>0</v>
      </c>
      <c r="AE455" s="243">
        <f t="shared" si="525"/>
        <v>0</v>
      </c>
      <c r="AF455" s="243">
        <f t="shared" si="526"/>
        <v>0</v>
      </c>
      <c r="AG455" s="243">
        <f t="shared" si="527"/>
        <v>0</v>
      </c>
      <c r="AH455" s="243">
        <f t="shared" si="528"/>
        <v>0</v>
      </c>
      <c r="AI455" s="232" t="s">
        <v>990</v>
      </c>
      <c r="AJ455" s="243">
        <f t="shared" si="529"/>
        <v>0</v>
      </c>
      <c r="AK455" s="243">
        <f t="shared" si="530"/>
        <v>0</v>
      </c>
      <c r="AL455" s="243">
        <f t="shared" si="531"/>
        <v>0</v>
      </c>
      <c r="AN455" s="243">
        <v>21</v>
      </c>
      <c r="AO455" s="243">
        <f>H455*0</f>
        <v>0</v>
      </c>
      <c r="AP455" s="243">
        <f>H455*(1-0)</f>
        <v>0</v>
      </c>
      <c r="AQ455" s="245" t="s">
        <v>553</v>
      </c>
      <c r="AV455" s="243">
        <f t="shared" si="532"/>
        <v>0</v>
      </c>
      <c r="AW455" s="243">
        <f t="shared" si="533"/>
        <v>0</v>
      </c>
      <c r="AX455" s="243">
        <f t="shared" si="534"/>
        <v>0</v>
      </c>
      <c r="AY455" s="245" t="s">
        <v>574</v>
      </c>
      <c r="AZ455" s="245" t="s">
        <v>992</v>
      </c>
      <c r="BA455" s="232" t="s">
        <v>993</v>
      </c>
      <c r="BC455" s="243">
        <f t="shared" si="535"/>
        <v>0</v>
      </c>
      <c r="BD455" s="243">
        <f t="shared" si="536"/>
        <v>0</v>
      </c>
      <c r="BE455" s="243">
        <v>0</v>
      </c>
      <c r="BF455" s="243">
        <f>455</f>
        <v>455</v>
      </c>
      <c r="BH455" s="243">
        <f t="shared" si="537"/>
        <v>0</v>
      </c>
      <c r="BI455" s="243">
        <f t="shared" si="538"/>
        <v>0</v>
      </c>
      <c r="BJ455" s="243">
        <f t="shared" si="539"/>
        <v>0</v>
      </c>
      <c r="BK455" s="243"/>
      <c r="BL455" s="243">
        <v>0</v>
      </c>
      <c r="BW455" s="243">
        <v>21</v>
      </c>
    </row>
    <row r="456" spans="1:75" ht="13.5" customHeight="1">
      <c r="A456" s="207" t="s">
        <v>988</v>
      </c>
      <c r="B456" s="208" t="s">
        <v>990</v>
      </c>
      <c r="C456" s="208" t="s">
        <v>71</v>
      </c>
      <c r="D456" s="268" t="s">
        <v>72</v>
      </c>
      <c r="E456" s="260"/>
      <c r="F456" s="208" t="s">
        <v>58</v>
      </c>
      <c r="G456" s="243">
        <v>1</v>
      </c>
      <c r="H456" s="244">
        <v>0</v>
      </c>
      <c r="I456" s="244">
        <f t="shared" si="520"/>
        <v>0</v>
      </c>
      <c r="K456" s="231"/>
      <c r="Z456" s="243">
        <f t="shared" si="521"/>
        <v>0</v>
      </c>
      <c r="AB456" s="243">
        <f t="shared" si="522"/>
        <v>0</v>
      </c>
      <c r="AC456" s="243">
        <f t="shared" si="523"/>
        <v>0</v>
      </c>
      <c r="AD456" s="243">
        <f t="shared" si="524"/>
        <v>0</v>
      </c>
      <c r="AE456" s="243">
        <f t="shared" si="525"/>
        <v>0</v>
      </c>
      <c r="AF456" s="243">
        <f t="shared" si="526"/>
        <v>0</v>
      </c>
      <c r="AG456" s="243">
        <f t="shared" si="527"/>
        <v>0</v>
      </c>
      <c r="AH456" s="243">
        <f t="shared" si="528"/>
        <v>0</v>
      </c>
      <c r="AI456" s="232" t="s">
        <v>990</v>
      </c>
      <c r="AJ456" s="243">
        <f t="shared" si="529"/>
        <v>0</v>
      </c>
      <c r="AK456" s="243">
        <f t="shared" si="530"/>
        <v>0</v>
      </c>
      <c r="AL456" s="243">
        <f t="shared" si="531"/>
        <v>0</v>
      </c>
      <c r="AN456" s="243">
        <v>21</v>
      </c>
      <c r="AO456" s="243">
        <f>H456*0.632508123680949</f>
        <v>0</v>
      </c>
      <c r="AP456" s="243">
        <f>H456*(1-0.632508123680949)</f>
        <v>0</v>
      </c>
      <c r="AQ456" s="245" t="s">
        <v>553</v>
      </c>
      <c r="AV456" s="243">
        <f t="shared" si="532"/>
        <v>0</v>
      </c>
      <c r="AW456" s="243">
        <f t="shared" si="533"/>
        <v>0</v>
      </c>
      <c r="AX456" s="243">
        <f t="shared" si="534"/>
        <v>0</v>
      </c>
      <c r="AY456" s="245" t="s">
        <v>574</v>
      </c>
      <c r="AZ456" s="245" t="s">
        <v>992</v>
      </c>
      <c r="BA456" s="232" t="s">
        <v>993</v>
      </c>
      <c r="BC456" s="243">
        <f t="shared" si="535"/>
        <v>0</v>
      </c>
      <c r="BD456" s="243">
        <f t="shared" si="536"/>
        <v>0</v>
      </c>
      <c r="BE456" s="243">
        <v>0</v>
      </c>
      <c r="BF456" s="243">
        <f>456</f>
        <v>456</v>
      </c>
      <c r="BH456" s="243">
        <f t="shared" si="537"/>
        <v>0</v>
      </c>
      <c r="BI456" s="243">
        <f t="shared" si="538"/>
        <v>0</v>
      </c>
      <c r="BJ456" s="243">
        <f t="shared" si="539"/>
        <v>0</v>
      </c>
      <c r="BK456" s="243"/>
      <c r="BL456" s="243">
        <v>0</v>
      </c>
      <c r="BW456" s="243">
        <v>21</v>
      </c>
    </row>
    <row r="457" spans="1:75" ht="13.5" customHeight="1">
      <c r="A457" s="207" t="s">
        <v>991</v>
      </c>
      <c r="B457" s="208" t="s">
        <v>990</v>
      </c>
      <c r="C457" s="208" t="s">
        <v>66</v>
      </c>
      <c r="D457" s="268" t="s">
        <v>67</v>
      </c>
      <c r="E457" s="260"/>
      <c r="F457" s="208" t="s">
        <v>68</v>
      </c>
      <c r="G457" s="243">
        <v>1</v>
      </c>
      <c r="H457" s="244">
        <v>0</v>
      </c>
      <c r="I457" s="244">
        <f t="shared" si="520"/>
        <v>0</v>
      </c>
      <c r="K457" s="231"/>
      <c r="Z457" s="243">
        <f t="shared" si="521"/>
        <v>0</v>
      </c>
      <c r="AB457" s="243">
        <f t="shared" si="522"/>
        <v>0</v>
      </c>
      <c r="AC457" s="243">
        <f t="shared" si="523"/>
        <v>0</v>
      </c>
      <c r="AD457" s="243">
        <f t="shared" si="524"/>
        <v>0</v>
      </c>
      <c r="AE457" s="243">
        <f t="shared" si="525"/>
        <v>0</v>
      </c>
      <c r="AF457" s="243">
        <f t="shared" si="526"/>
        <v>0</v>
      </c>
      <c r="AG457" s="243">
        <f t="shared" si="527"/>
        <v>0</v>
      </c>
      <c r="AH457" s="243">
        <f t="shared" si="528"/>
        <v>0</v>
      </c>
      <c r="AI457" s="232" t="s">
        <v>990</v>
      </c>
      <c r="AJ457" s="243">
        <f t="shared" si="529"/>
        <v>0</v>
      </c>
      <c r="AK457" s="243">
        <f t="shared" si="530"/>
        <v>0</v>
      </c>
      <c r="AL457" s="243">
        <f t="shared" si="531"/>
        <v>0</v>
      </c>
      <c r="AN457" s="243">
        <v>21</v>
      </c>
      <c r="AO457" s="243">
        <f>H457*0</f>
        <v>0</v>
      </c>
      <c r="AP457" s="243">
        <f>H457*(1-0)</f>
        <v>0</v>
      </c>
      <c r="AQ457" s="245" t="s">
        <v>553</v>
      </c>
      <c r="AV457" s="243">
        <f t="shared" si="532"/>
        <v>0</v>
      </c>
      <c r="AW457" s="243">
        <f t="shared" si="533"/>
        <v>0</v>
      </c>
      <c r="AX457" s="243">
        <f t="shared" si="534"/>
        <v>0</v>
      </c>
      <c r="AY457" s="245" t="s">
        <v>574</v>
      </c>
      <c r="AZ457" s="245" t="s">
        <v>992</v>
      </c>
      <c r="BA457" s="232" t="s">
        <v>993</v>
      </c>
      <c r="BC457" s="243">
        <f t="shared" si="535"/>
        <v>0</v>
      </c>
      <c r="BD457" s="243">
        <f t="shared" si="536"/>
        <v>0</v>
      </c>
      <c r="BE457" s="243">
        <v>0</v>
      </c>
      <c r="BF457" s="243">
        <f>457</f>
        <v>457</v>
      </c>
      <c r="BH457" s="243">
        <f t="shared" si="537"/>
        <v>0</v>
      </c>
      <c r="BI457" s="243">
        <f t="shared" si="538"/>
        <v>0</v>
      </c>
      <c r="BJ457" s="243">
        <f t="shared" si="539"/>
        <v>0</v>
      </c>
      <c r="BK457" s="243"/>
      <c r="BL457" s="243">
        <v>0</v>
      </c>
      <c r="BW457" s="243">
        <v>21</v>
      </c>
    </row>
    <row r="458" spans="1:75" ht="13.5" customHeight="1">
      <c r="A458" s="207" t="s">
        <v>994</v>
      </c>
      <c r="B458" s="208" t="s">
        <v>990</v>
      </c>
      <c r="C458" s="208" t="s">
        <v>124</v>
      </c>
      <c r="D458" s="268" t="s">
        <v>125</v>
      </c>
      <c r="E458" s="260"/>
      <c r="F458" s="208" t="s">
        <v>123</v>
      </c>
      <c r="G458" s="243">
        <v>1.04924</v>
      </c>
      <c r="H458" s="244">
        <v>0</v>
      </c>
      <c r="I458" s="244">
        <f t="shared" si="520"/>
        <v>0</v>
      </c>
      <c r="K458" s="231"/>
      <c r="Z458" s="243">
        <f t="shared" si="521"/>
        <v>0</v>
      </c>
      <c r="AB458" s="243">
        <f t="shared" si="522"/>
        <v>0</v>
      </c>
      <c r="AC458" s="243">
        <f t="shared" si="523"/>
        <v>0</v>
      </c>
      <c r="AD458" s="243">
        <f t="shared" si="524"/>
        <v>0</v>
      </c>
      <c r="AE458" s="243">
        <f t="shared" si="525"/>
        <v>0</v>
      </c>
      <c r="AF458" s="243">
        <f t="shared" si="526"/>
        <v>0</v>
      </c>
      <c r="AG458" s="243">
        <f t="shared" si="527"/>
        <v>0</v>
      </c>
      <c r="AH458" s="243">
        <f t="shared" si="528"/>
        <v>0</v>
      </c>
      <c r="AI458" s="232" t="s">
        <v>990</v>
      </c>
      <c r="AJ458" s="243">
        <f t="shared" si="529"/>
        <v>0</v>
      </c>
      <c r="AK458" s="243">
        <f t="shared" si="530"/>
        <v>0</v>
      </c>
      <c r="AL458" s="243">
        <f t="shared" si="531"/>
        <v>0</v>
      </c>
      <c r="AN458" s="243">
        <v>21</v>
      </c>
      <c r="AO458" s="243">
        <f>H458*0</f>
        <v>0</v>
      </c>
      <c r="AP458" s="243">
        <f>H458*(1-0)</f>
        <v>0</v>
      </c>
      <c r="AQ458" s="245" t="s">
        <v>564</v>
      </c>
      <c r="AV458" s="243">
        <f t="shared" si="532"/>
        <v>0</v>
      </c>
      <c r="AW458" s="243">
        <f t="shared" si="533"/>
        <v>0</v>
      </c>
      <c r="AX458" s="243">
        <f t="shared" si="534"/>
        <v>0</v>
      </c>
      <c r="AY458" s="245" t="s">
        <v>574</v>
      </c>
      <c r="AZ458" s="245" t="s">
        <v>992</v>
      </c>
      <c r="BA458" s="232" t="s">
        <v>993</v>
      </c>
      <c r="BC458" s="243">
        <f t="shared" si="535"/>
        <v>0</v>
      </c>
      <c r="BD458" s="243">
        <f t="shared" si="536"/>
        <v>0</v>
      </c>
      <c r="BE458" s="243">
        <v>0</v>
      </c>
      <c r="BF458" s="243">
        <f>458</f>
        <v>458</v>
      </c>
      <c r="BH458" s="243">
        <f t="shared" si="537"/>
        <v>0</v>
      </c>
      <c r="BI458" s="243">
        <f t="shared" si="538"/>
        <v>0</v>
      </c>
      <c r="BJ458" s="243">
        <f t="shared" si="539"/>
        <v>0</v>
      </c>
      <c r="BK458" s="243"/>
      <c r="BL458" s="243">
        <v>0</v>
      </c>
      <c r="BW458" s="243">
        <v>21</v>
      </c>
    </row>
    <row r="459" spans="1:75" ht="13.5" customHeight="1">
      <c r="A459" s="207" t="s">
        <v>995</v>
      </c>
      <c r="B459" s="208" t="s">
        <v>990</v>
      </c>
      <c r="C459" s="208" t="s">
        <v>121</v>
      </c>
      <c r="D459" s="268" t="s">
        <v>122</v>
      </c>
      <c r="E459" s="260"/>
      <c r="F459" s="208" t="s">
        <v>123</v>
      </c>
      <c r="G459" s="243">
        <v>1.04925</v>
      </c>
      <c r="H459" s="244">
        <v>0</v>
      </c>
      <c r="I459" s="244">
        <f t="shared" si="520"/>
        <v>0</v>
      </c>
      <c r="K459" s="231"/>
      <c r="Z459" s="243">
        <f t="shared" si="521"/>
        <v>0</v>
      </c>
      <c r="AB459" s="243">
        <f t="shared" si="522"/>
        <v>0</v>
      </c>
      <c r="AC459" s="243">
        <f t="shared" si="523"/>
        <v>0</v>
      </c>
      <c r="AD459" s="243">
        <f t="shared" si="524"/>
        <v>0</v>
      </c>
      <c r="AE459" s="243">
        <f t="shared" si="525"/>
        <v>0</v>
      </c>
      <c r="AF459" s="243">
        <f t="shared" si="526"/>
        <v>0</v>
      </c>
      <c r="AG459" s="243">
        <f t="shared" si="527"/>
        <v>0</v>
      </c>
      <c r="AH459" s="243">
        <f t="shared" si="528"/>
        <v>0</v>
      </c>
      <c r="AI459" s="232" t="s">
        <v>990</v>
      </c>
      <c r="AJ459" s="243">
        <f t="shared" si="529"/>
        <v>0</v>
      </c>
      <c r="AK459" s="243">
        <f t="shared" si="530"/>
        <v>0</v>
      </c>
      <c r="AL459" s="243">
        <f t="shared" si="531"/>
        <v>0</v>
      </c>
      <c r="AN459" s="243">
        <v>21</v>
      </c>
      <c r="AO459" s="243">
        <f>H459*0</f>
        <v>0</v>
      </c>
      <c r="AP459" s="243">
        <f>H459*(1-0)</f>
        <v>0</v>
      </c>
      <c r="AQ459" s="245" t="s">
        <v>564</v>
      </c>
      <c r="AV459" s="243">
        <f t="shared" si="532"/>
        <v>0</v>
      </c>
      <c r="AW459" s="243">
        <f t="shared" si="533"/>
        <v>0</v>
      </c>
      <c r="AX459" s="243">
        <f t="shared" si="534"/>
        <v>0</v>
      </c>
      <c r="AY459" s="245" t="s">
        <v>574</v>
      </c>
      <c r="AZ459" s="245" t="s">
        <v>992</v>
      </c>
      <c r="BA459" s="232" t="s">
        <v>993</v>
      </c>
      <c r="BC459" s="243">
        <f t="shared" si="535"/>
        <v>0</v>
      </c>
      <c r="BD459" s="243">
        <f t="shared" si="536"/>
        <v>0</v>
      </c>
      <c r="BE459" s="243">
        <v>0</v>
      </c>
      <c r="BF459" s="243">
        <f>459</f>
        <v>459</v>
      </c>
      <c r="BH459" s="243">
        <f t="shared" si="537"/>
        <v>0</v>
      </c>
      <c r="BI459" s="243">
        <f t="shared" si="538"/>
        <v>0</v>
      </c>
      <c r="BJ459" s="243">
        <f t="shared" si="539"/>
        <v>0</v>
      </c>
      <c r="BK459" s="243"/>
      <c r="BL459" s="243">
        <v>0</v>
      </c>
      <c r="BW459" s="243">
        <v>21</v>
      </c>
    </row>
    <row r="460" spans="1:75" ht="15" customHeight="1">
      <c r="A460" s="238" t="s">
        <v>21</v>
      </c>
      <c r="B460" s="239" t="s">
        <v>990</v>
      </c>
      <c r="C460" s="239" t="s">
        <v>59</v>
      </c>
      <c r="D460" s="309" t="s">
        <v>60</v>
      </c>
      <c r="E460" s="310"/>
      <c r="F460" s="240" t="s">
        <v>20</v>
      </c>
      <c r="G460" s="240" t="s">
        <v>20</v>
      </c>
      <c r="H460" s="241" t="s">
        <v>20</v>
      </c>
      <c r="I460" s="242">
        <f>SUM(I461:I461)</f>
        <v>0</v>
      </c>
      <c r="K460" s="231"/>
      <c r="AI460" s="232" t="s">
        <v>990</v>
      </c>
      <c r="AS460" s="225">
        <f>SUM(AJ461:AJ461)</f>
        <v>0</v>
      </c>
      <c r="AT460" s="225">
        <f>SUM(AK461:AK461)</f>
        <v>0</v>
      </c>
      <c r="AU460" s="225">
        <f>SUM(AL461:AL461)</f>
        <v>0</v>
      </c>
    </row>
    <row r="461" spans="1:75" ht="13.5" customHeight="1">
      <c r="A461" s="207" t="s">
        <v>996</v>
      </c>
      <c r="B461" s="208" t="s">
        <v>990</v>
      </c>
      <c r="C461" s="208" t="s">
        <v>61</v>
      </c>
      <c r="D461" s="268" t="s">
        <v>62</v>
      </c>
      <c r="E461" s="260"/>
      <c r="F461" s="208" t="s">
        <v>63</v>
      </c>
      <c r="G461" s="243">
        <v>20</v>
      </c>
      <c r="H461" s="244">
        <v>0</v>
      </c>
      <c r="I461" s="244">
        <f>G461*H461</f>
        <v>0</v>
      </c>
      <c r="K461" s="231"/>
      <c r="Z461" s="243">
        <f>IF(AQ461="5",BJ461,0)</f>
        <v>0</v>
      </c>
      <c r="AB461" s="243">
        <f>IF(AQ461="1",BH461,0)</f>
        <v>0</v>
      </c>
      <c r="AC461" s="243">
        <f>IF(AQ461="1",BI461,0)</f>
        <v>0</v>
      </c>
      <c r="AD461" s="243">
        <f>IF(AQ461="7",BH461,0)</f>
        <v>0</v>
      </c>
      <c r="AE461" s="243">
        <f>IF(AQ461="7",BI461,0)</f>
        <v>0</v>
      </c>
      <c r="AF461" s="243">
        <f>IF(AQ461="2",BH461,0)</f>
        <v>0</v>
      </c>
      <c r="AG461" s="243">
        <f>IF(AQ461="2",BI461,0)</f>
        <v>0</v>
      </c>
      <c r="AH461" s="243">
        <f>IF(AQ461="0",BJ461,0)</f>
        <v>0</v>
      </c>
      <c r="AI461" s="232" t="s">
        <v>990</v>
      </c>
      <c r="AJ461" s="243">
        <f>IF(AN461=0,I461,0)</f>
        <v>0</v>
      </c>
      <c r="AK461" s="243">
        <f>IF(AN461=12,I461,0)</f>
        <v>0</v>
      </c>
      <c r="AL461" s="243">
        <f>IF(AN461=21,I461,0)</f>
        <v>0</v>
      </c>
      <c r="AN461" s="243">
        <v>21</v>
      </c>
      <c r="AO461" s="243">
        <f>H461*0</f>
        <v>0</v>
      </c>
      <c r="AP461" s="243">
        <f>H461*(1-0)</f>
        <v>0</v>
      </c>
      <c r="AQ461" s="245" t="s">
        <v>567</v>
      </c>
      <c r="AV461" s="243">
        <f>AW461+AX461</f>
        <v>0</v>
      </c>
      <c r="AW461" s="243">
        <f>G461*AO461</f>
        <v>0</v>
      </c>
      <c r="AX461" s="243">
        <f>G461*AP461</f>
        <v>0</v>
      </c>
      <c r="AY461" s="245" t="s">
        <v>578</v>
      </c>
      <c r="AZ461" s="245" t="s">
        <v>1003</v>
      </c>
      <c r="BA461" s="232" t="s">
        <v>993</v>
      </c>
      <c r="BC461" s="243">
        <f>AW461+AX461</f>
        <v>0</v>
      </c>
      <c r="BD461" s="243">
        <f>H461/(100-BE461)*100</f>
        <v>0</v>
      </c>
      <c r="BE461" s="243">
        <v>0</v>
      </c>
      <c r="BF461" s="243">
        <f>461</f>
        <v>461</v>
      </c>
      <c r="BH461" s="243">
        <f>G461*AO461</f>
        <v>0</v>
      </c>
      <c r="BI461" s="243">
        <f>G461*AP461</f>
        <v>0</v>
      </c>
      <c r="BJ461" s="243">
        <f>G461*H461</f>
        <v>0</v>
      </c>
      <c r="BK461" s="243"/>
      <c r="BL461" s="243">
        <v>713</v>
      </c>
      <c r="BW461" s="243">
        <v>21</v>
      </c>
    </row>
    <row r="462" spans="1:75" ht="15" customHeight="1">
      <c r="A462" s="238" t="s">
        <v>21</v>
      </c>
      <c r="B462" s="239" t="s">
        <v>990</v>
      </c>
      <c r="C462" s="239" t="s">
        <v>126</v>
      </c>
      <c r="D462" s="309" t="s">
        <v>127</v>
      </c>
      <c r="E462" s="310"/>
      <c r="F462" s="240" t="s">
        <v>20</v>
      </c>
      <c r="G462" s="240" t="s">
        <v>20</v>
      </c>
      <c r="H462" s="241" t="s">
        <v>20</v>
      </c>
      <c r="I462" s="242">
        <f>SUM(I463:I474)</f>
        <v>0</v>
      </c>
      <c r="K462" s="231"/>
      <c r="AI462" s="232" t="s">
        <v>990</v>
      </c>
      <c r="AS462" s="225">
        <f>SUM(AJ463:AJ474)</f>
        <v>0</v>
      </c>
      <c r="AT462" s="225">
        <f>SUM(AK463:AK474)</f>
        <v>0</v>
      </c>
      <c r="AU462" s="225">
        <f>SUM(AL463:AL474)</f>
        <v>0</v>
      </c>
    </row>
    <row r="463" spans="1:75" ht="13.5" customHeight="1">
      <c r="A463" s="207" t="s">
        <v>997</v>
      </c>
      <c r="B463" s="208" t="s">
        <v>990</v>
      </c>
      <c r="C463" s="208" t="s">
        <v>357</v>
      </c>
      <c r="D463" s="268" t="s">
        <v>358</v>
      </c>
      <c r="E463" s="260"/>
      <c r="F463" s="208" t="s">
        <v>68</v>
      </c>
      <c r="G463" s="243">
        <v>8</v>
      </c>
      <c r="H463" s="244">
        <v>0</v>
      </c>
      <c r="I463" s="244">
        <f t="shared" ref="I463:I474" si="540">G463*H463</f>
        <v>0</v>
      </c>
      <c r="K463" s="231"/>
      <c r="Z463" s="243">
        <f t="shared" ref="Z463:Z474" si="541">IF(AQ463="5",BJ463,0)</f>
        <v>0</v>
      </c>
      <c r="AB463" s="243">
        <f t="shared" ref="AB463:AB474" si="542">IF(AQ463="1",BH463,0)</f>
        <v>0</v>
      </c>
      <c r="AC463" s="243">
        <f t="shared" ref="AC463:AC474" si="543">IF(AQ463="1",BI463,0)</f>
        <v>0</v>
      </c>
      <c r="AD463" s="243">
        <f t="shared" ref="AD463:AD474" si="544">IF(AQ463="7",BH463,0)</f>
        <v>0</v>
      </c>
      <c r="AE463" s="243">
        <f t="shared" ref="AE463:AE474" si="545">IF(AQ463="7",BI463,0)</f>
        <v>0</v>
      </c>
      <c r="AF463" s="243">
        <f t="shared" ref="AF463:AF474" si="546">IF(AQ463="2",BH463,0)</f>
        <v>0</v>
      </c>
      <c r="AG463" s="243">
        <f t="shared" ref="AG463:AG474" si="547">IF(AQ463="2",BI463,0)</f>
        <v>0</v>
      </c>
      <c r="AH463" s="243">
        <f t="shared" ref="AH463:AH474" si="548">IF(AQ463="0",BJ463,0)</f>
        <v>0</v>
      </c>
      <c r="AI463" s="232" t="s">
        <v>990</v>
      </c>
      <c r="AJ463" s="243">
        <f t="shared" ref="AJ463:AJ474" si="549">IF(AN463=0,I463,0)</f>
        <v>0</v>
      </c>
      <c r="AK463" s="243">
        <f t="shared" ref="AK463:AK474" si="550">IF(AN463=12,I463,0)</f>
        <v>0</v>
      </c>
      <c r="AL463" s="243">
        <f t="shared" ref="AL463:AL474" si="551">IF(AN463=21,I463,0)</f>
        <v>0</v>
      </c>
      <c r="AN463" s="243">
        <v>21</v>
      </c>
      <c r="AO463" s="243">
        <f>H463*0</f>
        <v>0</v>
      </c>
      <c r="AP463" s="243">
        <f>H463*(1-0)</f>
        <v>0</v>
      </c>
      <c r="AQ463" s="245" t="s">
        <v>567</v>
      </c>
      <c r="AV463" s="243">
        <f t="shared" ref="AV463:AV474" si="552">AW463+AX463</f>
        <v>0</v>
      </c>
      <c r="AW463" s="243">
        <f t="shared" ref="AW463:AW474" si="553">G463*AO463</f>
        <v>0</v>
      </c>
      <c r="AX463" s="243">
        <f t="shared" ref="AX463:AX474" si="554">G463*AP463</f>
        <v>0</v>
      </c>
      <c r="AY463" s="245" t="s">
        <v>610</v>
      </c>
      <c r="AZ463" s="245" t="s">
        <v>1005</v>
      </c>
      <c r="BA463" s="232" t="s">
        <v>993</v>
      </c>
      <c r="BC463" s="243">
        <f t="shared" ref="BC463:BC474" si="555">AW463+AX463</f>
        <v>0</v>
      </c>
      <c r="BD463" s="243">
        <f t="shared" ref="BD463:BD474" si="556">H463/(100-BE463)*100</f>
        <v>0</v>
      </c>
      <c r="BE463" s="243">
        <v>0</v>
      </c>
      <c r="BF463" s="243">
        <f>463</f>
        <v>463</v>
      </c>
      <c r="BH463" s="243">
        <f t="shared" ref="BH463:BH474" si="557">G463*AO463</f>
        <v>0</v>
      </c>
      <c r="BI463" s="243">
        <f t="shared" ref="BI463:BI474" si="558">G463*AP463</f>
        <v>0</v>
      </c>
      <c r="BJ463" s="243">
        <f t="shared" ref="BJ463:BJ474" si="559">G463*H463</f>
        <v>0</v>
      </c>
      <c r="BK463" s="243"/>
      <c r="BL463" s="243">
        <v>722</v>
      </c>
      <c r="BW463" s="243">
        <v>21</v>
      </c>
    </row>
    <row r="464" spans="1:75" ht="13.5" customHeight="1">
      <c r="A464" s="207" t="s">
        <v>998</v>
      </c>
      <c r="B464" s="208" t="s">
        <v>990</v>
      </c>
      <c r="C464" s="208" t="s">
        <v>359</v>
      </c>
      <c r="D464" s="268" t="s">
        <v>360</v>
      </c>
      <c r="E464" s="260"/>
      <c r="F464" s="208" t="s">
        <v>63</v>
      </c>
      <c r="G464" s="243">
        <v>8</v>
      </c>
      <c r="H464" s="244">
        <v>0</v>
      </c>
      <c r="I464" s="244">
        <f t="shared" si="540"/>
        <v>0</v>
      </c>
      <c r="K464" s="231"/>
      <c r="Z464" s="243">
        <f t="shared" si="541"/>
        <v>0</v>
      </c>
      <c r="AB464" s="243">
        <f t="shared" si="542"/>
        <v>0</v>
      </c>
      <c r="AC464" s="243">
        <f t="shared" si="543"/>
        <v>0</v>
      </c>
      <c r="AD464" s="243">
        <f t="shared" si="544"/>
        <v>0</v>
      </c>
      <c r="AE464" s="243">
        <f t="shared" si="545"/>
        <v>0</v>
      </c>
      <c r="AF464" s="243">
        <f t="shared" si="546"/>
        <v>0</v>
      </c>
      <c r="AG464" s="243">
        <f t="shared" si="547"/>
        <v>0</v>
      </c>
      <c r="AH464" s="243">
        <f t="shared" si="548"/>
        <v>0</v>
      </c>
      <c r="AI464" s="232" t="s">
        <v>990</v>
      </c>
      <c r="AJ464" s="243">
        <f t="shared" si="549"/>
        <v>0</v>
      </c>
      <c r="AK464" s="243">
        <f t="shared" si="550"/>
        <v>0</v>
      </c>
      <c r="AL464" s="243">
        <f t="shared" si="551"/>
        <v>0</v>
      </c>
      <c r="AN464" s="243">
        <v>21</v>
      </c>
      <c r="AO464" s="243">
        <f>H464*0</f>
        <v>0</v>
      </c>
      <c r="AP464" s="243">
        <f>H464*(1-0)</f>
        <v>0</v>
      </c>
      <c r="AQ464" s="245" t="s">
        <v>567</v>
      </c>
      <c r="AV464" s="243">
        <f t="shared" si="552"/>
        <v>0</v>
      </c>
      <c r="AW464" s="243">
        <f t="shared" si="553"/>
        <v>0</v>
      </c>
      <c r="AX464" s="243">
        <f t="shared" si="554"/>
        <v>0</v>
      </c>
      <c r="AY464" s="245" t="s">
        <v>610</v>
      </c>
      <c r="AZ464" s="245" t="s">
        <v>1005</v>
      </c>
      <c r="BA464" s="232" t="s">
        <v>993</v>
      </c>
      <c r="BC464" s="243">
        <f t="shared" si="555"/>
        <v>0</v>
      </c>
      <c r="BD464" s="243">
        <f t="shared" si="556"/>
        <v>0</v>
      </c>
      <c r="BE464" s="243">
        <v>0</v>
      </c>
      <c r="BF464" s="243">
        <f>464</f>
        <v>464</v>
      </c>
      <c r="BH464" s="243">
        <f t="shared" si="557"/>
        <v>0</v>
      </c>
      <c r="BI464" s="243">
        <f t="shared" si="558"/>
        <v>0</v>
      </c>
      <c r="BJ464" s="243">
        <f t="shared" si="559"/>
        <v>0</v>
      </c>
      <c r="BK464" s="243"/>
      <c r="BL464" s="243">
        <v>722</v>
      </c>
      <c r="BW464" s="243">
        <v>21</v>
      </c>
    </row>
    <row r="465" spans="1:75" ht="13.5" customHeight="1">
      <c r="A465" s="207" t="s">
        <v>999</v>
      </c>
      <c r="B465" s="208" t="s">
        <v>990</v>
      </c>
      <c r="C465" s="208" t="s">
        <v>361</v>
      </c>
      <c r="D465" s="268" t="s">
        <v>362</v>
      </c>
      <c r="E465" s="260"/>
      <c r="F465" s="208" t="s">
        <v>68</v>
      </c>
      <c r="G465" s="243">
        <v>2</v>
      </c>
      <c r="H465" s="244">
        <v>0</v>
      </c>
      <c r="I465" s="244">
        <f t="shared" si="540"/>
        <v>0</v>
      </c>
      <c r="K465" s="231"/>
      <c r="Z465" s="243">
        <f t="shared" si="541"/>
        <v>0</v>
      </c>
      <c r="AB465" s="243">
        <f t="shared" si="542"/>
        <v>0</v>
      </c>
      <c r="AC465" s="243">
        <f t="shared" si="543"/>
        <v>0</v>
      </c>
      <c r="AD465" s="243">
        <f t="shared" si="544"/>
        <v>0</v>
      </c>
      <c r="AE465" s="243">
        <f t="shared" si="545"/>
        <v>0</v>
      </c>
      <c r="AF465" s="243">
        <f t="shared" si="546"/>
        <v>0</v>
      </c>
      <c r="AG465" s="243">
        <f t="shared" si="547"/>
        <v>0</v>
      </c>
      <c r="AH465" s="243">
        <f t="shared" si="548"/>
        <v>0</v>
      </c>
      <c r="AI465" s="232" t="s">
        <v>990</v>
      </c>
      <c r="AJ465" s="243">
        <f t="shared" si="549"/>
        <v>0</v>
      </c>
      <c r="AK465" s="243">
        <f t="shared" si="550"/>
        <v>0</v>
      </c>
      <c r="AL465" s="243">
        <f t="shared" si="551"/>
        <v>0</v>
      </c>
      <c r="AN465" s="243">
        <v>21</v>
      </c>
      <c r="AO465" s="243">
        <f>H465*0.635584415584416</f>
        <v>0</v>
      </c>
      <c r="AP465" s="243">
        <f>H465*(1-0.635584415584416)</f>
        <v>0</v>
      </c>
      <c r="AQ465" s="245" t="s">
        <v>567</v>
      </c>
      <c r="AV465" s="243">
        <f t="shared" si="552"/>
        <v>0</v>
      </c>
      <c r="AW465" s="243">
        <f t="shared" si="553"/>
        <v>0</v>
      </c>
      <c r="AX465" s="243">
        <f t="shared" si="554"/>
        <v>0</v>
      </c>
      <c r="AY465" s="245" t="s">
        <v>610</v>
      </c>
      <c r="AZ465" s="245" t="s">
        <v>1005</v>
      </c>
      <c r="BA465" s="232" t="s">
        <v>993</v>
      </c>
      <c r="BC465" s="243">
        <f t="shared" si="555"/>
        <v>0</v>
      </c>
      <c r="BD465" s="243">
        <f t="shared" si="556"/>
        <v>0</v>
      </c>
      <c r="BE465" s="243">
        <v>0</v>
      </c>
      <c r="BF465" s="243">
        <f>465</f>
        <v>465</v>
      </c>
      <c r="BH465" s="243">
        <f t="shared" si="557"/>
        <v>0</v>
      </c>
      <c r="BI465" s="243">
        <f t="shared" si="558"/>
        <v>0</v>
      </c>
      <c r="BJ465" s="243">
        <f t="shared" si="559"/>
        <v>0</v>
      </c>
      <c r="BK465" s="243"/>
      <c r="BL465" s="243">
        <v>722</v>
      </c>
      <c r="BW465" s="243">
        <v>21</v>
      </c>
    </row>
    <row r="466" spans="1:75" ht="13.5" customHeight="1">
      <c r="A466" s="207" t="s">
        <v>1000</v>
      </c>
      <c r="B466" s="208" t="s">
        <v>990</v>
      </c>
      <c r="C466" s="208" t="s">
        <v>136</v>
      </c>
      <c r="D466" s="268" t="s">
        <v>137</v>
      </c>
      <c r="E466" s="260"/>
      <c r="F466" s="208" t="s">
        <v>63</v>
      </c>
      <c r="G466" s="243">
        <v>8</v>
      </c>
      <c r="H466" s="244">
        <v>0</v>
      </c>
      <c r="I466" s="244">
        <f t="shared" si="540"/>
        <v>0</v>
      </c>
      <c r="K466" s="231"/>
      <c r="Z466" s="243">
        <f t="shared" si="541"/>
        <v>0</v>
      </c>
      <c r="AB466" s="243">
        <f t="shared" si="542"/>
        <v>0</v>
      </c>
      <c r="AC466" s="243">
        <f t="shared" si="543"/>
        <v>0</v>
      </c>
      <c r="AD466" s="243">
        <f t="shared" si="544"/>
        <v>0</v>
      </c>
      <c r="AE466" s="243">
        <f t="shared" si="545"/>
        <v>0</v>
      </c>
      <c r="AF466" s="243">
        <f t="shared" si="546"/>
        <v>0</v>
      </c>
      <c r="AG466" s="243">
        <f t="shared" si="547"/>
        <v>0</v>
      </c>
      <c r="AH466" s="243">
        <f t="shared" si="548"/>
        <v>0</v>
      </c>
      <c r="AI466" s="232" t="s">
        <v>990</v>
      </c>
      <c r="AJ466" s="243">
        <f t="shared" si="549"/>
        <v>0</v>
      </c>
      <c r="AK466" s="243">
        <f t="shared" si="550"/>
        <v>0</v>
      </c>
      <c r="AL466" s="243">
        <f t="shared" si="551"/>
        <v>0</v>
      </c>
      <c r="AN466" s="243">
        <v>21</v>
      </c>
      <c r="AO466" s="243">
        <f>H466*0.388270254929131</f>
        <v>0</v>
      </c>
      <c r="AP466" s="243">
        <f>H466*(1-0.388270254929131)</f>
        <v>0</v>
      </c>
      <c r="AQ466" s="245" t="s">
        <v>567</v>
      </c>
      <c r="AV466" s="243">
        <f t="shared" si="552"/>
        <v>0</v>
      </c>
      <c r="AW466" s="243">
        <f t="shared" si="553"/>
        <v>0</v>
      </c>
      <c r="AX466" s="243">
        <f t="shared" si="554"/>
        <v>0</v>
      </c>
      <c r="AY466" s="245" t="s">
        <v>610</v>
      </c>
      <c r="AZ466" s="245" t="s">
        <v>1005</v>
      </c>
      <c r="BA466" s="232" t="s">
        <v>993</v>
      </c>
      <c r="BC466" s="243">
        <f t="shared" si="555"/>
        <v>0</v>
      </c>
      <c r="BD466" s="243">
        <f t="shared" si="556"/>
        <v>0</v>
      </c>
      <c r="BE466" s="243">
        <v>0</v>
      </c>
      <c r="BF466" s="243">
        <f>466</f>
        <v>466</v>
      </c>
      <c r="BH466" s="243">
        <f t="shared" si="557"/>
        <v>0</v>
      </c>
      <c r="BI466" s="243">
        <f t="shared" si="558"/>
        <v>0</v>
      </c>
      <c r="BJ466" s="243">
        <f t="shared" si="559"/>
        <v>0</v>
      </c>
      <c r="BK466" s="243"/>
      <c r="BL466" s="243">
        <v>722</v>
      </c>
      <c r="BW466" s="243">
        <v>21</v>
      </c>
    </row>
    <row r="467" spans="1:75" ht="13.5" customHeight="1">
      <c r="A467" s="207" t="s">
        <v>1001</v>
      </c>
      <c r="B467" s="208" t="s">
        <v>990</v>
      </c>
      <c r="C467" s="208" t="s">
        <v>143</v>
      </c>
      <c r="D467" s="268" t="s">
        <v>1344</v>
      </c>
      <c r="E467" s="260"/>
      <c r="F467" s="208" t="s">
        <v>63</v>
      </c>
      <c r="G467" s="243">
        <v>4</v>
      </c>
      <c r="H467" s="244">
        <v>0</v>
      </c>
      <c r="I467" s="244">
        <f t="shared" si="540"/>
        <v>0</v>
      </c>
      <c r="K467" s="231"/>
      <c r="Z467" s="243">
        <f t="shared" si="541"/>
        <v>0</v>
      </c>
      <c r="AB467" s="243">
        <f t="shared" si="542"/>
        <v>0</v>
      </c>
      <c r="AC467" s="243">
        <f t="shared" si="543"/>
        <v>0</v>
      </c>
      <c r="AD467" s="243">
        <f t="shared" si="544"/>
        <v>0</v>
      </c>
      <c r="AE467" s="243">
        <f t="shared" si="545"/>
        <v>0</v>
      </c>
      <c r="AF467" s="243">
        <f t="shared" si="546"/>
        <v>0</v>
      </c>
      <c r="AG467" s="243">
        <f t="shared" si="547"/>
        <v>0</v>
      </c>
      <c r="AH467" s="243">
        <f t="shared" si="548"/>
        <v>0</v>
      </c>
      <c r="AI467" s="232" t="s">
        <v>990</v>
      </c>
      <c r="AJ467" s="243">
        <f t="shared" si="549"/>
        <v>0</v>
      </c>
      <c r="AK467" s="243">
        <f t="shared" si="550"/>
        <v>0</v>
      </c>
      <c r="AL467" s="243">
        <f t="shared" si="551"/>
        <v>0</v>
      </c>
      <c r="AN467" s="243">
        <v>21</v>
      </c>
      <c r="AO467" s="243">
        <f>H467*0.628405063291139</f>
        <v>0</v>
      </c>
      <c r="AP467" s="243">
        <f>H467*(1-0.628405063291139)</f>
        <v>0</v>
      </c>
      <c r="AQ467" s="245" t="s">
        <v>567</v>
      </c>
      <c r="AV467" s="243">
        <f t="shared" si="552"/>
        <v>0</v>
      </c>
      <c r="AW467" s="243">
        <f t="shared" si="553"/>
        <v>0</v>
      </c>
      <c r="AX467" s="243">
        <f t="shared" si="554"/>
        <v>0</v>
      </c>
      <c r="AY467" s="245" t="s">
        <v>610</v>
      </c>
      <c r="AZ467" s="245" t="s">
        <v>1005</v>
      </c>
      <c r="BA467" s="232" t="s">
        <v>993</v>
      </c>
      <c r="BC467" s="243">
        <f t="shared" si="555"/>
        <v>0</v>
      </c>
      <c r="BD467" s="243">
        <f t="shared" si="556"/>
        <v>0</v>
      </c>
      <c r="BE467" s="243">
        <v>0</v>
      </c>
      <c r="BF467" s="243">
        <f>467</f>
        <v>467</v>
      </c>
      <c r="BH467" s="243">
        <f t="shared" si="557"/>
        <v>0</v>
      </c>
      <c r="BI467" s="243">
        <f t="shared" si="558"/>
        <v>0</v>
      </c>
      <c r="BJ467" s="243">
        <f t="shared" si="559"/>
        <v>0</v>
      </c>
      <c r="BK467" s="243"/>
      <c r="BL467" s="243">
        <v>722</v>
      </c>
      <c r="BW467" s="243">
        <v>21</v>
      </c>
    </row>
    <row r="468" spans="1:75" ht="13.5" customHeight="1">
      <c r="A468" s="207" t="s">
        <v>1002</v>
      </c>
      <c r="B468" s="208" t="s">
        <v>990</v>
      </c>
      <c r="C468" s="208" t="s">
        <v>364</v>
      </c>
      <c r="D468" s="268" t="s">
        <v>1345</v>
      </c>
      <c r="E468" s="260"/>
      <c r="F468" s="208" t="s">
        <v>63</v>
      </c>
      <c r="G468" s="243">
        <v>4</v>
      </c>
      <c r="H468" s="244">
        <v>0</v>
      </c>
      <c r="I468" s="244">
        <f t="shared" si="540"/>
        <v>0</v>
      </c>
      <c r="K468" s="231"/>
      <c r="Z468" s="243">
        <f t="shared" si="541"/>
        <v>0</v>
      </c>
      <c r="AB468" s="243">
        <f t="shared" si="542"/>
        <v>0</v>
      </c>
      <c r="AC468" s="243">
        <f t="shared" si="543"/>
        <v>0</v>
      </c>
      <c r="AD468" s="243">
        <f t="shared" si="544"/>
        <v>0</v>
      </c>
      <c r="AE468" s="243">
        <f t="shared" si="545"/>
        <v>0</v>
      </c>
      <c r="AF468" s="243">
        <f t="shared" si="546"/>
        <v>0</v>
      </c>
      <c r="AG468" s="243">
        <f t="shared" si="547"/>
        <v>0</v>
      </c>
      <c r="AH468" s="243">
        <f t="shared" si="548"/>
        <v>0</v>
      </c>
      <c r="AI468" s="232" t="s">
        <v>990</v>
      </c>
      <c r="AJ468" s="243">
        <f t="shared" si="549"/>
        <v>0</v>
      </c>
      <c r="AK468" s="243">
        <f t="shared" si="550"/>
        <v>0</v>
      </c>
      <c r="AL468" s="243">
        <f t="shared" si="551"/>
        <v>0</v>
      </c>
      <c r="AN468" s="243">
        <v>21</v>
      </c>
      <c r="AO468" s="243">
        <f>H468*0.373931824584468</f>
        <v>0</v>
      </c>
      <c r="AP468" s="243">
        <f>H468*(1-0.373931824584468)</f>
        <v>0</v>
      </c>
      <c r="AQ468" s="245" t="s">
        <v>567</v>
      </c>
      <c r="AV468" s="243">
        <f t="shared" si="552"/>
        <v>0</v>
      </c>
      <c r="AW468" s="243">
        <f t="shared" si="553"/>
        <v>0</v>
      </c>
      <c r="AX468" s="243">
        <f t="shared" si="554"/>
        <v>0</v>
      </c>
      <c r="AY468" s="245" t="s">
        <v>610</v>
      </c>
      <c r="AZ468" s="245" t="s">
        <v>1005</v>
      </c>
      <c r="BA468" s="232" t="s">
        <v>993</v>
      </c>
      <c r="BC468" s="243">
        <f t="shared" si="555"/>
        <v>0</v>
      </c>
      <c r="BD468" s="243">
        <f t="shared" si="556"/>
        <v>0</v>
      </c>
      <c r="BE468" s="243">
        <v>0</v>
      </c>
      <c r="BF468" s="243">
        <f>468</f>
        <v>468</v>
      </c>
      <c r="BH468" s="243">
        <f t="shared" si="557"/>
        <v>0</v>
      </c>
      <c r="BI468" s="243">
        <f t="shared" si="558"/>
        <v>0</v>
      </c>
      <c r="BJ468" s="243">
        <f t="shared" si="559"/>
        <v>0</v>
      </c>
      <c r="BK468" s="243"/>
      <c r="BL468" s="243">
        <v>722</v>
      </c>
      <c r="BW468" s="243">
        <v>21</v>
      </c>
    </row>
    <row r="469" spans="1:75" ht="13.5" customHeight="1">
      <c r="A469" s="207" t="s">
        <v>1004</v>
      </c>
      <c r="B469" s="208" t="s">
        <v>990</v>
      </c>
      <c r="C469" s="208" t="s">
        <v>366</v>
      </c>
      <c r="D469" s="268" t="s">
        <v>367</v>
      </c>
      <c r="E469" s="260"/>
      <c r="F469" s="208" t="s">
        <v>68</v>
      </c>
      <c r="G469" s="243">
        <v>1</v>
      </c>
      <c r="H469" s="244">
        <v>0</v>
      </c>
      <c r="I469" s="244">
        <f t="shared" si="540"/>
        <v>0</v>
      </c>
      <c r="K469" s="231"/>
      <c r="Z469" s="243">
        <f t="shared" si="541"/>
        <v>0</v>
      </c>
      <c r="AB469" s="243">
        <f t="shared" si="542"/>
        <v>0</v>
      </c>
      <c r="AC469" s="243">
        <f t="shared" si="543"/>
        <v>0</v>
      </c>
      <c r="AD469" s="243">
        <f t="shared" si="544"/>
        <v>0</v>
      </c>
      <c r="AE469" s="243">
        <f t="shared" si="545"/>
        <v>0</v>
      </c>
      <c r="AF469" s="243">
        <f t="shared" si="546"/>
        <v>0</v>
      </c>
      <c r="AG469" s="243">
        <f t="shared" si="547"/>
        <v>0</v>
      </c>
      <c r="AH469" s="243">
        <f t="shared" si="548"/>
        <v>0</v>
      </c>
      <c r="AI469" s="232" t="s">
        <v>990</v>
      </c>
      <c r="AJ469" s="243">
        <f t="shared" si="549"/>
        <v>0</v>
      </c>
      <c r="AK469" s="243">
        <f t="shared" si="550"/>
        <v>0</v>
      </c>
      <c r="AL469" s="243">
        <f t="shared" si="551"/>
        <v>0</v>
      </c>
      <c r="AN469" s="243">
        <v>21</v>
      </c>
      <c r="AO469" s="243">
        <f>H469*0.945809322033898</f>
        <v>0</v>
      </c>
      <c r="AP469" s="243">
        <f>H469*(1-0.945809322033898)</f>
        <v>0</v>
      </c>
      <c r="AQ469" s="245" t="s">
        <v>567</v>
      </c>
      <c r="AV469" s="243">
        <f t="shared" si="552"/>
        <v>0</v>
      </c>
      <c r="AW469" s="243">
        <f t="shared" si="553"/>
        <v>0</v>
      </c>
      <c r="AX469" s="243">
        <f t="shared" si="554"/>
        <v>0</v>
      </c>
      <c r="AY469" s="245" t="s">
        <v>610</v>
      </c>
      <c r="AZ469" s="245" t="s">
        <v>1005</v>
      </c>
      <c r="BA469" s="232" t="s">
        <v>993</v>
      </c>
      <c r="BC469" s="243">
        <f t="shared" si="555"/>
        <v>0</v>
      </c>
      <c r="BD469" s="243">
        <f t="shared" si="556"/>
        <v>0</v>
      </c>
      <c r="BE469" s="243">
        <v>0</v>
      </c>
      <c r="BF469" s="243">
        <f>469</f>
        <v>469</v>
      </c>
      <c r="BH469" s="243">
        <f t="shared" si="557"/>
        <v>0</v>
      </c>
      <c r="BI469" s="243">
        <f t="shared" si="558"/>
        <v>0</v>
      </c>
      <c r="BJ469" s="243">
        <f t="shared" si="559"/>
        <v>0</v>
      </c>
      <c r="BK469" s="243"/>
      <c r="BL469" s="243">
        <v>722</v>
      </c>
      <c r="BW469" s="243">
        <v>21</v>
      </c>
    </row>
    <row r="470" spans="1:75" ht="13.5" customHeight="1">
      <c r="A470" s="207" t="s">
        <v>1006</v>
      </c>
      <c r="B470" s="208" t="s">
        <v>990</v>
      </c>
      <c r="C470" s="208" t="s">
        <v>368</v>
      </c>
      <c r="D470" s="268" t="s">
        <v>369</v>
      </c>
      <c r="E470" s="260"/>
      <c r="F470" s="208" t="s">
        <v>68</v>
      </c>
      <c r="G470" s="243">
        <v>1</v>
      </c>
      <c r="H470" s="244">
        <v>0</v>
      </c>
      <c r="I470" s="244">
        <f t="shared" si="540"/>
        <v>0</v>
      </c>
      <c r="K470" s="231"/>
      <c r="Z470" s="243">
        <f t="shared" si="541"/>
        <v>0</v>
      </c>
      <c r="AB470" s="243">
        <f t="shared" si="542"/>
        <v>0</v>
      </c>
      <c r="AC470" s="243">
        <f t="shared" si="543"/>
        <v>0</v>
      </c>
      <c r="AD470" s="243">
        <f t="shared" si="544"/>
        <v>0</v>
      </c>
      <c r="AE470" s="243">
        <f t="shared" si="545"/>
        <v>0</v>
      </c>
      <c r="AF470" s="243">
        <f t="shared" si="546"/>
        <v>0</v>
      </c>
      <c r="AG470" s="243">
        <f t="shared" si="547"/>
        <v>0</v>
      </c>
      <c r="AH470" s="243">
        <f t="shared" si="548"/>
        <v>0</v>
      </c>
      <c r="AI470" s="232" t="s">
        <v>990</v>
      </c>
      <c r="AJ470" s="243">
        <f t="shared" si="549"/>
        <v>0</v>
      </c>
      <c r="AK470" s="243">
        <f t="shared" si="550"/>
        <v>0</v>
      </c>
      <c r="AL470" s="243">
        <f t="shared" si="551"/>
        <v>0</v>
      </c>
      <c r="AN470" s="243">
        <v>21</v>
      </c>
      <c r="AO470" s="243">
        <f>H470*0.963329388560158</f>
        <v>0</v>
      </c>
      <c r="AP470" s="243">
        <f>H470*(1-0.963329388560158)</f>
        <v>0</v>
      </c>
      <c r="AQ470" s="245" t="s">
        <v>567</v>
      </c>
      <c r="AV470" s="243">
        <f t="shared" si="552"/>
        <v>0</v>
      </c>
      <c r="AW470" s="243">
        <f t="shared" si="553"/>
        <v>0</v>
      </c>
      <c r="AX470" s="243">
        <f t="shared" si="554"/>
        <v>0</v>
      </c>
      <c r="AY470" s="245" t="s">
        <v>610</v>
      </c>
      <c r="AZ470" s="245" t="s">
        <v>1005</v>
      </c>
      <c r="BA470" s="232" t="s">
        <v>993</v>
      </c>
      <c r="BC470" s="243">
        <f t="shared" si="555"/>
        <v>0</v>
      </c>
      <c r="BD470" s="243">
        <f t="shared" si="556"/>
        <v>0</v>
      </c>
      <c r="BE470" s="243">
        <v>0</v>
      </c>
      <c r="BF470" s="243">
        <f>470</f>
        <v>470</v>
      </c>
      <c r="BH470" s="243">
        <f t="shared" si="557"/>
        <v>0</v>
      </c>
      <c r="BI470" s="243">
        <f t="shared" si="558"/>
        <v>0</v>
      </c>
      <c r="BJ470" s="243">
        <f t="shared" si="559"/>
        <v>0</v>
      </c>
      <c r="BK470" s="243"/>
      <c r="BL470" s="243">
        <v>722</v>
      </c>
      <c r="BW470" s="243">
        <v>21</v>
      </c>
    </row>
    <row r="471" spans="1:75" ht="13.5" customHeight="1">
      <c r="A471" s="207" t="s">
        <v>1007</v>
      </c>
      <c r="B471" s="208" t="s">
        <v>990</v>
      </c>
      <c r="C471" s="208" t="s">
        <v>149</v>
      </c>
      <c r="D471" s="268" t="s">
        <v>1320</v>
      </c>
      <c r="E471" s="260"/>
      <c r="F471" s="208" t="s">
        <v>68</v>
      </c>
      <c r="G471" s="243">
        <v>4</v>
      </c>
      <c r="H471" s="244">
        <v>0</v>
      </c>
      <c r="I471" s="244">
        <f t="shared" si="540"/>
        <v>0</v>
      </c>
      <c r="K471" s="231"/>
      <c r="Z471" s="243">
        <f t="shared" si="541"/>
        <v>0</v>
      </c>
      <c r="AB471" s="243">
        <f t="shared" si="542"/>
        <v>0</v>
      </c>
      <c r="AC471" s="243">
        <f t="shared" si="543"/>
        <v>0</v>
      </c>
      <c r="AD471" s="243">
        <f t="shared" si="544"/>
        <v>0</v>
      </c>
      <c r="AE471" s="243">
        <f t="shared" si="545"/>
        <v>0</v>
      </c>
      <c r="AF471" s="243">
        <f t="shared" si="546"/>
        <v>0</v>
      </c>
      <c r="AG471" s="243">
        <f t="shared" si="547"/>
        <v>0</v>
      </c>
      <c r="AH471" s="243">
        <f t="shared" si="548"/>
        <v>0</v>
      </c>
      <c r="AI471" s="232" t="s">
        <v>990</v>
      </c>
      <c r="AJ471" s="243">
        <f t="shared" si="549"/>
        <v>0</v>
      </c>
      <c r="AK471" s="243">
        <f t="shared" si="550"/>
        <v>0</v>
      </c>
      <c r="AL471" s="243">
        <f t="shared" si="551"/>
        <v>0</v>
      </c>
      <c r="AN471" s="243">
        <v>21</v>
      </c>
      <c r="AO471" s="243">
        <f>H471*0.767472727272727</f>
        <v>0</v>
      </c>
      <c r="AP471" s="243">
        <f>H471*(1-0.767472727272727)</f>
        <v>0</v>
      </c>
      <c r="AQ471" s="245" t="s">
        <v>567</v>
      </c>
      <c r="AV471" s="243">
        <f t="shared" si="552"/>
        <v>0</v>
      </c>
      <c r="AW471" s="243">
        <f t="shared" si="553"/>
        <v>0</v>
      </c>
      <c r="AX471" s="243">
        <f t="shared" si="554"/>
        <v>0</v>
      </c>
      <c r="AY471" s="245" t="s">
        <v>610</v>
      </c>
      <c r="AZ471" s="245" t="s">
        <v>1005</v>
      </c>
      <c r="BA471" s="232" t="s">
        <v>993</v>
      </c>
      <c r="BC471" s="243">
        <f t="shared" si="555"/>
        <v>0</v>
      </c>
      <c r="BD471" s="243">
        <f t="shared" si="556"/>
        <v>0</v>
      </c>
      <c r="BE471" s="243">
        <v>0</v>
      </c>
      <c r="BF471" s="243">
        <f>471</f>
        <v>471</v>
      </c>
      <c r="BH471" s="243">
        <f t="shared" si="557"/>
        <v>0</v>
      </c>
      <c r="BI471" s="243">
        <f t="shared" si="558"/>
        <v>0</v>
      </c>
      <c r="BJ471" s="243">
        <f t="shared" si="559"/>
        <v>0</v>
      </c>
      <c r="BK471" s="243"/>
      <c r="BL471" s="243">
        <v>722</v>
      </c>
      <c r="BW471" s="243">
        <v>21</v>
      </c>
    </row>
    <row r="472" spans="1:75" ht="13.5" customHeight="1">
      <c r="A472" s="207" t="s">
        <v>1008</v>
      </c>
      <c r="B472" s="208" t="s">
        <v>990</v>
      </c>
      <c r="C472" s="208" t="s">
        <v>370</v>
      </c>
      <c r="D472" s="268" t="s">
        <v>1346</v>
      </c>
      <c r="E472" s="260"/>
      <c r="F472" s="208" t="s">
        <v>68</v>
      </c>
      <c r="G472" s="243">
        <v>1</v>
      </c>
      <c r="H472" s="244">
        <v>0</v>
      </c>
      <c r="I472" s="244">
        <f t="shared" si="540"/>
        <v>0</v>
      </c>
      <c r="K472" s="231"/>
      <c r="Z472" s="243">
        <f t="shared" si="541"/>
        <v>0</v>
      </c>
      <c r="AB472" s="243">
        <f t="shared" si="542"/>
        <v>0</v>
      </c>
      <c r="AC472" s="243">
        <f t="shared" si="543"/>
        <v>0</v>
      </c>
      <c r="AD472" s="243">
        <f t="shared" si="544"/>
        <v>0</v>
      </c>
      <c r="AE472" s="243">
        <f t="shared" si="545"/>
        <v>0</v>
      </c>
      <c r="AF472" s="243">
        <f t="shared" si="546"/>
        <v>0</v>
      </c>
      <c r="AG472" s="243">
        <f t="shared" si="547"/>
        <v>0</v>
      </c>
      <c r="AH472" s="243">
        <f t="shared" si="548"/>
        <v>0</v>
      </c>
      <c r="AI472" s="232" t="s">
        <v>990</v>
      </c>
      <c r="AJ472" s="243">
        <f t="shared" si="549"/>
        <v>0</v>
      </c>
      <c r="AK472" s="243">
        <f t="shared" si="550"/>
        <v>0</v>
      </c>
      <c r="AL472" s="243">
        <f t="shared" si="551"/>
        <v>0</v>
      </c>
      <c r="AN472" s="243">
        <v>21</v>
      </c>
      <c r="AO472" s="243">
        <f>H472*0.869366700715015</f>
        <v>0</v>
      </c>
      <c r="AP472" s="243">
        <f>H472*(1-0.869366700715015)</f>
        <v>0</v>
      </c>
      <c r="AQ472" s="245" t="s">
        <v>567</v>
      </c>
      <c r="AV472" s="243">
        <f t="shared" si="552"/>
        <v>0</v>
      </c>
      <c r="AW472" s="243">
        <f t="shared" si="553"/>
        <v>0</v>
      </c>
      <c r="AX472" s="243">
        <f t="shared" si="554"/>
        <v>0</v>
      </c>
      <c r="AY472" s="245" t="s">
        <v>610</v>
      </c>
      <c r="AZ472" s="245" t="s">
        <v>1005</v>
      </c>
      <c r="BA472" s="232" t="s">
        <v>993</v>
      </c>
      <c r="BC472" s="243">
        <f t="shared" si="555"/>
        <v>0</v>
      </c>
      <c r="BD472" s="243">
        <f t="shared" si="556"/>
        <v>0</v>
      </c>
      <c r="BE472" s="243">
        <v>0</v>
      </c>
      <c r="BF472" s="243">
        <f>472</f>
        <v>472</v>
      </c>
      <c r="BH472" s="243">
        <f t="shared" si="557"/>
        <v>0</v>
      </c>
      <c r="BI472" s="243">
        <f t="shared" si="558"/>
        <v>0</v>
      </c>
      <c r="BJ472" s="243">
        <f t="shared" si="559"/>
        <v>0</v>
      </c>
      <c r="BK472" s="243"/>
      <c r="BL472" s="243">
        <v>722</v>
      </c>
      <c r="BW472" s="243">
        <v>21</v>
      </c>
    </row>
    <row r="473" spans="1:75" ht="13.5" customHeight="1">
      <c r="A473" s="207" t="s">
        <v>1009</v>
      </c>
      <c r="B473" s="208" t="s">
        <v>990</v>
      </c>
      <c r="C473" s="208" t="s">
        <v>372</v>
      </c>
      <c r="D473" s="268" t="s">
        <v>1347</v>
      </c>
      <c r="E473" s="260"/>
      <c r="F473" s="208" t="s">
        <v>68</v>
      </c>
      <c r="G473" s="243">
        <v>1</v>
      </c>
      <c r="H473" s="244">
        <v>0</v>
      </c>
      <c r="I473" s="244">
        <f t="shared" si="540"/>
        <v>0</v>
      </c>
      <c r="K473" s="231"/>
      <c r="Z473" s="243">
        <f t="shared" si="541"/>
        <v>0</v>
      </c>
      <c r="AB473" s="243">
        <f t="shared" si="542"/>
        <v>0</v>
      </c>
      <c r="AC473" s="243">
        <f t="shared" si="543"/>
        <v>0</v>
      </c>
      <c r="AD473" s="243">
        <f t="shared" si="544"/>
        <v>0</v>
      </c>
      <c r="AE473" s="243">
        <f t="shared" si="545"/>
        <v>0</v>
      </c>
      <c r="AF473" s="243">
        <f t="shared" si="546"/>
        <v>0</v>
      </c>
      <c r="AG473" s="243">
        <f t="shared" si="547"/>
        <v>0</v>
      </c>
      <c r="AH473" s="243">
        <f t="shared" si="548"/>
        <v>0</v>
      </c>
      <c r="AI473" s="232" t="s">
        <v>990</v>
      </c>
      <c r="AJ473" s="243">
        <f t="shared" si="549"/>
        <v>0</v>
      </c>
      <c r="AK473" s="243">
        <f t="shared" si="550"/>
        <v>0</v>
      </c>
      <c r="AL473" s="243">
        <f t="shared" si="551"/>
        <v>0</v>
      </c>
      <c r="AN473" s="243">
        <v>21</v>
      </c>
      <c r="AO473" s="243">
        <f>H473*0.767894736842105</f>
        <v>0</v>
      </c>
      <c r="AP473" s="243">
        <f>H473*(1-0.767894736842105)</f>
        <v>0</v>
      </c>
      <c r="AQ473" s="245" t="s">
        <v>567</v>
      </c>
      <c r="AV473" s="243">
        <f t="shared" si="552"/>
        <v>0</v>
      </c>
      <c r="AW473" s="243">
        <f t="shared" si="553"/>
        <v>0</v>
      </c>
      <c r="AX473" s="243">
        <f t="shared" si="554"/>
        <v>0</v>
      </c>
      <c r="AY473" s="245" t="s">
        <v>610</v>
      </c>
      <c r="AZ473" s="245" t="s">
        <v>1005</v>
      </c>
      <c r="BA473" s="232" t="s">
        <v>993</v>
      </c>
      <c r="BC473" s="243">
        <f t="shared" si="555"/>
        <v>0</v>
      </c>
      <c r="BD473" s="243">
        <f t="shared" si="556"/>
        <v>0</v>
      </c>
      <c r="BE473" s="243">
        <v>0</v>
      </c>
      <c r="BF473" s="243">
        <f>473</f>
        <v>473</v>
      </c>
      <c r="BH473" s="243">
        <f t="shared" si="557"/>
        <v>0</v>
      </c>
      <c r="BI473" s="243">
        <f t="shared" si="558"/>
        <v>0</v>
      </c>
      <c r="BJ473" s="243">
        <f t="shared" si="559"/>
        <v>0</v>
      </c>
      <c r="BK473" s="243"/>
      <c r="BL473" s="243">
        <v>722</v>
      </c>
      <c r="BW473" s="243">
        <v>21</v>
      </c>
    </row>
    <row r="474" spans="1:75" ht="13.5" customHeight="1">
      <c r="A474" s="207" t="s">
        <v>1010</v>
      </c>
      <c r="B474" s="208" t="s">
        <v>990</v>
      </c>
      <c r="C474" s="208" t="s">
        <v>156</v>
      </c>
      <c r="D474" s="268" t="s">
        <v>1369</v>
      </c>
      <c r="E474" s="260"/>
      <c r="F474" s="208" t="s">
        <v>68</v>
      </c>
      <c r="G474" s="243">
        <v>1</v>
      </c>
      <c r="H474" s="244">
        <v>0</v>
      </c>
      <c r="I474" s="244">
        <f t="shared" si="540"/>
        <v>0</v>
      </c>
      <c r="K474" s="231"/>
      <c r="Z474" s="243">
        <f t="shared" si="541"/>
        <v>0</v>
      </c>
      <c r="AB474" s="243">
        <f t="shared" si="542"/>
        <v>0</v>
      </c>
      <c r="AC474" s="243">
        <f t="shared" si="543"/>
        <v>0</v>
      </c>
      <c r="AD474" s="243">
        <f t="shared" si="544"/>
        <v>0</v>
      </c>
      <c r="AE474" s="243">
        <f t="shared" si="545"/>
        <v>0</v>
      </c>
      <c r="AF474" s="243">
        <f t="shared" si="546"/>
        <v>0</v>
      </c>
      <c r="AG474" s="243">
        <f t="shared" si="547"/>
        <v>0</v>
      </c>
      <c r="AH474" s="243">
        <f t="shared" si="548"/>
        <v>0</v>
      </c>
      <c r="AI474" s="232" t="s">
        <v>990</v>
      </c>
      <c r="AJ474" s="243">
        <f t="shared" si="549"/>
        <v>0</v>
      </c>
      <c r="AK474" s="243">
        <f t="shared" si="550"/>
        <v>0</v>
      </c>
      <c r="AL474" s="243">
        <f t="shared" si="551"/>
        <v>0</v>
      </c>
      <c r="AN474" s="243">
        <v>21</v>
      </c>
      <c r="AO474" s="243">
        <f>H474*0.901698693312836</f>
        <v>0</v>
      </c>
      <c r="AP474" s="243">
        <f>H474*(1-0.901698693312836)</f>
        <v>0</v>
      </c>
      <c r="AQ474" s="245" t="s">
        <v>567</v>
      </c>
      <c r="AV474" s="243">
        <f t="shared" si="552"/>
        <v>0</v>
      </c>
      <c r="AW474" s="243">
        <f t="shared" si="553"/>
        <v>0</v>
      </c>
      <c r="AX474" s="243">
        <f t="shared" si="554"/>
        <v>0</v>
      </c>
      <c r="AY474" s="245" t="s">
        <v>610</v>
      </c>
      <c r="AZ474" s="245" t="s">
        <v>1005</v>
      </c>
      <c r="BA474" s="232" t="s">
        <v>993</v>
      </c>
      <c r="BC474" s="243">
        <f t="shared" si="555"/>
        <v>0</v>
      </c>
      <c r="BD474" s="243">
        <f t="shared" si="556"/>
        <v>0</v>
      </c>
      <c r="BE474" s="243">
        <v>0</v>
      </c>
      <c r="BF474" s="243">
        <f>474</f>
        <v>474</v>
      </c>
      <c r="BH474" s="243">
        <f t="shared" si="557"/>
        <v>0</v>
      </c>
      <c r="BI474" s="243">
        <f t="shared" si="558"/>
        <v>0</v>
      </c>
      <c r="BJ474" s="243">
        <f t="shared" si="559"/>
        <v>0</v>
      </c>
      <c r="BK474" s="243"/>
      <c r="BL474" s="243">
        <v>722</v>
      </c>
      <c r="BW474" s="243">
        <v>21</v>
      </c>
    </row>
    <row r="475" spans="1:75" ht="15" customHeight="1">
      <c r="A475" s="238" t="s">
        <v>21</v>
      </c>
      <c r="B475" s="239" t="s">
        <v>990</v>
      </c>
      <c r="C475" s="239" t="s">
        <v>380</v>
      </c>
      <c r="D475" s="309" t="s">
        <v>381</v>
      </c>
      <c r="E475" s="310"/>
      <c r="F475" s="240" t="s">
        <v>20</v>
      </c>
      <c r="G475" s="240" t="s">
        <v>20</v>
      </c>
      <c r="H475" s="241" t="s">
        <v>20</v>
      </c>
      <c r="I475" s="242">
        <f>SUM(I476:I476)</f>
        <v>0</v>
      </c>
      <c r="K475" s="231"/>
      <c r="AI475" s="232" t="s">
        <v>990</v>
      </c>
      <c r="AS475" s="225">
        <f>SUM(AJ476:AJ476)</f>
        <v>0</v>
      </c>
      <c r="AT475" s="225">
        <f>SUM(AK476:AK476)</f>
        <v>0</v>
      </c>
      <c r="AU475" s="225">
        <f>SUM(AL476:AL476)</f>
        <v>0</v>
      </c>
    </row>
    <row r="476" spans="1:75" ht="13.5" customHeight="1">
      <c r="A476" s="207" t="s">
        <v>1011</v>
      </c>
      <c r="B476" s="208" t="s">
        <v>990</v>
      </c>
      <c r="C476" s="208" t="s">
        <v>83</v>
      </c>
      <c r="D476" s="268" t="s">
        <v>255</v>
      </c>
      <c r="E476" s="260"/>
      <c r="F476" s="208" t="s">
        <v>58</v>
      </c>
      <c r="G476" s="243">
        <v>1</v>
      </c>
      <c r="H476" s="244">
        <v>0</v>
      </c>
      <c r="I476" s="244">
        <f>G476*H476</f>
        <v>0</v>
      </c>
      <c r="K476" s="231"/>
      <c r="Z476" s="243">
        <f>IF(AQ476="5",BJ476,0)</f>
        <v>0</v>
      </c>
      <c r="AB476" s="243">
        <f>IF(AQ476="1",BH476,0)</f>
        <v>0</v>
      </c>
      <c r="AC476" s="243">
        <f>IF(AQ476="1",BI476,0)</f>
        <v>0</v>
      </c>
      <c r="AD476" s="243">
        <f>IF(AQ476="7",BH476,0)</f>
        <v>0</v>
      </c>
      <c r="AE476" s="243">
        <f>IF(AQ476="7",BI476,0)</f>
        <v>0</v>
      </c>
      <c r="AF476" s="243">
        <f>IF(AQ476="2",BH476,0)</f>
        <v>0</v>
      </c>
      <c r="AG476" s="243">
        <f>IF(AQ476="2",BI476,0)</f>
        <v>0</v>
      </c>
      <c r="AH476" s="243">
        <f>IF(AQ476="0",BJ476,0)</f>
        <v>0</v>
      </c>
      <c r="AI476" s="232" t="s">
        <v>990</v>
      </c>
      <c r="AJ476" s="243">
        <f>IF(AN476=0,I476,0)</f>
        <v>0</v>
      </c>
      <c r="AK476" s="243">
        <f>IF(AN476=12,I476,0)</f>
        <v>0</v>
      </c>
      <c r="AL476" s="243">
        <f>IF(AN476=21,I476,0)</f>
        <v>0</v>
      </c>
      <c r="AN476" s="243">
        <v>21</v>
      </c>
      <c r="AO476" s="243">
        <f>H476*0.346020761245675</f>
        <v>0</v>
      </c>
      <c r="AP476" s="243">
        <f>H476*(1-0.346020761245675)</f>
        <v>0</v>
      </c>
      <c r="AQ476" s="245" t="s">
        <v>567</v>
      </c>
      <c r="AV476" s="243">
        <f>AW476+AX476</f>
        <v>0</v>
      </c>
      <c r="AW476" s="243">
        <f>G476*AO476</f>
        <v>0</v>
      </c>
      <c r="AX476" s="243">
        <f>G476*AP476</f>
        <v>0</v>
      </c>
      <c r="AY476" s="245" t="s">
        <v>745</v>
      </c>
      <c r="AZ476" s="245" t="s">
        <v>1020</v>
      </c>
      <c r="BA476" s="232" t="s">
        <v>993</v>
      </c>
      <c r="BC476" s="243">
        <f>AW476+AX476</f>
        <v>0</v>
      </c>
      <c r="BD476" s="243">
        <f>H476/(100-BE476)*100</f>
        <v>0</v>
      </c>
      <c r="BE476" s="243">
        <v>0</v>
      </c>
      <c r="BF476" s="243">
        <f>476</f>
        <v>476</v>
      </c>
      <c r="BH476" s="243">
        <f>G476*AO476</f>
        <v>0</v>
      </c>
      <c r="BI476" s="243">
        <f>G476*AP476</f>
        <v>0</v>
      </c>
      <c r="BJ476" s="243">
        <f>G476*H476</f>
        <v>0</v>
      </c>
      <c r="BK476" s="243"/>
      <c r="BL476" s="243">
        <v>73</v>
      </c>
      <c r="BW476" s="243">
        <v>21</v>
      </c>
    </row>
    <row r="477" spans="1:75" ht="15" customHeight="1">
      <c r="A477" s="238" t="s">
        <v>21</v>
      </c>
      <c r="B477" s="239" t="s">
        <v>990</v>
      </c>
      <c r="C477" s="239" t="s">
        <v>64</v>
      </c>
      <c r="D477" s="309" t="s">
        <v>65</v>
      </c>
      <c r="E477" s="310"/>
      <c r="F477" s="240" t="s">
        <v>20</v>
      </c>
      <c r="G477" s="240" t="s">
        <v>20</v>
      </c>
      <c r="H477" s="241" t="s">
        <v>20</v>
      </c>
      <c r="I477" s="242">
        <f>SUM(I478:I484)</f>
        <v>0</v>
      </c>
      <c r="K477" s="231"/>
      <c r="AI477" s="232" t="s">
        <v>990</v>
      </c>
      <c r="AS477" s="225">
        <f>SUM(AJ478:AJ484)</f>
        <v>0</v>
      </c>
      <c r="AT477" s="225">
        <f>SUM(AK478:AK484)</f>
        <v>0</v>
      </c>
      <c r="AU477" s="225">
        <f>SUM(AL478:AL484)</f>
        <v>0</v>
      </c>
    </row>
    <row r="478" spans="1:75" ht="13.5" customHeight="1">
      <c r="A478" s="207" t="s">
        <v>1012</v>
      </c>
      <c r="B478" s="208" t="s">
        <v>990</v>
      </c>
      <c r="C478" s="208" t="s">
        <v>382</v>
      </c>
      <c r="D478" s="268" t="s">
        <v>114</v>
      </c>
      <c r="E478" s="260"/>
      <c r="F478" s="208" t="s">
        <v>58</v>
      </c>
      <c r="G478" s="243">
        <v>11</v>
      </c>
      <c r="H478" s="244">
        <v>0</v>
      </c>
      <c r="I478" s="244">
        <f t="shared" ref="I478:I484" si="560">G478*H478</f>
        <v>0</v>
      </c>
      <c r="K478" s="231"/>
      <c r="Z478" s="243">
        <f t="shared" ref="Z478:Z484" si="561">IF(AQ478="5",BJ478,0)</f>
        <v>0</v>
      </c>
      <c r="AB478" s="243">
        <f t="shared" ref="AB478:AB484" si="562">IF(AQ478="1",BH478,0)</f>
        <v>0</v>
      </c>
      <c r="AC478" s="243">
        <f t="shared" ref="AC478:AC484" si="563">IF(AQ478="1",BI478,0)</f>
        <v>0</v>
      </c>
      <c r="AD478" s="243">
        <f t="shared" ref="AD478:AD484" si="564">IF(AQ478="7",BH478,0)</f>
        <v>0</v>
      </c>
      <c r="AE478" s="243">
        <f t="shared" ref="AE478:AE484" si="565">IF(AQ478="7",BI478,0)</f>
        <v>0</v>
      </c>
      <c r="AF478" s="243">
        <f t="shared" ref="AF478:AF484" si="566">IF(AQ478="2",BH478,0)</f>
        <v>0</v>
      </c>
      <c r="AG478" s="243">
        <f t="shared" ref="AG478:AG484" si="567">IF(AQ478="2",BI478,0)</f>
        <v>0</v>
      </c>
      <c r="AH478" s="243">
        <f t="shared" ref="AH478:AH484" si="568">IF(AQ478="0",BJ478,0)</f>
        <v>0</v>
      </c>
      <c r="AI478" s="232" t="s">
        <v>990</v>
      </c>
      <c r="AJ478" s="243">
        <f t="shared" ref="AJ478:AJ484" si="569">IF(AN478=0,I478,0)</f>
        <v>0</v>
      </c>
      <c r="AK478" s="243">
        <f t="shared" ref="AK478:AK484" si="570">IF(AN478=12,I478,0)</f>
        <v>0</v>
      </c>
      <c r="AL478" s="243">
        <f t="shared" ref="AL478:AL484" si="571">IF(AN478=21,I478,0)</f>
        <v>0</v>
      </c>
      <c r="AN478" s="243">
        <v>21</v>
      </c>
      <c r="AO478" s="243">
        <f>H478*0.658518518518519</f>
        <v>0</v>
      </c>
      <c r="AP478" s="243">
        <f>H478*(1-0.658518518518519)</f>
        <v>0</v>
      </c>
      <c r="AQ478" s="245" t="s">
        <v>567</v>
      </c>
      <c r="AV478" s="243">
        <f t="shared" ref="AV478:AV484" si="572">AW478+AX478</f>
        <v>0</v>
      </c>
      <c r="AW478" s="243">
        <f t="shared" ref="AW478:AW484" si="573">G478*AO478</f>
        <v>0</v>
      </c>
      <c r="AX478" s="243">
        <f t="shared" ref="AX478:AX484" si="574">G478*AP478</f>
        <v>0</v>
      </c>
      <c r="AY478" s="245" t="s">
        <v>580</v>
      </c>
      <c r="AZ478" s="245" t="s">
        <v>1020</v>
      </c>
      <c r="BA478" s="232" t="s">
        <v>993</v>
      </c>
      <c r="BC478" s="243">
        <f t="shared" ref="BC478:BC484" si="575">AW478+AX478</f>
        <v>0</v>
      </c>
      <c r="BD478" s="243">
        <f t="shared" ref="BD478:BD484" si="576">H478/(100-BE478)*100</f>
        <v>0</v>
      </c>
      <c r="BE478" s="243">
        <v>0</v>
      </c>
      <c r="BF478" s="243">
        <f>478</f>
        <v>478</v>
      </c>
      <c r="BH478" s="243">
        <f t="shared" ref="BH478:BH484" si="577">G478*AO478</f>
        <v>0</v>
      </c>
      <c r="BI478" s="243">
        <f t="shared" ref="BI478:BI484" si="578">G478*AP478</f>
        <v>0</v>
      </c>
      <c r="BJ478" s="243">
        <f t="shared" ref="BJ478:BJ484" si="579">G478*H478</f>
        <v>0</v>
      </c>
      <c r="BK478" s="243"/>
      <c r="BL478" s="243">
        <v>732</v>
      </c>
      <c r="BW478" s="243">
        <v>21</v>
      </c>
    </row>
    <row r="479" spans="1:75" ht="13.5" customHeight="1">
      <c r="A479" s="207" t="s">
        <v>1013</v>
      </c>
      <c r="B479" s="208" t="s">
        <v>990</v>
      </c>
      <c r="C479" s="208" t="s">
        <v>383</v>
      </c>
      <c r="D479" s="268" t="s">
        <v>384</v>
      </c>
      <c r="E479" s="260"/>
      <c r="F479" s="208" t="s">
        <v>63</v>
      </c>
      <c r="G479" s="243">
        <v>2</v>
      </c>
      <c r="H479" s="244">
        <v>0</v>
      </c>
      <c r="I479" s="244">
        <f t="shared" si="560"/>
        <v>0</v>
      </c>
      <c r="K479" s="231"/>
      <c r="Z479" s="243">
        <f t="shared" si="561"/>
        <v>0</v>
      </c>
      <c r="AB479" s="243">
        <f t="shared" si="562"/>
        <v>0</v>
      </c>
      <c r="AC479" s="243">
        <f t="shared" si="563"/>
        <v>0</v>
      </c>
      <c r="AD479" s="243">
        <f t="shared" si="564"/>
        <v>0</v>
      </c>
      <c r="AE479" s="243">
        <f t="shared" si="565"/>
        <v>0</v>
      </c>
      <c r="AF479" s="243">
        <f t="shared" si="566"/>
        <v>0</v>
      </c>
      <c r="AG479" s="243">
        <f t="shared" si="567"/>
        <v>0</v>
      </c>
      <c r="AH479" s="243">
        <f t="shared" si="568"/>
        <v>0</v>
      </c>
      <c r="AI479" s="232" t="s">
        <v>990</v>
      </c>
      <c r="AJ479" s="243">
        <f t="shared" si="569"/>
        <v>0</v>
      </c>
      <c r="AK479" s="243">
        <f t="shared" si="570"/>
        <v>0</v>
      </c>
      <c r="AL479" s="243">
        <f t="shared" si="571"/>
        <v>0</v>
      </c>
      <c r="AN479" s="243">
        <v>21</v>
      </c>
      <c r="AO479" s="243">
        <f>H479*0</f>
        <v>0</v>
      </c>
      <c r="AP479" s="243">
        <f>H479*(1-0)</f>
        <v>0</v>
      </c>
      <c r="AQ479" s="245" t="s">
        <v>567</v>
      </c>
      <c r="AV479" s="243">
        <f t="shared" si="572"/>
        <v>0</v>
      </c>
      <c r="AW479" s="243">
        <f t="shared" si="573"/>
        <v>0</v>
      </c>
      <c r="AX479" s="243">
        <f t="shared" si="574"/>
        <v>0</v>
      </c>
      <c r="AY479" s="245" t="s">
        <v>580</v>
      </c>
      <c r="AZ479" s="245" t="s">
        <v>1020</v>
      </c>
      <c r="BA479" s="232" t="s">
        <v>993</v>
      </c>
      <c r="BC479" s="243">
        <f t="shared" si="575"/>
        <v>0</v>
      </c>
      <c r="BD479" s="243">
        <f t="shared" si="576"/>
        <v>0</v>
      </c>
      <c r="BE479" s="243">
        <v>0</v>
      </c>
      <c r="BF479" s="243">
        <f>479</f>
        <v>479</v>
      </c>
      <c r="BH479" s="243">
        <f t="shared" si="577"/>
        <v>0</v>
      </c>
      <c r="BI479" s="243">
        <f t="shared" si="578"/>
        <v>0</v>
      </c>
      <c r="BJ479" s="243">
        <f t="shared" si="579"/>
        <v>0</v>
      </c>
      <c r="BK479" s="243"/>
      <c r="BL479" s="243">
        <v>732</v>
      </c>
      <c r="BW479" s="243">
        <v>21</v>
      </c>
    </row>
    <row r="480" spans="1:75" ht="13.5" customHeight="1">
      <c r="A480" s="207" t="s">
        <v>1014</v>
      </c>
      <c r="B480" s="208" t="s">
        <v>990</v>
      </c>
      <c r="C480" s="208" t="s">
        <v>385</v>
      </c>
      <c r="D480" s="268" t="s">
        <v>386</v>
      </c>
      <c r="E480" s="260"/>
      <c r="F480" s="208" t="s">
        <v>68</v>
      </c>
      <c r="G480" s="243">
        <v>1</v>
      </c>
      <c r="H480" s="244">
        <v>0</v>
      </c>
      <c r="I480" s="244">
        <f t="shared" si="560"/>
        <v>0</v>
      </c>
      <c r="K480" s="231"/>
      <c r="Z480" s="243">
        <f t="shared" si="561"/>
        <v>0</v>
      </c>
      <c r="AB480" s="243">
        <f t="shared" si="562"/>
        <v>0</v>
      </c>
      <c r="AC480" s="243">
        <f t="shared" si="563"/>
        <v>0</v>
      </c>
      <c r="AD480" s="243">
        <f t="shared" si="564"/>
        <v>0</v>
      </c>
      <c r="AE480" s="243">
        <f t="shared" si="565"/>
        <v>0</v>
      </c>
      <c r="AF480" s="243">
        <f t="shared" si="566"/>
        <v>0</v>
      </c>
      <c r="AG480" s="243">
        <f t="shared" si="567"/>
        <v>0</v>
      </c>
      <c r="AH480" s="243">
        <f t="shared" si="568"/>
        <v>0</v>
      </c>
      <c r="AI480" s="232" t="s">
        <v>990</v>
      </c>
      <c r="AJ480" s="243">
        <f t="shared" si="569"/>
        <v>0</v>
      </c>
      <c r="AK480" s="243">
        <f t="shared" si="570"/>
        <v>0</v>
      </c>
      <c r="AL480" s="243">
        <f t="shared" si="571"/>
        <v>0</v>
      </c>
      <c r="AN480" s="243">
        <v>21</v>
      </c>
      <c r="AO480" s="243">
        <f>H480*0.674383346425766</f>
        <v>0</v>
      </c>
      <c r="AP480" s="243">
        <f>H480*(1-0.674383346425766)</f>
        <v>0</v>
      </c>
      <c r="AQ480" s="245" t="s">
        <v>567</v>
      </c>
      <c r="AV480" s="243">
        <f t="shared" si="572"/>
        <v>0</v>
      </c>
      <c r="AW480" s="243">
        <f t="shared" si="573"/>
        <v>0</v>
      </c>
      <c r="AX480" s="243">
        <f t="shared" si="574"/>
        <v>0</v>
      </c>
      <c r="AY480" s="245" t="s">
        <v>580</v>
      </c>
      <c r="AZ480" s="245" t="s">
        <v>1020</v>
      </c>
      <c r="BA480" s="232" t="s">
        <v>993</v>
      </c>
      <c r="BC480" s="243">
        <f t="shared" si="575"/>
        <v>0</v>
      </c>
      <c r="BD480" s="243">
        <f t="shared" si="576"/>
        <v>0</v>
      </c>
      <c r="BE480" s="243">
        <v>0</v>
      </c>
      <c r="BF480" s="243">
        <f>480</f>
        <v>480</v>
      </c>
      <c r="BH480" s="243">
        <f t="shared" si="577"/>
        <v>0</v>
      </c>
      <c r="BI480" s="243">
        <f t="shared" si="578"/>
        <v>0</v>
      </c>
      <c r="BJ480" s="243">
        <f t="shared" si="579"/>
        <v>0</v>
      </c>
      <c r="BK480" s="243"/>
      <c r="BL480" s="243">
        <v>732</v>
      </c>
      <c r="BW480" s="243">
        <v>21</v>
      </c>
    </row>
    <row r="481" spans="1:75" ht="13.5" customHeight="1">
      <c r="A481" s="207" t="s">
        <v>1015</v>
      </c>
      <c r="B481" s="208" t="s">
        <v>990</v>
      </c>
      <c r="C481" s="208" t="s">
        <v>387</v>
      </c>
      <c r="D481" s="268" t="s">
        <v>388</v>
      </c>
      <c r="E481" s="260"/>
      <c r="F481" s="208" t="s">
        <v>68</v>
      </c>
      <c r="G481" s="243">
        <v>2</v>
      </c>
      <c r="H481" s="244">
        <v>0</v>
      </c>
      <c r="I481" s="244">
        <f t="shared" si="560"/>
        <v>0</v>
      </c>
      <c r="K481" s="231"/>
      <c r="Z481" s="243">
        <f t="shared" si="561"/>
        <v>0</v>
      </c>
      <c r="AB481" s="243">
        <f t="shared" si="562"/>
        <v>0</v>
      </c>
      <c r="AC481" s="243">
        <f t="shared" si="563"/>
        <v>0</v>
      </c>
      <c r="AD481" s="243">
        <f t="shared" si="564"/>
        <v>0</v>
      </c>
      <c r="AE481" s="243">
        <f t="shared" si="565"/>
        <v>0</v>
      </c>
      <c r="AF481" s="243">
        <f t="shared" si="566"/>
        <v>0</v>
      </c>
      <c r="AG481" s="243">
        <f t="shared" si="567"/>
        <v>0</v>
      </c>
      <c r="AH481" s="243">
        <f t="shared" si="568"/>
        <v>0</v>
      </c>
      <c r="AI481" s="232" t="s">
        <v>990</v>
      </c>
      <c r="AJ481" s="243">
        <f t="shared" si="569"/>
        <v>0</v>
      </c>
      <c r="AK481" s="243">
        <f t="shared" si="570"/>
        <v>0</v>
      </c>
      <c r="AL481" s="243">
        <f t="shared" si="571"/>
        <v>0</v>
      </c>
      <c r="AN481" s="243">
        <v>21</v>
      </c>
      <c r="AO481" s="243">
        <f>H481*0.532435331230284</f>
        <v>0</v>
      </c>
      <c r="AP481" s="243">
        <f>H481*(1-0.532435331230284)</f>
        <v>0</v>
      </c>
      <c r="AQ481" s="245" t="s">
        <v>567</v>
      </c>
      <c r="AV481" s="243">
        <f t="shared" si="572"/>
        <v>0</v>
      </c>
      <c r="AW481" s="243">
        <f t="shared" si="573"/>
        <v>0</v>
      </c>
      <c r="AX481" s="243">
        <f t="shared" si="574"/>
        <v>0</v>
      </c>
      <c r="AY481" s="245" t="s">
        <v>580</v>
      </c>
      <c r="AZ481" s="245" t="s">
        <v>1020</v>
      </c>
      <c r="BA481" s="232" t="s">
        <v>993</v>
      </c>
      <c r="BC481" s="243">
        <f t="shared" si="575"/>
        <v>0</v>
      </c>
      <c r="BD481" s="243">
        <f t="shared" si="576"/>
        <v>0</v>
      </c>
      <c r="BE481" s="243">
        <v>0</v>
      </c>
      <c r="BF481" s="243">
        <f>481</f>
        <v>481</v>
      </c>
      <c r="BH481" s="243">
        <f t="shared" si="577"/>
        <v>0</v>
      </c>
      <c r="BI481" s="243">
        <f t="shared" si="578"/>
        <v>0</v>
      </c>
      <c r="BJ481" s="243">
        <f t="shared" si="579"/>
        <v>0</v>
      </c>
      <c r="BK481" s="243"/>
      <c r="BL481" s="243">
        <v>732</v>
      </c>
      <c r="BW481" s="243">
        <v>21</v>
      </c>
    </row>
    <row r="482" spans="1:75" ht="13.5" customHeight="1">
      <c r="A482" s="207" t="s">
        <v>1016</v>
      </c>
      <c r="B482" s="208" t="s">
        <v>990</v>
      </c>
      <c r="C482" s="208" t="s">
        <v>179</v>
      </c>
      <c r="D482" s="268" t="s">
        <v>1330</v>
      </c>
      <c r="E482" s="260"/>
      <c r="F482" s="208" t="s">
        <v>21</v>
      </c>
      <c r="G482" s="243">
        <v>1</v>
      </c>
      <c r="H482" s="244">
        <v>0</v>
      </c>
      <c r="I482" s="244">
        <f t="shared" si="560"/>
        <v>0</v>
      </c>
      <c r="K482" s="231"/>
      <c r="Z482" s="243">
        <f t="shared" si="561"/>
        <v>0</v>
      </c>
      <c r="AB482" s="243">
        <f t="shared" si="562"/>
        <v>0</v>
      </c>
      <c r="AC482" s="243">
        <f t="shared" si="563"/>
        <v>0</v>
      </c>
      <c r="AD482" s="243">
        <f t="shared" si="564"/>
        <v>0</v>
      </c>
      <c r="AE482" s="243">
        <f t="shared" si="565"/>
        <v>0</v>
      </c>
      <c r="AF482" s="243">
        <f t="shared" si="566"/>
        <v>0</v>
      </c>
      <c r="AG482" s="243">
        <f t="shared" si="567"/>
        <v>0</v>
      </c>
      <c r="AH482" s="243">
        <f t="shared" si="568"/>
        <v>0</v>
      </c>
      <c r="AI482" s="232" t="s">
        <v>990</v>
      </c>
      <c r="AJ482" s="243">
        <f t="shared" si="569"/>
        <v>0</v>
      </c>
      <c r="AK482" s="243">
        <f t="shared" si="570"/>
        <v>0</v>
      </c>
      <c r="AL482" s="243">
        <f t="shared" si="571"/>
        <v>0</v>
      </c>
      <c r="AN482" s="243">
        <v>21</v>
      </c>
      <c r="AO482" s="243">
        <f>H482*0.974240082431736</f>
        <v>0</v>
      </c>
      <c r="AP482" s="243">
        <f>H482*(1-0.974240082431736)</f>
        <v>0</v>
      </c>
      <c r="AQ482" s="245" t="s">
        <v>567</v>
      </c>
      <c r="AV482" s="243">
        <f t="shared" si="572"/>
        <v>0</v>
      </c>
      <c r="AW482" s="243">
        <f t="shared" si="573"/>
        <v>0</v>
      </c>
      <c r="AX482" s="243">
        <f t="shared" si="574"/>
        <v>0</v>
      </c>
      <c r="AY482" s="245" t="s">
        <v>580</v>
      </c>
      <c r="AZ482" s="245" t="s">
        <v>1020</v>
      </c>
      <c r="BA482" s="232" t="s">
        <v>993</v>
      </c>
      <c r="BC482" s="243">
        <f t="shared" si="575"/>
        <v>0</v>
      </c>
      <c r="BD482" s="243">
        <f t="shared" si="576"/>
        <v>0</v>
      </c>
      <c r="BE482" s="243">
        <v>0</v>
      </c>
      <c r="BF482" s="243">
        <f>482</f>
        <v>482</v>
      </c>
      <c r="BH482" s="243">
        <f t="shared" si="577"/>
        <v>0</v>
      </c>
      <c r="BI482" s="243">
        <f t="shared" si="578"/>
        <v>0</v>
      </c>
      <c r="BJ482" s="243">
        <f t="shared" si="579"/>
        <v>0</v>
      </c>
      <c r="BK482" s="243"/>
      <c r="BL482" s="243">
        <v>732</v>
      </c>
      <c r="BW482" s="243">
        <v>21</v>
      </c>
    </row>
    <row r="483" spans="1:75" ht="13.5" customHeight="1">
      <c r="A483" s="207" t="s">
        <v>1017</v>
      </c>
      <c r="B483" s="208" t="s">
        <v>990</v>
      </c>
      <c r="C483" s="208" t="s">
        <v>390</v>
      </c>
      <c r="D483" s="268" t="s">
        <v>391</v>
      </c>
      <c r="E483" s="260"/>
      <c r="F483" s="208" t="s">
        <v>58</v>
      </c>
      <c r="G483" s="243">
        <v>1</v>
      </c>
      <c r="H483" s="244">
        <v>0</v>
      </c>
      <c r="I483" s="244">
        <f t="shared" si="560"/>
        <v>0</v>
      </c>
      <c r="K483" s="231"/>
      <c r="Z483" s="243">
        <f t="shared" si="561"/>
        <v>0</v>
      </c>
      <c r="AB483" s="243">
        <f t="shared" si="562"/>
        <v>0</v>
      </c>
      <c r="AC483" s="243">
        <f t="shared" si="563"/>
        <v>0</v>
      </c>
      <c r="AD483" s="243">
        <f t="shared" si="564"/>
        <v>0</v>
      </c>
      <c r="AE483" s="243">
        <f t="shared" si="565"/>
        <v>0</v>
      </c>
      <c r="AF483" s="243">
        <f t="shared" si="566"/>
        <v>0</v>
      </c>
      <c r="AG483" s="243">
        <f t="shared" si="567"/>
        <v>0</v>
      </c>
      <c r="AH483" s="243">
        <f t="shared" si="568"/>
        <v>0</v>
      </c>
      <c r="AI483" s="232" t="s">
        <v>990</v>
      </c>
      <c r="AJ483" s="243">
        <f t="shared" si="569"/>
        <v>0</v>
      </c>
      <c r="AK483" s="243">
        <f t="shared" si="570"/>
        <v>0</v>
      </c>
      <c r="AL483" s="243">
        <f t="shared" si="571"/>
        <v>0</v>
      </c>
      <c r="AN483" s="243">
        <v>21</v>
      </c>
      <c r="AO483" s="243">
        <f>H483*0.642985041792658</f>
        <v>0</v>
      </c>
      <c r="AP483" s="243">
        <f>H483*(1-0.642985041792658)</f>
        <v>0</v>
      </c>
      <c r="AQ483" s="245" t="s">
        <v>567</v>
      </c>
      <c r="AV483" s="243">
        <f t="shared" si="572"/>
        <v>0</v>
      </c>
      <c r="AW483" s="243">
        <f t="shared" si="573"/>
        <v>0</v>
      </c>
      <c r="AX483" s="243">
        <f t="shared" si="574"/>
        <v>0</v>
      </c>
      <c r="AY483" s="245" t="s">
        <v>580</v>
      </c>
      <c r="AZ483" s="245" t="s">
        <v>1020</v>
      </c>
      <c r="BA483" s="232" t="s">
        <v>993</v>
      </c>
      <c r="BC483" s="243">
        <f t="shared" si="575"/>
        <v>0</v>
      </c>
      <c r="BD483" s="243">
        <f t="shared" si="576"/>
        <v>0</v>
      </c>
      <c r="BE483" s="243">
        <v>0</v>
      </c>
      <c r="BF483" s="243">
        <f>483</f>
        <v>483</v>
      </c>
      <c r="BH483" s="243">
        <f t="shared" si="577"/>
        <v>0</v>
      </c>
      <c r="BI483" s="243">
        <f t="shared" si="578"/>
        <v>0</v>
      </c>
      <c r="BJ483" s="243">
        <f t="shared" si="579"/>
        <v>0</v>
      </c>
      <c r="BK483" s="243"/>
      <c r="BL483" s="243">
        <v>732</v>
      </c>
      <c r="BW483" s="243">
        <v>21</v>
      </c>
    </row>
    <row r="484" spans="1:75" ht="13.5" customHeight="1">
      <c r="A484" s="207" t="s">
        <v>1018</v>
      </c>
      <c r="B484" s="208" t="s">
        <v>990</v>
      </c>
      <c r="C484" s="208" t="s">
        <v>392</v>
      </c>
      <c r="D484" s="268" t="s">
        <v>1350</v>
      </c>
      <c r="E484" s="260"/>
      <c r="F484" s="208" t="s">
        <v>68</v>
      </c>
      <c r="G484" s="243">
        <v>1</v>
      </c>
      <c r="H484" s="244">
        <v>0</v>
      </c>
      <c r="I484" s="244">
        <f t="shared" si="560"/>
        <v>0</v>
      </c>
      <c r="K484" s="231"/>
      <c r="Z484" s="243">
        <f t="shared" si="561"/>
        <v>0</v>
      </c>
      <c r="AB484" s="243">
        <f t="shared" si="562"/>
        <v>0</v>
      </c>
      <c r="AC484" s="243">
        <f t="shared" si="563"/>
        <v>0</v>
      </c>
      <c r="AD484" s="243">
        <f t="shared" si="564"/>
        <v>0</v>
      </c>
      <c r="AE484" s="243">
        <f t="shared" si="565"/>
        <v>0</v>
      </c>
      <c r="AF484" s="243">
        <f t="shared" si="566"/>
        <v>0</v>
      </c>
      <c r="AG484" s="243">
        <f t="shared" si="567"/>
        <v>0</v>
      </c>
      <c r="AH484" s="243">
        <f t="shared" si="568"/>
        <v>0</v>
      </c>
      <c r="AI484" s="232" t="s">
        <v>990</v>
      </c>
      <c r="AJ484" s="243">
        <f t="shared" si="569"/>
        <v>0</v>
      </c>
      <c r="AK484" s="243">
        <f t="shared" si="570"/>
        <v>0</v>
      </c>
      <c r="AL484" s="243">
        <f t="shared" si="571"/>
        <v>0</v>
      </c>
      <c r="AN484" s="243">
        <v>21</v>
      </c>
      <c r="AO484" s="243">
        <f>H484*1</f>
        <v>0</v>
      </c>
      <c r="AP484" s="243">
        <f>H484*(1-1)</f>
        <v>0</v>
      </c>
      <c r="AQ484" s="245" t="s">
        <v>567</v>
      </c>
      <c r="AV484" s="243">
        <f t="shared" si="572"/>
        <v>0</v>
      </c>
      <c r="AW484" s="243">
        <f t="shared" si="573"/>
        <v>0</v>
      </c>
      <c r="AX484" s="243">
        <f t="shared" si="574"/>
        <v>0</v>
      </c>
      <c r="AY484" s="245" t="s">
        <v>580</v>
      </c>
      <c r="AZ484" s="245" t="s">
        <v>1020</v>
      </c>
      <c r="BA484" s="232" t="s">
        <v>993</v>
      </c>
      <c r="BC484" s="243">
        <f t="shared" si="575"/>
        <v>0</v>
      </c>
      <c r="BD484" s="243">
        <f t="shared" si="576"/>
        <v>0</v>
      </c>
      <c r="BE484" s="243">
        <v>0</v>
      </c>
      <c r="BF484" s="243">
        <f>484</f>
        <v>484</v>
      </c>
      <c r="BH484" s="243">
        <f t="shared" si="577"/>
        <v>0</v>
      </c>
      <c r="BI484" s="243">
        <f t="shared" si="578"/>
        <v>0</v>
      </c>
      <c r="BJ484" s="243">
        <f t="shared" si="579"/>
        <v>0</v>
      </c>
      <c r="BK484" s="243"/>
      <c r="BL484" s="243">
        <v>732</v>
      </c>
      <c r="BW484" s="243">
        <v>21</v>
      </c>
    </row>
    <row r="485" spans="1:75" ht="15" customHeight="1">
      <c r="A485" s="238" t="s">
        <v>21</v>
      </c>
      <c r="B485" s="239" t="s">
        <v>990</v>
      </c>
      <c r="C485" s="239" t="s">
        <v>85</v>
      </c>
      <c r="D485" s="309" t="s">
        <v>86</v>
      </c>
      <c r="E485" s="310"/>
      <c r="F485" s="240" t="s">
        <v>20</v>
      </c>
      <c r="G485" s="240" t="s">
        <v>20</v>
      </c>
      <c r="H485" s="241" t="s">
        <v>20</v>
      </c>
      <c r="I485" s="242">
        <f>SUM(I486:I496)</f>
        <v>0</v>
      </c>
      <c r="K485" s="231"/>
      <c r="AI485" s="232" t="s">
        <v>990</v>
      </c>
      <c r="AS485" s="225">
        <f>SUM(AJ486:AJ496)</f>
        <v>0</v>
      </c>
      <c r="AT485" s="225">
        <f>SUM(AK486:AK496)</f>
        <v>0</v>
      </c>
      <c r="AU485" s="225">
        <f>SUM(AL486:AL496)</f>
        <v>0</v>
      </c>
    </row>
    <row r="486" spans="1:75" ht="13.5" customHeight="1">
      <c r="A486" s="207" t="s">
        <v>1019</v>
      </c>
      <c r="B486" s="208" t="s">
        <v>990</v>
      </c>
      <c r="C486" s="208" t="s">
        <v>394</v>
      </c>
      <c r="D486" s="268" t="s">
        <v>395</v>
      </c>
      <c r="E486" s="260"/>
      <c r="F486" s="208" t="s">
        <v>68</v>
      </c>
      <c r="G486" s="243">
        <v>4</v>
      </c>
      <c r="H486" s="244">
        <v>0</v>
      </c>
      <c r="I486" s="244">
        <f t="shared" ref="I486:I496" si="580">G486*H486</f>
        <v>0</v>
      </c>
      <c r="K486" s="231"/>
      <c r="Z486" s="243">
        <f t="shared" ref="Z486:Z496" si="581">IF(AQ486="5",BJ486,0)</f>
        <v>0</v>
      </c>
      <c r="AB486" s="243">
        <f t="shared" ref="AB486:AB496" si="582">IF(AQ486="1",BH486,0)</f>
        <v>0</v>
      </c>
      <c r="AC486" s="243">
        <f t="shared" ref="AC486:AC496" si="583">IF(AQ486="1",BI486,0)</f>
        <v>0</v>
      </c>
      <c r="AD486" s="243">
        <f t="shared" ref="AD486:AD496" si="584">IF(AQ486="7",BH486,0)</f>
        <v>0</v>
      </c>
      <c r="AE486" s="243">
        <f t="shared" ref="AE486:AE496" si="585">IF(AQ486="7",BI486,0)</f>
        <v>0</v>
      </c>
      <c r="AF486" s="243">
        <f t="shared" ref="AF486:AF496" si="586">IF(AQ486="2",BH486,0)</f>
        <v>0</v>
      </c>
      <c r="AG486" s="243">
        <f t="shared" ref="AG486:AG496" si="587">IF(AQ486="2",BI486,0)</f>
        <v>0</v>
      </c>
      <c r="AH486" s="243">
        <f t="shared" ref="AH486:AH496" si="588">IF(AQ486="0",BJ486,0)</f>
        <v>0</v>
      </c>
      <c r="AI486" s="232" t="s">
        <v>990</v>
      </c>
      <c r="AJ486" s="243">
        <f t="shared" ref="AJ486:AJ496" si="589">IF(AN486=0,I486,0)</f>
        <v>0</v>
      </c>
      <c r="AK486" s="243">
        <f t="shared" ref="AK486:AK496" si="590">IF(AN486=12,I486,0)</f>
        <v>0</v>
      </c>
      <c r="AL486" s="243">
        <f t="shared" ref="AL486:AL496" si="591">IF(AN486=21,I486,0)</f>
        <v>0</v>
      </c>
      <c r="AN486" s="243">
        <v>21</v>
      </c>
      <c r="AO486" s="243">
        <f>H486*0.620309050772627</f>
        <v>0</v>
      </c>
      <c r="AP486" s="243">
        <f>H486*(1-0.620309050772627)</f>
        <v>0</v>
      </c>
      <c r="AQ486" s="245" t="s">
        <v>567</v>
      </c>
      <c r="AV486" s="243">
        <f t="shared" ref="AV486:AV496" si="592">AW486+AX486</f>
        <v>0</v>
      </c>
      <c r="AW486" s="243">
        <f t="shared" ref="AW486:AW496" si="593">G486*AO486</f>
        <v>0</v>
      </c>
      <c r="AX486" s="243">
        <f t="shared" ref="AX486:AX496" si="594">G486*AP486</f>
        <v>0</v>
      </c>
      <c r="AY486" s="245" t="s">
        <v>588</v>
      </c>
      <c r="AZ486" s="245" t="s">
        <v>1020</v>
      </c>
      <c r="BA486" s="232" t="s">
        <v>993</v>
      </c>
      <c r="BC486" s="243">
        <f t="shared" ref="BC486:BC496" si="595">AW486+AX486</f>
        <v>0</v>
      </c>
      <c r="BD486" s="243">
        <f t="shared" ref="BD486:BD496" si="596">H486/(100-BE486)*100</f>
        <v>0</v>
      </c>
      <c r="BE486" s="243">
        <v>0</v>
      </c>
      <c r="BF486" s="243">
        <f>486</f>
        <v>486</v>
      </c>
      <c r="BH486" s="243">
        <f t="shared" ref="BH486:BH496" si="597">G486*AO486</f>
        <v>0</v>
      </c>
      <c r="BI486" s="243">
        <f t="shared" ref="BI486:BI496" si="598">G486*AP486</f>
        <v>0</v>
      </c>
      <c r="BJ486" s="243">
        <f t="shared" ref="BJ486:BJ496" si="599">G486*H486</f>
        <v>0</v>
      </c>
      <c r="BK486" s="243"/>
      <c r="BL486" s="243">
        <v>733</v>
      </c>
      <c r="BW486" s="243">
        <v>21</v>
      </c>
    </row>
    <row r="487" spans="1:75" ht="13.5" customHeight="1">
      <c r="A487" s="207" t="s">
        <v>1021</v>
      </c>
      <c r="B487" s="208" t="s">
        <v>990</v>
      </c>
      <c r="C487" s="208" t="s">
        <v>396</v>
      </c>
      <c r="D487" s="268" t="s">
        <v>397</v>
      </c>
      <c r="E487" s="260"/>
      <c r="F487" s="208" t="s">
        <v>68</v>
      </c>
      <c r="G487" s="243">
        <v>4</v>
      </c>
      <c r="H487" s="244">
        <v>0</v>
      </c>
      <c r="I487" s="244">
        <f t="shared" si="580"/>
        <v>0</v>
      </c>
      <c r="K487" s="231"/>
      <c r="Z487" s="243">
        <f t="shared" si="581"/>
        <v>0</v>
      </c>
      <c r="AB487" s="243">
        <f t="shared" si="582"/>
        <v>0</v>
      </c>
      <c r="AC487" s="243">
        <f t="shared" si="583"/>
        <v>0</v>
      </c>
      <c r="AD487" s="243">
        <f t="shared" si="584"/>
        <v>0</v>
      </c>
      <c r="AE487" s="243">
        <f t="shared" si="585"/>
        <v>0</v>
      </c>
      <c r="AF487" s="243">
        <f t="shared" si="586"/>
        <v>0</v>
      </c>
      <c r="AG487" s="243">
        <f t="shared" si="587"/>
        <v>0</v>
      </c>
      <c r="AH487" s="243">
        <f t="shared" si="588"/>
        <v>0</v>
      </c>
      <c r="AI487" s="232" t="s">
        <v>990</v>
      </c>
      <c r="AJ487" s="243">
        <f t="shared" si="589"/>
        <v>0</v>
      </c>
      <c r="AK487" s="243">
        <f t="shared" si="590"/>
        <v>0</v>
      </c>
      <c r="AL487" s="243">
        <f t="shared" si="591"/>
        <v>0</v>
      </c>
      <c r="AN487" s="243">
        <v>21</v>
      </c>
      <c r="AO487" s="243">
        <f>H487*0.259191290824261</f>
        <v>0</v>
      </c>
      <c r="AP487" s="243">
        <f>H487*(1-0.259191290824261)</f>
        <v>0</v>
      </c>
      <c r="AQ487" s="245" t="s">
        <v>567</v>
      </c>
      <c r="AV487" s="243">
        <f t="shared" si="592"/>
        <v>0</v>
      </c>
      <c r="AW487" s="243">
        <f t="shared" si="593"/>
        <v>0</v>
      </c>
      <c r="AX487" s="243">
        <f t="shared" si="594"/>
        <v>0</v>
      </c>
      <c r="AY487" s="245" t="s">
        <v>588</v>
      </c>
      <c r="AZ487" s="245" t="s">
        <v>1020</v>
      </c>
      <c r="BA487" s="232" t="s">
        <v>993</v>
      </c>
      <c r="BC487" s="243">
        <f t="shared" si="595"/>
        <v>0</v>
      </c>
      <c r="BD487" s="243">
        <f t="shared" si="596"/>
        <v>0</v>
      </c>
      <c r="BE487" s="243">
        <v>0</v>
      </c>
      <c r="BF487" s="243">
        <f>487</f>
        <v>487</v>
      </c>
      <c r="BH487" s="243">
        <f t="shared" si="597"/>
        <v>0</v>
      </c>
      <c r="BI487" s="243">
        <f t="shared" si="598"/>
        <v>0</v>
      </c>
      <c r="BJ487" s="243">
        <f t="shared" si="599"/>
        <v>0</v>
      </c>
      <c r="BK487" s="243"/>
      <c r="BL487" s="243">
        <v>733</v>
      </c>
      <c r="BW487" s="243">
        <v>21</v>
      </c>
    </row>
    <row r="488" spans="1:75" ht="13.5" customHeight="1">
      <c r="A488" s="207" t="s">
        <v>1022</v>
      </c>
      <c r="B488" s="208" t="s">
        <v>990</v>
      </c>
      <c r="C488" s="208" t="s">
        <v>398</v>
      </c>
      <c r="D488" s="268" t="s">
        <v>399</v>
      </c>
      <c r="E488" s="260"/>
      <c r="F488" s="208" t="s">
        <v>68</v>
      </c>
      <c r="G488" s="243">
        <v>4</v>
      </c>
      <c r="H488" s="244">
        <v>0</v>
      </c>
      <c r="I488" s="244">
        <f t="shared" si="580"/>
        <v>0</v>
      </c>
      <c r="K488" s="231"/>
      <c r="Z488" s="243">
        <f t="shared" si="581"/>
        <v>0</v>
      </c>
      <c r="AB488" s="243">
        <f t="shared" si="582"/>
        <v>0</v>
      </c>
      <c r="AC488" s="243">
        <f t="shared" si="583"/>
        <v>0</v>
      </c>
      <c r="AD488" s="243">
        <f t="shared" si="584"/>
        <v>0</v>
      </c>
      <c r="AE488" s="243">
        <f t="shared" si="585"/>
        <v>0</v>
      </c>
      <c r="AF488" s="243">
        <f t="shared" si="586"/>
        <v>0</v>
      </c>
      <c r="AG488" s="243">
        <f t="shared" si="587"/>
        <v>0</v>
      </c>
      <c r="AH488" s="243">
        <f t="shared" si="588"/>
        <v>0</v>
      </c>
      <c r="AI488" s="232" t="s">
        <v>990</v>
      </c>
      <c r="AJ488" s="243">
        <f t="shared" si="589"/>
        <v>0</v>
      </c>
      <c r="AK488" s="243">
        <f t="shared" si="590"/>
        <v>0</v>
      </c>
      <c r="AL488" s="243">
        <f t="shared" si="591"/>
        <v>0</v>
      </c>
      <c r="AN488" s="243">
        <v>21</v>
      </c>
      <c r="AO488" s="243">
        <f>H488*0.345851428571429</f>
        <v>0</v>
      </c>
      <c r="AP488" s="243">
        <f>H488*(1-0.345851428571429)</f>
        <v>0</v>
      </c>
      <c r="AQ488" s="245" t="s">
        <v>567</v>
      </c>
      <c r="AV488" s="243">
        <f t="shared" si="592"/>
        <v>0</v>
      </c>
      <c r="AW488" s="243">
        <f t="shared" si="593"/>
        <v>0</v>
      </c>
      <c r="AX488" s="243">
        <f t="shared" si="594"/>
        <v>0</v>
      </c>
      <c r="AY488" s="245" t="s">
        <v>588</v>
      </c>
      <c r="AZ488" s="245" t="s">
        <v>1020</v>
      </c>
      <c r="BA488" s="232" t="s">
        <v>993</v>
      </c>
      <c r="BC488" s="243">
        <f t="shared" si="595"/>
        <v>0</v>
      </c>
      <c r="BD488" s="243">
        <f t="shared" si="596"/>
        <v>0</v>
      </c>
      <c r="BE488" s="243">
        <v>0</v>
      </c>
      <c r="BF488" s="243">
        <f>488</f>
        <v>488</v>
      </c>
      <c r="BH488" s="243">
        <f t="shared" si="597"/>
        <v>0</v>
      </c>
      <c r="BI488" s="243">
        <f t="shared" si="598"/>
        <v>0</v>
      </c>
      <c r="BJ488" s="243">
        <f t="shared" si="599"/>
        <v>0</v>
      </c>
      <c r="BK488" s="243"/>
      <c r="BL488" s="243">
        <v>733</v>
      </c>
      <c r="BW488" s="243">
        <v>21</v>
      </c>
    </row>
    <row r="489" spans="1:75" ht="13.5" customHeight="1">
      <c r="A489" s="207" t="s">
        <v>1023</v>
      </c>
      <c r="B489" s="208" t="s">
        <v>990</v>
      </c>
      <c r="C489" s="208" t="s">
        <v>400</v>
      </c>
      <c r="D489" s="268" t="s">
        <v>401</v>
      </c>
      <c r="E489" s="260"/>
      <c r="F489" s="208" t="s">
        <v>63</v>
      </c>
      <c r="G489" s="243">
        <v>12</v>
      </c>
      <c r="H489" s="244">
        <v>0</v>
      </c>
      <c r="I489" s="244">
        <f t="shared" si="580"/>
        <v>0</v>
      </c>
      <c r="K489" s="231"/>
      <c r="Z489" s="243">
        <f t="shared" si="581"/>
        <v>0</v>
      </c>
      <c r="AB489" s="243">
        <f t="shared" si="582"/>
        <v>0</v>
      </c>
      <c r="AC489" s="243">
        <f t="shared" si="583"/>
        <v>0</v>
      </c>
      <c r="AD489" s="243">
        <f t="shared" si="584"/>
        <v>0</v>
      </c>
      <c r="AE489" s="243">
        <f t="shared" si="585"/>
        <v>0</v>
      </c>
      <c r="AF489" s="243">
        <f t="shared" si="586"/>
        <v>0</v>
      </c>
      <c r="AG489" s="243">
        <f t="shared" si="587"/>
        <v>0</v>
      </c>
      <c r="AH489" s="243">
        <f t="shared" si="588"/>
        <v>0</v>
      </c>
      <c r="AI489" s="232" t="s">
        <v>990</v>
      </c>
      <c r="AJ489" s="243">
        <f t="shared" si="589"/>
        <v>0</v>
      </c>
      <c r="AK489" s="243">
        <f t="shared" si="590"/>
        <v>0</v>
      </c>
      <c r="AL489" s="243">
        <f t="shared" si="591"/>
        <v>0</v>
      </c>
      <c r="AN489" s="243">
        <v>21</v>
      </c>
      <c r="AO489" s="243">
        <f>H489*0.212764227642276</f>
        <v>0</v>
      </c>
      <c r="AP489" s="243">
        <f>H489*(1-0.212764227642276)</f>
        <v>0</v>
      </c>
      <c r="AQ489" s="245" t="s">
        <v>567</v>
      </c>
      <c r="AV489" s="243">
        <f t="shared" si="592"/>
        <v>0</v>
      </c>
      <c r="AW489" s="243">
        <f t="shared" si="593"/>
        <v>0</v>
      </c>
      <c r="AX489" s="243">
        <f t="shared" si="594"/>
        <v>0</v>
      </c>
      <c r="AY489" s="245" t="s">
        <v>588</v>
      </c>
      <c r="AZ489" s="245" t="s">
        <v>1020</v>
      </c>
      <c r="BA489" s="232" t="s">
        <v>993</v>
      </c>
      <c r="BC489" s="243">
        <f t="shared" si="595"/>
        <v>0</v>
      </c>
      <c r="BD489" s="243">
        <f t="shared" si="596"/>
        <v>0</v>
      </c>
      <c r="BE489" s="243">
        <v>0</v>
      </c>
      <c r="BF489" s="243">
        <f>489</f>
        <v>489</v>
      </c>
      <c r="BH489" s="243">
        <f t="shared" si="597"/>
        <v>0</v>
      </c>
      <c r="BI489" s="243">
        <f t="shared" si="598"/>
        <v>0</v>
      </c>
      <c r="BJ489" s="243">
        <f t="shared" si="599"/>
        <v>0</v>
      </c>
      <c r="BK489" s="243"/>
      <c r="BL489" s="243">
        <v>733</v>
      </c>
      <c r="BW489" s="243">
        <v>21</v>
      </c>
    </row>
    <row r="490" spans="1:75" ht="13.5" customHeight="1">
      <c r="A490" s="207" t="s">
        <v>1024</v>
      </c>
      <c r="B490" s="208" t="s">
        <v>990</v>
      </c>
      <c r="C490" s="208" t="s">
        <v>402</v>
      </c>
      <c r="D490" s="268" t="s">
        <v>403</v>
      </c>
      <c r="E490" s="260"/>
      <c r="F490" s="208" t="s">
        <v>63</v>
      </c>
      <c r="G490" s="243">
        <v>6</v>
      </c>
      <c r="H490" s="244">
        <v>0</v>
      </c>
      <c r="I490" s="244">
        <f t="shared" si="580"/>
        <v>0</v>
      </c>
      <c r="K490" s="231"/>
      <c r="Z490" s="243">
        <f t="shared" si="581"/>
        <v>0</v>
      </c>
      <c r="AB490" s="243">
        <f t="shared" si="582"/>
        <v>0</v>
      </c>
      <c r="AC490" s="243">
        <f t="shared" si="583"/>
        <v>0</v>
      </c>
      <c r="AD490" s="243">
        <f t="shared" si="584"/>
        <v>0</v>
      </c>
      <c r="AE490" s="243">
        <f t="shared" si="585"/>
        <v>0</v>
      </c>
      <c r="AF490" s="243">
        <f t="shared" si="586"/>
        <v>0</v>
      </c>
      <c r="AG490" s="243">
        <f t="shared" si="587"/>
        <v>0</v>
      </c>
      <c r="AH490" s="243">
        <f t="shared" si="588"/>
        <v>0</v>
      </c>
      <c r="AI490" s="232" t="s">
        <v>990</v>
      </c>
      <c r="AJ490" s="243">
        <f t="shared" si="589"/>
        <v>0</v>
      </c>
      <c r="AK490" s="243">
        <f t="shared" si="590"/>
        <v>0</v>
      </c>
      <c r="AL490" s="243">
        <f t="shared" si="591"/>
        <v>0</v>
      </c>
      <c r="AN490" s="243">
        <v>21</v>
      </c>
      <c r="AO490" s="243">
        <f>H490*0.58344860710855</f>
        <v>0</v>
      </c>
      <c r="AP490" s="243">
        <f>H490*(1-0.58344860710855)</f>
        <v>0</v>
      </c>
      <c r="AQ490" s="245" t="s">
        <v>567</v>
      </c>
      <c r="AV490" s="243">
        <f t="shared" si="592"/>
        <v>0</v>
      </c>
      <c r="AW490" s="243">
        <f t="shared" si="593"/>
        <v>0</v>
      </c>
      <c r="AX490" s="243">
        <f t="shared" si="594"/>
        <v>0</v>
      </c>
      <c r="AY490" s="245" t="s">
        <v>588</v>
      </c>
      <c r="AZ490" s="245" t="s">
        <v>1020</v>
      </c>
      <c r="BA490" s="232" t="s">
        <v>993</v>
      </c>
      <c r="BC490" s="243">
        <f t="shared" si="595"/>
        <v>0</v>
      </c>
      <c r="BD490" s="243">
        <f t="shared" si="596"/>
        <v>0</v>
      </c>
      <c r="BE490" s="243">
        <v>0</v>
      </c>
      <c r="BF490" s="243">
        <f>490</f>
        <v>490</v>
      </c>
      <c r="BH490" s="243">
        <f t="shared" si="597"/>
        <v>0</v>
      </c>
      <c r="BI490" s="243">
        <f t="shared" si="598"/>
        <v>0</v>
      </c>
      <c r="BJ490" s="243">
        <f t="shared" si="599"/>
        <v>0</v>
      </c>
      <c r="BK490" s="243"/>
      <c r="BL490" s="243">
        <v>733</v>
      </c>
      <c r="BW490" s="243">
        <v>21</v>
      </c>
    </row>
    <row r="491" spans="1:75" ht="13.5" customHeight="1">
      <c r="A491" s="207" t="s">
        <v>1025</v>
      </c>
      <c r="B491" s="208" t="s">
        <v>990</v>
      </c>
      <c r="C491" s="208" t="s">
        <v>404</v>
      </c>
      <c r="D491" s="268" t="s">
        <v>405</v>
      </c>
      <c r="E491" s="260"/>
      <c r="F491" s="208" t="s">
        <v>63</v>
      </c>
      <c r="G491" s="243">
        <v>8</v>
      </c>
      <c r="H491" s="244">
        <v>0</v>
      </c>
      <c r="I491" s="244">
        <f t="shared" si="580"/>
        <v>0</v>
      </c>
      <c r="K491" s="231"/>
      <c r="Z491" s="243">
        <f t="shared" si="581"/>
        <v>0</v>
      </c>
      <c r="AB491" s="243">
        <f t="shared" si="582"/>
        <v>0</v>
      </c>
      <c r="AC491" s="243">
        <f t="shared" si="583"/>
        <v>0</v>
      </c>
      <c r="AD491" s="243">
        <f t="shared" si="584"/>
        <v>0</v>
      </c>
      <c r="AE491" s="243">
        <f t="shared" si="585"/>
        <v>0</v>
      </c>
      <c r="AF491" s="243">
        <f t="shared" si="586"/>
        <v>0</v>
      </c>
      <c r="AG491" s="243">
        <f t="shared" si="587"/>
        <v>0</v>
      </c>
      <c r="AH491" s="243">
        <f t="shared" si="588"/>
        <v>0</v>
      </c>
      <c r="AI491" s="232" t="s">
        <v>990</v>
      </c>
      <c r="AJ491" s="243">
        <f t="shared" si="589"/>
        <v>0</v>
      </c>
      <c r="AK491" s="243">
        <f t="shared" si="590"/>
        <v>0</v>
      </c>
      <c r="AL491" s="243">
        <f t="shared" si="591"/>
        <v>0</v>
      </c>
      <c r="AN491" s="243">
        <v>21</v>
      </c>
      <c r="AO491" s="243">
        <f>H491*0.144233333333333</f>
        <v>0</v>
      </c>
      <c r="AP491" s="243">
        <f>H491*(1-0.144233333333333)</f>
        <v>0</v>
      </c>
      <c r="AQ491" s="245" t="s">
        <v>567</v>
      </c>
      <c r="AV491" s="243">
        <f t="shared" si="592"/>
        <v>0</v>
      </c>
      <c r="AW491" s="243">
        <f t="shared" si="593"/>
        <v>0</v>
      </c>
      <c r="AX491" s="243">
        <f t="shared" si="594"/>
        <v>0</v>
      </c>
      <c r="AY491" s="245" t="s">
        <v>588</v>
      </c>
      <c r="AZ491" s="245" t="s">
        <v>1020</v>
      </c>
      <c r="BA491" s="232" t="s">
        <v>993</v>
      </c>
      <c r="BC491" s="243">
        <f t="shared" si="595"/>
        <v>0</v>
      </c>
      <c r="BD491" s="243">
        <f t="shared" si="596"/>
        <v>0</v>
      </c>
      <c r="BE491" s="243">
        <v>0</v>
      </c>
      <c r="BF491" s="243">
        <f>491</f>
        <v>491</v>
      </c>
      <c r="BH491" s="243">
        <f t="shared" si="597"/>
        <v>0</v>
      </c>
      <c r="BI491" s="243">
        <f t="shared" si="598"/>
        <v>0</v>
      </c>
      <c r="BJ491" s="243">
        <f t="shared" si="599"/>
        <v>0</v>
      </c>
      <c r="BK491" s="243"/>
      <c r="BL491" s="243">
        <v>733</v>
      </c>
      <c r="BW491" s="243">
        <v>21</v>
      </c>
    </row>
    <row r="492" spans="1:75" ht="13.5" customHeight="1">
      <c r="A492" s="207" t="s">
        <v>1026</v>
      </c>
      <c r="B492" s="208" t="s">
        <v>990</v>
      </c>
      <c r="C492" s="208" t="s">
        <v>406</v>
      </c>
      <c r="D492" s="268" t="s">
        <v>407</v>
      </c>
      <c r="E492" s="260"/>
      <c r="F492" s="208" t="s">
        <v>63</v>
      </c>
      <c r="G492" s="243">
        <v>0.5</v>
      </c>
      <c r="H492" s="244">
        <v>0</v>
      </c>
      <c r="I492" s="244">
        <f t="shared" si="580"/>
        <v>0</v>
      </c>
      <c r="K492" s="231"/>
      <c r="Z492" s="243">
        <f t="shared" si="581"/>
        <v>0</v>
      </c>
      <c r="AB492" s="243">
        <f t="shared" si="582"/>
        <v>0</v>
      </c>
      <c r="AC492" s="243">
        <f t="shared" si="583"/>
        <v>0</v>
      </c>
      <c r="AD492" s="243">
        <f t="shared" si="584"/>
        <v>0</v>
      </c>
      <c r="AE492" s="243">
        <f t="shared" si="585"/>
        <v>0</v>
      </c>
      <c r="AF492" s="243">
        <f t="shared" si="586"/>
        <v>0</v>
      </c>
      <c r="AG492" s="243">
        <f t="shared" si="587"/>
        <v>0</v>
      </c>
      <c r="AH492" s="243">
        <f t="shared" si="588"/>
        <v>0</v>
      </c>
      <c r="AI492" s="232" t="s">
        <v>990</v>
      </c>
      <c r="AJ492" s="243">
        <f t="shared" si="589"/>
        <v>0</v>
      </c>
      <c r="AK492" s="243">
        <f t="shared" si="590"/>
        <v>0</v>
      </c>
      <c r="AL492" s="243">
        <f t="shared" si="591"/>
        <v>0</v>
      </c>
      <c r="AN492" s="243">
        <v>21</v>
      </c>
      <c r="AO492" s="243">
        <f>H492*0.0775828460038986</f>
        <v>0</v>
      </c>
      <c r="AP492" s="243">
        <f>H492*(1-0.0775828460038986)</f>
        <v>0</v>
      </c>
      <c r="AQ492" s="245" t="s">
        <v>567</v>
      </c>
      <c r="AV492" s="243">
        <f t="shared" si="592"/>
        <v>0</v>
      </c>
      <c r="AW492" s="243">
        <f t="shared" si="593"/>
        <v>0</v>
      </c>
      <c r="AX492" s="243">
        <f t="shared" si="594"/>
        <v>0</v>
      </c>
      <c r="AY492" s="245" t="s">
        <v>588</v>
      </c>
      <c r="AZ492" s="245" t="s">
        <v>1020</v>
      </c>
      <c r="BA492" s="232" t="s">
        <v>993</v>
      </c>
      <c r="BC492" s="243">
        <f t="shared" si="595"/>
        <v>0</v>
      </c>
      <c r="BD492" s="243">
        <f t="shared" si="596"/>
        <v>0</v>
      </c>
      <c r="BE492" s="243">
        <v>0</v>
      </c>
      <c r="BF492" s="243">
        <f>492</f>
        <v>492</v>
      </c>
      <c r="BH492" s="243">
        <f t="shared" si="597"/>
        <v>0</v>
      </c>
      <c r="BI492" s="243">
        <f t="shared" si="598"/>
        <v>0</v>
      </c>
      <c r="BJ492" s="243">
        <f t="shared" si="599"/>
        <v>0</v>
      </c>
      <c r="BK492" s="243"/>
      <c r="BL492" s="243">
        <v>733</v>
      </c>
      <c r="BW492" s="243">
        <v>21</v>
      </c>
    </row>
    <row r="493" spans="1:75" ht="13.5" customHeight="1">
      <c r="A493" s="207" t="s">
        <v>1027</v>
      </c>
      <c r="B493" s="208" t="s">
        <v>990</v>
      </c>
      <c r="C493" s="208" t="s">
        <v>189</v>
      </c>
      <c r="D493" s="268" t="s">
        <v>190</v>
      </c>
      <c r="E493" s="260"/>
      <c r="F493" s="208" t="s">
        <v>63</v>
      </c>
      <c r="G493" s="243">
        <v>14.5</v>
      </c>
      <c r="H493" s="244">
        <v>0</v>
      </c>
      <c r="I493" s="244">
        <f t="shared" si="580"/>
        <v>0</v>
      </c>
      <c r="K493" s="231"/>
      <c r="Z493" s="243">
        <f t="shared" si="581"/>
        <v>0</v>
      </c>
      <c r="AB493" s="243">
        <f t="shared" si="582"/>
        <v>0</v>
      </c>
      <c r="AC493" s="243">
        <f t="shared" si="583"/>
        <v>0</v>
      </c>
      <c r="AD493" s="243">
        <f t="shared" si="584"/>
        <v>0</v>
      </c>
      <c r="AE493" s="243">
        <f t="shared" si="585"/>
        <v>0</v>
      </c>
      <c r="AF493" s="243">
        <f t="shared" si="586"/>
        <v>0</v>
      </c>
      <c r="AG493" s="243">
        <f t="shared" si="587"/>
        <v>0</v>
      </c>
      <c r="AH493" s="243">
        <f t="shared" si="588"/>
        <v>0</v>
      </c>
      <c r="AI493" s="232" t="s">
        <v>990</v>
      </c>
      <c r="AJ493" s="243">
        <f t="shared" si="589"/>
        <v>0</v>
      </c>
      <c r="AK493" s="243">
        <f t="shared" si="590"/>
        <v>0</v>
      </c>
      <c r="AL493" s="243">
        <f t="shared" si="591"/>
        <v>0</v>
      </c>
      <c r="AN493" s="243">
        <v>21</v>
      </c>
      <c r="AO493" s="243">
        <f>H493*0</f>
        <v>0</v>
      </c>
      <c r="AP493" s="243">
        <f>H493*(1-0)</f>
        <v>0</v>
      </c>
      <c r="AQ493" s="245" t="s">
        <v>567</v>
      </c>
      <c r="AV493" s="243">
        <f t="shared" si="592"/>
        <v>0</v>
      </c>
      <c r="AW493" s="243">
        <f t="shared" si="593"/>
        <v>0</v>
      </c>
      <c r="AX493" s="243">
        <f t="shared" si="594"/>
        <v>0</v>
      </c>
      <c r="AY493" s="245" t="s">
        <v>588</v>
      </c>
      <c r="AZ493" s="245" t="s">
        <v>1020</v>
      </c>
      <c r="BA493" s="232" t="s">
        <v>993</v>
      </c>
      <c r="BC493" s="243">
        <f t="shared" si="595"/>
        <v>0</v>
      </c>
      <c r="BD493" s="243">
        <f t="shared" si="596"/>
        <v>0</v>
      </c>
      <c r="BE493" s="243">
        <v>0</v>
      </c>
      <c r="BF493" s="243">
        <f>493</f>
        <v>493</v>
      </c>
      <c r="BH493" s="243">
        <f t="shared" si="597"/>
        <v>0</v>
      </c>
      <c r="BI493" s="243">
        <f t="shared" si="598"/>
        <v>0</v>
      </c>
      <c r="BJ493" s="243">
        <f t="shared" si="599"/>
        <v>0</v>
      </c>
      <c r="BK493" s="243"/>
      <c r="BL493" s="243">
        <v>733</v>
      </c>
      <c r="BW493" s="243">
        <v>21</v>
      </c>
    </row>
    <row r="494" spans="1:75" ht="13.5" customHeight="1">
      <c r="A494" s="207" t="s">
        <v>1028</v>
      </c>
      <c r="B494" s="208" t="s">
        <v>990</v>
      </c>
      <c r="C494" s="208" t="s">
        <v>408</v>
      </c>
      <c r="D494" s="268" t="s">
        <v>1351</v>
      </c>
      <c r="E494" s="260"/>
      <c r="F494" s="208" t="s">
        <v>63</v>
      </c>
      <c r="G494" s="243">
        <v>6</v>
      </c>
      <c r="H494" s="244">
        <v>0</v>
      </c>
      <c r="I494" s="244">
        <f t="shared" si="580"/>
        <v>0</v>
      </c>
      <c r="K494" s="231"/>
      <c r="Z494" s="243">
        <f t="shared" si="581"/>
        <v>0</v>
      </c>
      <c r="AB494" s="243">
        <f t="shared" si="582"/>
        <v>0</v>
      </c>
      <c r="AC494" s="243">
        <f t="shared" si="583"/>
        <v>0</v>
      </c>
      <c r="AD494" s="243">
        <f t="shared" si="584"/>
        <v>0</v>
      </c>
      <c r="AE494" s="243">
        <f t="shared" si="585"/>
        <v>0</v>
      </c>
      <c r="AF494" s="243">
        <f t="shared" si="586"/>
        <v>0</v>
      </c>
      <c r="AG494" s="243">
        <f t="shared" si="587"/>
        <v>0</v>
      </c>
      <c r="AH494" s="243">
        <f t="shared" si="588"/>
        <v>0</v>
      </c>
      <c r="AI494" s="232" t="s">
        <v>990</v>
      </c>
      <c r="AJ494" s="243">
        <f t="shared" si="589"/>
        <v>0</v>
      </c>
      <c r="AK494" s="243">
        <f t="shared" si="590"/>
        <v>0</v>
      </c>
      <c r="AL494" s="243">
        <f t="shared" si="591"/>
        <v>0</v>
      </c>
      <c r="AN494" s="243">
        <v>21</v>
      </c>
      <c r="AO494" s="243">
        <f>H494*1</f>
        <v>0</v>
      </c>
      <c r="AP494" s="243">
        <f>H494*(1-1)</f>
        <v>0</v>
      </c>
      <c r="AQ494" s="245" t="s">
        <v>567</v>
      </c>
      <c r="AV494" s="243">
        <f t="shared" si="592"/>
        <v>0</v>
      </c>
      <c r="AW494" s="243">
        <f t="shared" si="593"/>
        <v>0</v>
      </c>
      <c r="AX494" s="243">
        <f t="shared" si="594"/>
        <v>0</v>
      </c>
      <c r="AY494" s="245" t="s">
        <v>588</v>
      </c>
      <c r="AZ494" s="245" t="s">
        <v>1020</v>
      </c>
      <c r="BA494" s="232" t="s">
        <v>993</v>
      </c>
      <c r="BC494" s="243">
        <f t="shared" si="595"/>
        <v>0</v>
      </c>
      <c r="BD494" s="243">
        <f t="shared" si="596"/>
        <v>0</v>
      </c>
      <c r="BE494" s="243">
        <v>0</v>
      </c>
      <c r="BF494" s="243">
        <f>494</f>
        <v>494</v>
      </c>
      <c r="BH494" s="243">
        <f t="shared" si="597"/>
        <v>0</v>
      </c>
      <c r="BI494" s="243">
        <f t="shared" si="598"/>
        <v>0</v>
      </c>
      <c r="BJ494" s="243">
        <f t="shared" si="599"/>
        <v>0</v>
      </c>
      <c r="BK494" s="243"/>
      <c r="BL494" s="243">
        <v>733</v>
      </c>
      <c r="BW494" s="243">
        <v>21</v>
      </c>
    </row>
    <row r="495" spans="1:75" ht="13.5" customHeight="1">
      <c r="A495" s="207" t="s">
        <v>1029</v>
      </c>
      <c r="B495" s="208" t="s">
        <v>990</v>
      </c>
      <c r="C495" s="208" t="s">
        <v>410</v>
      </c>
      <c r="D495" s="268" t="s">
        <v>1352</v>
      </c>
      <c r="E495" s="260"/>
      <c r="F495" s="208" t="s">
        <v>63</v>
      </c>
      <c r="G495" s="243">
        <v>8</v>
      </c>
      <c r="H495" s="244">
        <v>0</v>
      </c>
      <c r="I495" s="244">
        <f t="shared" si="580"/>
        <v>0</v>
      </c>
      <c r="K495" s="231"/>
      <c r="Z495" s="243">
        <f t="shared" si="581"/>
        <v>0</v>
      </c>
      <c r="AB495" s="243">
        <f t="shared" si="582"/>
        <v>0</v>
      </c>
      <c r="AC495" s="243">
        <f t="shared" si="583"/>
        <v>0</v>
      </c>
      <c r="AD495" s="243">
        <f t="shared" si="584"/>
        <v>0</v>
      </c>
      <c r="AE495" s="243">
        <f t="shared" si="585"/>
        <v>0</v>
      </c>
      <c r="AF495" s="243">
        <f t="shared" si="586"/>
        <v>0</v>
      </c>
      <c r="AG495" s="243">
        <f t="shared" si="587"/>
        <v>0</v>
      </c>
      <c r="AH495" s="243">
        <f t="shared" si="588"/>
        <v>0</v>
      </c>
      <c r="AI495" s="232" t="s">
        <v>990</v>
      </c>
      <c r="AJ495" s="243">
        <f t="shared" si="589"/>
        <v>0</v>
      </c>
      <c r="AK495" s="243">
        <f t="shared" si="590"/>
        <v>0</v>
      </c>
      <c r="AL495" s="243">
        <f t="shared" si="591"/>
        <v>0</v>
      </c>
      <c r="AN495" s="243">
        <v>21</v>
      </c>
      <c r="AO495" s="243">
        <f>H495*1</f>
        <v>0</v>
      </c>
      <c r="AP495" s="243">
        <f>H495*(1-1)</f>
        <v>0</v>
      </c>
      <c r="AQ495" s="245" t="s">
        <v>567</v>
      </c>
      <c r="AV495" s="243">
        <f t="shared" si="592"/>
        <v>0</v>
      </c>
      <c r="AW495" s="243">
        <f t="shared" si="593"/>
        <v>0</v>
      </c>
      <c r="AX495" s="243">
        <f t="shared" si="594"/>
        <v>0</v>
      </c>
      <c r="AY495" s="245" t="s">
        <v>588</v>
      </c>
      <c r="AZ495" s="245" t="s">
        <v>1020</v>
      </c>
      <c r="BA495" s="232" t="s">
        <v>993</v>
      </c>
      <c r="BC495" s="243">
        <f t="shared" si="595"/>
        <v>0</v>
      </c>
      <c r="BD495" s="243">
        <f t="shared" si="596"/>
        <v>0</v>
      </c>
      <c r="BE495" s="243">
        <v>0</v>
      </c>
      <c r="BF495" s="243">
        <f>495</f>
        <v>495</v>
      </c>
      <c r="BH495" s="243">
        <f t="shared" si="597"/>
        <v>0</v>
      </c>
      <c r="BI495" s="243">
        <f t="shared" si="598"/>
        <v>0</v>
      </c>
      <c r="BJ495" s="243">
        <f t="shared" si="599"/>
        <v>0</v>
      </c>
      <c r="BK495" s="243"/>
      <c r="BL495" s="243">
        <v>733</v>
      </c>
      <c r="BW495" s="243">
        <v>21</v>
      </c>
    </row>
    <row r="496" spans="1:75" ht="13.5" customHeight="1">
      <c r="A496" s="207" t="s">
        <v>1030</v>
      </c>
      <c r="B496" s="208" t="s">
        <v>990</v>
      </c>
      <c r="C496" s="208" t="s">
        <v>412</v>
      </c>
      <c r="D496" s="268" t="s">
        <v>1353</v>
      </c>
      <c r="E496" s="260"/>
      <c r="F496" s="208" t="s">
        <v>63</v>
      </c>
      <c r="G496" s="243">
        <v>0.5</v>
      </c>
      <c r="H496" s="244">
        <v>0</v>
      </c>
      <c r="I496" s="244">
        <f t="shared" si="580"/>
        <v>0</v>
      </c>
      <c r="K496" s="231"/>
      <c r="Z496" s="243">
        <f t="shared" si="581"/>
        <v>0</v>
      </c>
      <c r="AB496" s="243">
        <f t="shared" si="582"/>
        <v>0</v>
      </c>
      <c r="AC496" s="243">
        <f t="shared" si="583"/>
        <v>0</v>
      </c>
      <c r="AD496" s="243">
        <f t="shared" si="584"/>
        <v>0</v>
      </c>
      <c r="AE496" s="243">
        <f t="shared" si="585"/>
        <v>0</v>
      </c>
      <c r="AF496" s="243">
        <f t="shared" si="586"/>
        <v>0</v>
      </c>
      <c r="AG496" s="243">
        <f t="shared" si="587"/>
        <v>0</v>
      </c>
      <c r="AH496" s="243">
        <f t="shared" si="588"/>
        <v>0</v>
      </c>
      <c r="AI496" s="232" t="s">
        <v>990</v>
      </c>
      <c r="AJ496" s="243">
        <f t="shared" si="589"/>
        <v>0</v>
      </c>
      <c r="AK496" s="243">
        <f t="shared" si="590"/>
        <v>0</v>
      </c>
      <c r="AL496" s="243">
        <f t="shared" si="591"/>
        <v>0</v>
      </c>
      <c r="AN496" s="243">
        <v>21</v>
      </c>
      <c r="AO496" s="243">
        <f>H496*1</f>
        <v>0</v>
      </c>
      <c r="AP496" s="243">
        <f>H496*(1-1)</f>
        <v>0</v>
      </c>
      <c r="AQ496" s="245" t="s">
        <v>567</v>
      </c>
      <c r="AV496" s="243">
        <f t="shared" si="592"/>
        <v>0</v>
      </c>
      <c r="AW496" s="243">
        <f t="shared" si="593"/>
        <v>0</v>
      </c>
      <c r="AX496" s="243">
        <f t="shared" si="594"/>
        <v>0</v>
      </c>
      <c r="AY496" s="245" t="s">
        <v>588</v>
      </c>
      <c r="AZ496" s="245" t="s">
        <v>1020</v>
      </c>
      <c r="BA496" s="232" t="s">
        <v>993</v>
      </c>
      <c r="BC496" s="243">
        <f t="shared" si="595"/>
        <v>0</v>
      </c>
      <c r="BD496" s="243">
        <f t="shared" si="596"/>
        <v>0</v>
      </c>
      <c r="BE496" s="243">
        <v>0</v>
      </c>
      <c r="BF496" s="243">
        <f>496</f>
        <v>496</v>
      </c>
      <c r="BH496" s="243">
        <f t="shared" si="597"/>
        <v>0</v>
      </c>
      <c r="BI496" s="243">
        <f t="shared" si="598"/>
        <v>0</v>
      </c>
      <c r="BJ496" s="243">
        <f t="shared" si="599"/>
        <v>0</v>
      </c>
      <c r="BK496" s="243"/>
      <c r="BL496" s="243">
        <v>733</v>
      </c>
      <c r="BW496" s="243">
        <v>21</v>
      </c>
    </row>
    <row r="497" spans="1:75" ht="15" customHeight="1">
      <c r="A497" s="238" t="s">
        <v>21</v>
      </c>
      <c r="B497" s="239" t="s">
        <v>990</v>
      </c>
      <c r="C497" s="239" t="s">
        <v>95</v>
      </c>
      <c r="D497" s="309" t="s">
        <v>96</v>
      </c>
      <c r="E497" s="310"/>
      <c r="F497" s="240" t="s">
        <v>20</v>
      </c>
      <c r="G497" s="240" t="s">
        <v>20</v>
      </c>
      <c r="H497" s="241" t="s">
        <v>20</v>
      </c>
      <c r="I497" s="242">
        <f>SUM(I498:I512)</f>
        <v>0</v>
      </c>
      <c r="K497" s="231"/>
      <c r="AI497" s="232" t="s">
        <v>990</v>
      </c>
      <c r="AS497" s="225">
        <f>SUM(AJ498:AJ512)</f>
        <v>0</v>
      </c>
      <c r="AT497" s="225">
        <f>SUM(AK498:AK512)</f>
        <v>0</v>
      </c>
      <c r="AU497" s="225">
        <f>SUM(AL498:AL512)</f>
        <v>0</v>
      </c>
    </row>
    <row r="498" spans="1:75" ht="13.5" customHeight="1">
      <c r="A498" s="207" t="s">
        <v>1031</v>
      </c>
      <c r="B498" s="208" t="s">
        <v>990</v>
      </c>
      <c r="C498" s="208" t="s">
        <v>99</v>
      </c>
      <c r="D498" s="268" t="s">
        <v>100</v>
      </c>
      <c r="E498" s="260"/>
      <c r="F498" s="208" t="s">
        <v>68</v>
      </c>
      <c r="G498" s="243">
        <v>6</v>
      </c>
      <c r="H498" s="244">
        <v>0</v>
      </c>
      <c r="I498" s="244">
        <f t="shared" ref="I498:I512" si="600">G498*H498</f>
        <v>0</v>
      </c>
      <c r="K498" s="231"/>
      <c r="Z498" s="243">
        <f t="shared" ref="Z498:Z512" si="601">IF(AQ498="5",BJ498,0)</f>
        <v>0</v>
      </c>
      <c r="AB498" s="243">
        <f t="shared" ref="AB498:AB512" si="602">IF(AQ498="1",BH498,0)</f>
        <v>0</v>
      </c>
      <c r="AC498" s="243">
        <f t="shared" ref="AC498:AC512" si="603">IF(AQ498="1",BI498,0)</f>
        <v>0</v>
      </c>
      <c r="AD498" s="243">
        <f t="shared" ref="AD498:AD512" si="604">IF(AQ498="7",BH498,0)</f>
        <v>0</v>
      </c>
      <c r="AE498" s="243">
        <f t="shared" ref="AE498:AE512" si="605">IF(AQ498="7",BI498,0)</f>
        <v>0</v>
      </c>
      <c r="AF498" s="243">
        <f t="shared" ref="AF498:AF512" si="606">IF(AQ498="2",BH498,0)</f>
        <v>0</v>
      </c>
      <c r="AG498" s="243">
        <f t="shared" ref="AG498:AG512" si="607">IF(AQ498="2",BI498,0)</f>
        <v>0</v>
      </c>
      <c r="AH498" s="243">
        <f t="shared" ref="AH498:AH512" si="608">IF(AQ498="0",BJ498,0)</f>
        <v>0</v>
      </c>
      <c r="AI498" s="232" t="s">
        <v>990</v>
      </c>
      <c r="AJ498" s="243">
        <f t="shared" ref="AJ498:AJ512" si="609">IF(AN498=0,I498,0)</f>
        <v>0</v>
      </c>
      <c r="AK498" s="243">
        <f t="shared" ref="AK498:AK512" si="610">IF(AN498=12,I498,0)</f>
        <v>0</v>
      </c>
      <c r="AL498" s="243">
        <f t="shared" ref="AL498:AL512" si="611">IF(AN498=21,I498,0)</f>
        <v>0</v>
      </c>
      <c r="AN498" s="243">
        <v>21</v>
      </c>
      <c r="AO498" s="243">
        <f>H498*0.289347179920003</f>
        <v>0</v>
      </c>
      <c r="AP498" s="243">
        <f>H498*(1-0.289347179920003)</f>
        <v>0</v>
      </c>
      <c r="AQ498" s="245" t="s">
        <v>567</v>
      </c>
      <c r="AV498" s="243">
        <f t="shared" ref="AV498:AV512" si="612">AW498+AX498</f>
        <v>0</v>
      </c>
      <c r="AW498" s="243">
        <f t="shared" ref="AW498:AW512" si="613">G498*AO498</f>
        <v>0</v>
      </c>
      <c r="AX498" s="243">
        <f t="shared" ref="AX498:AX512" si="614">G498*AP498</f>
        <v>0</v>
      </c>
      <c r="AY498" s="245" t="s">
        <v>593</v>
      </c>
      <c r="AZ498" s="245" t="s">
        <v>1020</v>
      </c>
      <c r="BA498" s="232" t="s">
        <v>993</v>
      </c>
      <c r="BC498" s="243">
        <f t="shared" ref="BC498:BC512" si="615">AW498+AX498</f>
        <v>0</v>
      </c>
      <c r="BD498" s="243">
        <f t="shared" ref="BD498:BD512" si="616">H498/(100-BE498)*100</f>
        <v>0</v>
      </c>
      <c r="BE498" s="243">
        <v>0</v>
      </c>
      <c r="BF498" s="243">
        <f>498</f>
        <v>498</v>
      </c>
      <c r="BH498" s="243">
        <f t="shared" ref="BH498:BH512" si="617">G498*AO498</f>
        <v>0</v>
      </c>
      <c r="BI498" s="243">
        <f t="shared" ref="BI498:BI512" si="618">G498*AP498</f>
        <v>0</v>
      </c>
      <c r="BJ498" s="243">
        <f t="shared" ref="BJ498:BJ512" si="619">G498*H498</f>
        <v>0</v>
      </c>
      <c r="BK498" s="243"/>
      <c r="BL498" s="243">
        <v>734</v>
      </c>
      <c r="BW498" s="243">
        <v>21</v>
      </c>
    </row>
    <row r="499" spans="1:75" ht="13.5" customHeight="1">
      <c r="A499" s="207" t="s">
        <v>1032</v>
      </c>
      <c r="B499" s="208" t="s">
        <v>990</v>
      </c>
      <c r="C499" s="208" t="s">
        <v>97</v>
      </c>
      <c r="D499" s="268" t="s">
        <v>98</v>
      </c>
      <c r="E499" s="260"/>
      <c r="F499" s="208" t="s">
        <v>68</v>
      </c>
      <c r="G499" s="243">
        <v>4</v>
      </c>
      <c r="H499" s="244">
        <v>0</v>
      </c>
      <c r="I499" s="244">
        <f t="shared" si="600"/>
        <v>0</v>
      </c>
      <c r="K499" s="231"/>
      <c r="Z499" s="243">
        <f t="shared" si="601"/>
        <v>0</v>
      </c>
      <c r="AB499" s="243">
        <f t="shared" si="602"/>
        <v>0</v>
      </c>
      <c r="AC499" s="243">
        <f t="shared" si="603"/>
        <v>0</v>
      </c>
      <c r="AD499" s="243">
        <f t="shared" si="604"/>
        <v>0</v>
      </c>
      <c r="AE499" s="243">
        <f t="shared" si="605"/>
        <v>0</v>
      </c>
      <c r="AF499" s="243">
        <f t="shared" si="606"/>
        <v>0</v>
      </c>
      <c r="AG499" s="243">
        <f t="shared" si="607"/>
        <v>0</v>
      </c>
      <c r="AH499" s="243">
        <f t="shared" si="608"/>
        <v>0</v>
      </c>
      <c r="AI499" s="232" t="s">
        <v>990</v>
      </c>
      <c r="AJ499" s="243">
        <f t="shared" si="609"/>
        <v>0</v>
      </c>
      <c r="AK499" s="243">
        <f t="shared" si="610"/>
        <v>0</v>
      </c>
      <c r="AL499" s="243">
        <f t="shared" si="611"/>
        <v>0</v>
      </c>
      <c r="AN499" s="243">
        <v>21</v>
      </c>
      <c r="AO499" s="243">
        <f>H499*0.0054421768707483</f>
        <v>0</v>
      </c>
      <c r="AP499" s="243">
        <f>H499*(1-0.0054421768707483)</f>
        <v>0</v>
      </c>
      <c r="AQ499" s="245" t="s">
        <v>567</v>
      </c>
      <c r="AV499" s="243">
        <f t="shared" si="612"/>
        <v>0</v>
      </c>
      <c r="AW499" s="243">
        <f t="shared" si="613"/>
        <v>0</v>
      </c>
      <c r="AX499" s="243">
        <f t="shared" si="614"/>
        <v>0</v>
      </c>
      <c r="AY499" s="245" t="s">
        <v>593</v>
      </c>
      <c r="AZ499" s="245" t="s">
        <v>1020</v>
      </c>
      <c r="BA499" s="232" t="s">
        <v>993</v>
      </c>
      <c r="BC499" s="243">
        <f t="shared" si="615"/>
        <v>0</v>
      </c>
      <c r="BD499" s="243">
        <f t="shared" si="616"/>
        <v>0</v>
      </c>
      <c r="BE499" s="243">
        <v>0</v>
      </c>
      <c r="BF499" s="243">
        <f>499</f>
        <v>499</v>
      </c>
      <c r="BH499" s="243">
        <f t="shared" si="617"/>
        <v>0</v>
      </c>
      <c r="BI499" s="243">
        <f t="shared" si="618"/>
        <v>0</v>
      </c>
      <c r="BJ499" s="243">
        <f t="shared" si="619"/>
        <v>0</v>
      </c>
      <c r="BK499" s="243"/>
      <c r="BL499" s="243">
        <v>734</v>
      </c>
      <c r="BW499" s="243">
        <v>21</v>
      </c>
    </row>
    <row r="500" spans="1:75" ht="13.5" customHeight="1">
      <c r="A500" s="207" t="s">
        <v>1033</v>
      </c>
      <c r="B500" s="208" t="s">
        <v>990</v>
      </c>
      <c r="C500" s="208" t="s">
        <v>414</v>
      </c>
      <c r="D500" s="268" t="s">
        <v>1354</v>
      </c>
      <c r="E500" s="260"/>
      <c r="F500" s="208" t="s">
        <v>68</v>
      </c>
      <c r="G500" s="243">
        <v>2</v>
      </c>
      <c r="H500" s="244">
        <v>0</v>
      </c>
      <c r="I500" s="244">
        <f t="shared" si="600"/>
        <v>0</v>
      </c>
      <c r="K500" s="231"/>
      <c r="Z500" s="243">
        <f t="shared" si="601"/>
        <v>0</v>
      </c>
      <c r="AB500" s="243">
        <f t="shared" si="602"/>
        <v>0</v>
      </c>
      <c r="AC500" s="243">
        <f t="shared" si="603"/>
        <v>0</v>
      </c>
      <c r="AD500" s="243">
        <f t="shared" si="604"/>
        <v>0</v>
      </c>
      <c r="AE500" s="243">
        <f t="shared" si="605"/>
        <v>0</v>
      </c>
      <c r="AF500" s="243">
        <f t="shared" si="606"/>
        <v>0</v>
      </c>
      <c r="AG500" s="243">
        <f t="shared" si="607"/>
        <v>0</v>
      </c>
      <c r="AH500" s="243">
        <f t="shared" si="608"/>
        <v>0</v>
      </c>
      <c r="AI500" s="232" t="s">
        <v>990</v>
      </c>
      <c r="AJ500" s="243">
        <f t="shared" si="609"/>
        <v>0</v>
      </c>
      <c r="AK500" s="243">
        <f t="shared" si="610"/>
        <v>0</v>
      </c>
      <c r="AL500" s="243">
        <f t="shared" si="611"/>
        <v>0</v>
      </c>
      <c r="AN500" s="243">
        <v>21</v>
      </c>
      <c r="AO500" s="243">
        <f>H500*0.925843353557639</f>
        <v>0</v>
      </c>
      <c r="AP500" s="243">
        <f>H500*(1-0.925843353557639)</f>
        <v>0</v>
      </c>
      <c r="AQ500" s="245" t="s">
        <v>567</v>
      </c>
      <c r="AV500" s="243">
        <f t="shared" si="612"/>
        <v>0</v>
      </c>
      <c r="AW500" s="243">
        <f t="shared" si="613"/>
        <v>0</v>
      </c>
      <c r="AX500" s="243">
        <f t="shared" si="614"/>
        <v>0</v>
      </c>
      <c r="AY500" s="245" t="s">
        <v>593</v>
      </c>
      <c r="AZ500" s="245" t="s">
        <v>1020</v>
      </c>
      <c r="BA500" s="232" t="s">
        <v>993</v>
      </c>
      <c r="BC500" s="243">
        <f t="shared" si="615"/>
        <v>0</v>
      </c>
      <c r="BD500" s="243">
        <f t="shared" si="616"/>
        <v>0</v>
      </c>
      <c r="BE500" s="243">
        <v>0</v>
      </c>
      <c r="BF500" s="243">
        <f>500</f>
        <v>500</v>
      </c>
      <c r="BH500" s="243">
        <f t="shared" si="617"/>
        <v>0</v>
      </c>
      <c r="BI500" s="243">
        <f t="shared" si="618"/>
        <v>0</v>
      </c>
      <c r="BJ500" s="243">
        <f t="shared" si="619"/>
        <v>0</v>
      </c>
      <c r="BK500" s="243"/>
      <c r="BL500" s="243">
        <v>734</v>
      </c>
      <c r="BW500" s="243">
        <v>21</v>
      </c>
    </row>
    <row r="501" spans="1:75" ht="13.5" customHeight="1">
      <c r="A501" s="207" t="s">
        <v>1034</v>
      </c>
      <c r="B501" s="208" t="s">
        <v>990</v>
      </c>
      <c r="C501" s="208" t="s">
        <v>416</v>
      </c>
      <c r="D501" s="268" t="s">
        <v>417</v>
      </c>
      <c r="E501" s="260"/>
      <c r="F501" s="208" t="s">
        <v>68</v>
      </c>
      <c r="G501" s="243">
        <v>6</v>
      </c>
      <c r="H501" s="244">
        <v>0</v>
      </c>
      <c r="I501" s="244">
        <f t="shared" si="600"/>
        <v>0</v>
      </c>
      <c r="K501" s="231"/>
      <c r="Z501" s="243">
        <f t="shared" si="601"/>
        <v>0</v>
      </c>
      <c r="AB501" s="243">
        <f t="shared" si="602"/>
        <v>0</v>
      </c>
      <c r="AC501" s="243">
        <f t="shared" si="603"/>
        <v>0</v>
      </c>
      <c r="AD501" s="243">
        <f t="shared" si="604"/>
        <v>0</v>
      </c>
      <c r="AE501" s="243">
        <f t="shared" si="605"/>
        <v>0</v>
      </c>
      <c r="AF501" s="243">
        <f t="shared" si="606"/>
        <v>0</v>
      </c>
      <c r="AG501" s="243">
        <f t="shared" si="607"/>
        <v>0</v>
      </c>
      <c r="AH501" s="243">
        <f t="shared" si="608"/>
        <v>0</v>
      </c>
      <c r="AI501" s="232" t="s">
        <v>990</v>
      </c>
      <c r="AJ501" s="243">
        <f t="shared" si="609"/>
        <v>0</v>
      </c>
      <c r="AK501" s="243">
        <f t="shared" si="610"/>
        <v>0</v>
      </c>
      <c r="AL501" s="243">
        <f t="shared" si="611"/>
        <v>0</v>
      </c>
      <c r="AN501" s="243">
        <v>21</v>
      </c>
      <c r="AO501" s="243">
        <f>H501*0.711852348993289</f>
        <v>0</v>
      </c>
      <c r="AP501" s="243">
        <f>H501*(1-0.711852348993289)</f>
        <v>0</v>
      </c>
      <c r="AQ501" s="245" t="s">
        <v>567</v>
      </c>
      <c r="AV501" s="243">
        <f t="shared" si="612"/>
        <v>0</v>
      </c>
      <c r="AW501" s="243">
        <f t="shared" si="613"/>
        <v>0</v>
      </c>
      <c r="AX501" s="243">
        <f t="shared" si="614"/>
        <v>0</v>
      </c>
      <c r="AY501" s="245" t="s">
        <v>593</v>
      </c>
      <c r="AZ501" s="245" t="s">
        <v>1020</v>
      </c>
      <c r="BA501" s="232" t="s">
        <v>993</v>
      </c>
      <c r="BC501" s="243">
        <f t="shared" si="615"/>
        <v>0</v>
      </c>
      <c r="BD501" s="243">
        <f t="shared" si="616"/>
        <v>0</v>
      </c>
      <c r="BE501" s="243">
        <v>0</v>
      </c>
      <c r="BF501" s="243">
        <f>501</f>
        <v>501</v>
      </c>
      <c r="BH501" s="243">
        <f t="shared" si="617"/>
        <v>0</v>
      </c>
      <c r="BI501" s="243">
        <f t="shared" si="618"/>
        <v>0</v>
      </c>
      <c r="BJ501" s="243">
        <f t="shared" si="619"/>
        <v>0</v>
      </c>
      <c r="BK501" s="243"/>
      <c r="BL501" s="243">
        <v>734</v>
      </c>
      <c r="BW501" s="243">
        <v>21</v>
      </c>
    </row>
    <row r="502" spans="1:75" ht="13.5" customHeight="1">
      <c r="A502" s="207" t="s">
        <v>1035</v>
      </c>
      <c r="B502" s="208" t="s">
        <v>990</v>
      </c>
      <c r="C502" s="208" t="s">
        <v>418</v>
      </c>
      <c r="D502" s="268" t="s">
        <v>419</v>
      </c>
      <c r="E502" s="260"/>
      <c r="F502" s="208" t="s">
        <v>68</v>
      </c>
      <c r="G502" s="243">
        <v>3</v>
      </c>
      <c r="H502" s="244">
        <v>0</v>
      </c>
      <c r="I502" s="244">
        <f t="shared" si="600"/>
        <v>0</v>
      </c>
      <c r="K502" s="231"/>
      <c r="Z502" s="243">
        <f t="shared" si="601"/>
        <v>0</v>
      </c>
      <c r="AB502" s="243">
        <f t="shared" si="602"/>
        <v>0</v>
      </c>
      <c r="AC502" s="243">
        <f t="shared" si="603"/>
        <v>0</v>
      </c>
      <c r="AD502" s="243">
        <f t="shared" si="604"/>
        <v>0</v>
      </c>
      <c r="AE502" s="243">
        <f t="shared" si="605"/>
        <v>0</v>
      </c>
      <c r="AF502" s="243">
        <f t="shared" si="606"/>
        <v>0</v>
      </c>
      <c r="AG502" s="243">
        <f t="shared" si="607"/>
        <v>0</v>
      </c>
      <c r="AH502" s="243">
        <f t="shared" si="608"/>
        <v>0</v>
      </c>
      <c r="AI502" s="232" t="s">
        <v>990</v>
      </c>
      <c r="AJ502" s="243">
        <f t="shared" si="609"/>
        <v>0</v>
      </c>
      <c r="AK502" s="243">
        <f t="shared" si="610"/>
        <v>0</v>
      </c>
      <c r="AL502" s="243">
        <f t="shared" si="611"/>
        <v>0</v>
      </c>
      <c r="AN502" s="243">
        <v>21</v>
      </c>
      <c r="AO502" s="243">
        <f>H502*0.893467248908297</f>
        <v>0</v>
      </c>
      <c r="AP502" s="243">
        <f>H502*(1-0.893467248908297)</f>
        <v>0</v>
      </c>
      <c r="AQ502" s="245" t="s">
        <v>567</v>
      </c>
      <c r="AV502" s="243">
        <f t="shared" si="612"/>
        <v>0</v>
      </c>
      <c r="AW502" s="243">
        <f t="shared" si="613"/>
        <v>0</v>
      </c>
      <c r="AX502" s="243">
        <f t="shared" si="614"/>
        <v>0</v>
      </c>
      <c r="AY502" s="245" t="s">
        <v>593</v>
      </c>
      <c r="AZ502" s="245" t="s">
        <v>1020</v>
      </c>
      <c r="BA502" s="232" t="s">
        <v>993</v>
      </c>
      <c r="BC502" s="243">
        <f t="shared" si="615"/>
        <v>0</v>
      </c>
      <c r="BD502" s="243">
        <f t="shared" si="616"/>
        <v>0</v>
      </c>
      <c r="BE502" s="243">
        <v>0</v>
      </c>
      <c r="BF502" s="243">
        <f>502</f>
        <v>502</v>
      </c>
      <c r="BH502" s="243">
        <f t="shared" si="617"/>
        <v>0</v>
      </c>
      <c r="BI502" s="243">
        <f t="shared" si="618"/>
        <v>0</v>
      </c>
      <c r="BJ502" s="243">
        <f t="shared" si="619"/>
        <v>0</v>
      </c>
      <c r="BK502" s="243"/>
      <c r="BL502" s="243">
        <v>734</v>
      </c>
      <c r="BW502" s="243">
        <v>21</v>
      </c>
    </row>
    <row r="503" spans="1:75" ht="13.5" customHeight="1">
      <c r="A503" s="207" t="s">
        <v>1036</v>
      </c>
      <c r="B503" s="208" t="s">
        <v>990</v>
      </c>
      <c r="C503" s="208" t="s">
        <v>420</v>
      </c>
      <c r="D503" s="268" t="s">
        <v>421</v>
      </c>
      <c r="E503" s="260"/>
      <c r="F503" s="208" t="s">
        <v>68</v>
      </c>
      <c r="G503" s="243">
        <v>1</v>
      </c>
      <c r="H503" s="244">
        <v>0</v>
      </c>
      <c r="I503" s="244">
        <f t="shared" si="600"/>
        <v>0</v>
      </c>
      <c r="K503" s="231"/>
      <c r="Z503" s="243">
        <f t="shared" si="601"/>
        <v>0</v>
      </c>
      <c r="AB503" s="243">
        <f t="shared" si="602"/>
        <v>0</v>
      </c>
      <c r="AC503" s="243">
        <f t="shared" si="603"/>
        <v>0</v>
      </c>
      <c r="AD503" s="243">
        <f t="shared" si="604"/>
        <v>0</v>
      </c>
      <c r="AE503" s="243">
        <f t="shared" si="605"/>
        <v>0</v>
      </c>
      <c r="AF503" s="243">
        <f t="shared" si="606"/>
        <v>0</v>
      </c>
      <c r="AG503" s="243">
        <f t="shared" si="607"/>
        <v>0</v>
      </c>
      <c r="AH503" s="243">
        <f t="shared" si="608"/>
        <v>0</v>
      </c>
      <c r="AI503" s="232" t="s">
        <v>990</v>
      </c>
      <c r="AJ503" s="243">
        <f t="shared" si="609"/>
        <v>0</v>
      </c>
      <c r="AK503" s="243">
        <f t="shared" si="610"/>
        <v>0</v>
      </c>
      <c r="AL503" s="243">
        <f t="shared" si="611"/>
        <v>0</v>
      </c>
      <c r="AN503" s="243">
        <v>21</v>
      </c>
      <c r="AO503" s="243">
        <f>H503*0.945546104928458</f>
        <v>0</v>
      </c>
      <c r="AP503" s="243">
        <f>H503*(1-0.945546104928458)</f>
        <v>0</v>
      </c>
      <c r="AQ503" s="245" t="s">
        <v>567</v>
      </c>
      <c r="AV503" s="243">
        <f t="shared" si="612"/>
        <v>0</v>
      </c>
      <c r="AW503" s="243">
        <f t="shared" si="613"/>
        <v>0</v>
      </c>
      <c r="AX503" s="243">
        <f t="shared" si="614"/>
        <v>0</v>
      </c>
      <c r="AY503" s="245" t="s">
        <v>593</v>
      </c>
      <c r="AZ503" s="245" t="s">
        <v>1020</v>
      </c>
      <c r="BA503" s="232" t="s">
        <v>993</v>
      </c>
      <c r="BC503" s="243">
        <f t="shared" si="615"/>
        <v>0</v>
      </c>
      <c r="BD503" s="243">
        <f t="shared" si="616"/>
        <v>0</v>
      </c>
      <c r="BE503" s="243">
        <v>0</v>
      </c>
      <c r="BF503" s="243">
        <f>503</f>
        <v>503</v>
      </c>
      <c r="BH503" s="243">
        <f t="shared" si="617"/>
        <v>0</v>
      </c>
      <c r="BI503" s="243">
        <f t="shared" si="618"/>
        <v>0</v>
      </c>
      <c r="BJ503" s="243">
        <f t="shared" si="619"/>
        <v>0</v>
      </c>
      <c r="BK503" s="243"/>
      <c r="BL503" s="243">
        <v>734</v>
      </c>
      <c r="BW503" s="243">
        <v>21</v>
      </c>
    </row>
    <row r="504" spans="1:75" ht="13.5" customHeight="1">
      <c r="A504" s="207" t="s">
        <v>1037</v>
      </c>
      <c r="B504" s="208" t="s">
        <v>990</v>
      </c>
      <c r="C504" s="208" t="s">
        <v>422</v>
      </c>
      <c r="D504" s="268" t="s">
        <v>423</v>
      </c>
      <c r="E504" s="260"/>
      <c r="F504" s="208" t="s">
        <v>68</v>
      </c>
      <c r="G504" s="243">
        <v>1</v>
      </c>
      <c r="H504" s="244">
        <v>0</v>
      </c>
      <c r="I504" s="244">
        <f t="shared" si="600"/>
        <v>0</v>
      </c>
      <c r="K504" s="231"/>
      <c r="Z504" s="243">
        <f t="shared" si="601"/>
        <v>0</v>
      </c>
      <c r="AB504" s="243">
        <f t="shared" si="602"/>
        <v>0</v>
      </c>
      <c r="AC504" s="243">
        <f t="shared" si="603"/>
        <v>0</v>
      </c>
      <c r="AD504" s="243">
        <f t="shared" si="604"/>
        <v>0</v>
      </c>
      <c r="AE504" s="243">
        <f t="shared" si="605"/>
        <v>0</v>
      </c>
      <c r="AF504" s="243">
        <f t="shared" si="606"/>
        <v>0</v>
      </c>
      <c r="AG504" s="243">
        <f t="shared" si="607"/>
        <v>0</v>
      </c>
      <c r="AH504" s="243">
        <f t="shared" si="608"/>
        <v>0</v>
      </c>
      <c r="AI504" s="232" t="s">
        <v>990</v>
      </c>
      <c r="AJ504" s="243">
        <f t="shared" si="609"/>
        <v>0</v>
      </c>
      <c r="AK504" s="243">
        <f t="shared" si="610"/>
        <v>0</v>
      </c>
      <c r="AL504" s="243">
        <f t="shared" si="611"/>
        <v>0</v>
      </c>
      <c r="AN504" s="243">
        <v>21</v>
      </c>
      <c r="AO504" s="243">
        <f>H504*0.913686165273909</f>
        <v>0</v>
      </c>
      <c r="AP504" s="243">
        <f>H504*(1-0.913686165273909)</f>
        <v>0</v>
      </c>
      <c r="AQ504" s="245" t="s">
        <v>567</v>
      </c>
      <c r="AV504" s="243">
        <f t="shared" si="612"/>
        <v>0</v>
      </c>
      <c r="AW504" s="243">
        <f t="shared" si="613"/>
        <v>0</v>
      </c>
      <c r="AX504" s="243">
        <f t="shared" si="614"/>
        <v>0</v>
      </c>
      <c r="AY504" s="245" t="s">
        <v>593</v>
      </c>
      <c r="AZ504" s="245" t="s">
        <v>1020</v>
      </c>
      <c r="BA504" s="232" t="s">
        <v>993</v>
      </c>
      <c r="BC504" s="243">
        <f t="shared" si="615"/>
        <v>0</v>
      </c>
      <c r="BD504" s="243">
        <f t="shared" si="616"/>
        <v>0</v>
      </c>
      <c r="BE504" s="243">
        <v>0</v>
      </c>
      <c r="BF504" s="243">
        <f>504</f>
        <v>504</v>
      </c>
      <c r="BH504" s="243">
        <f t="shared" si="617"/>
        <v>0</v>
      </c>
      <c r="BI504" s="243">
        <f t="shared" si="618"/>
        <v>0</v>
      </c>
      <c r="BJ504" s="243">
        <f t="shared" si="619"/>
        <v>0</v>
      </c>
      <c r="BK504" s="243"/>
      <c r="BL504" s="243">
        <v>734</v>
      </c>
      <c r="BW504" s="243">
        <v>21</v>
      </c>
    </row>
    <row r="505" spans="1:75" ht="13.5" customHeight="1">
      <c r="A505" s="207" t="s">
        <v>1038</v>
      </c>
      <c r="B505" s="208" t="s">
        <v>990</v>
      </c>
      <c r="C505" s="208" t="s">
        <v>424</v>
      </c>
      <c r="D505" s="268" t="s">
        <v>1374</v>
      </c>
      <c r="E505" s="260"/>
      <c r="F505" s="208" t="s">
        <v>68</v>
      </c>
      <c r="G505" s="243">
        <v>2</v>
      </c>
      <c r="H505" s="244">
        <v>0</v>
      </c>
      <c r="I505" s="244">
        <f t="shared" si="600"/>
        <v>0</v>
      </c>
      <c r="K505" s="231"/>
      <c r="Z505" s="243">
        <f t="shared" si="601"/>
        <v>0</v>
      </c>
      <c r="AB505" s="243">
        <f t="shared" si="602"/>
        <v>0</v>
      </c>
      <c r="AC505" s="243">
        <f t="shared" si="603"/>
        <v>0</v>
      </c>
      <c r="AD505" s="243">
        <f t="shared" si="604"/>
        <v>0</v>
      </c>
      <c r="AE505" s="243">
        <f t="shared" si="605"/>
        <v>0</v>
      </c>
      <c r="AF505" s="243">
        <f t="shared" si="606"/>
        <v>0</v>
      </c>
      <c r="AG505" s="243">
        <f t="shared" si="607"/>
        <v>0</v>
      </c>
      <c r="AH505" s="243">
        <f t="shared" si="608"/>
        <v>0</v>
      </c>
      <c r="AI505" s="232" t="s">
        <v>990</v>
      </c>
      <c r="AJ505" s="243">
        <f t="shared" si="609"/>
        <v>0</v>
      </c>
      <c r="AK505" s="243">
        <f t="shared" si="610"/>
        <v>0</v>
      </c>
      <c r="AL505" s="243">
        <f t="shared" si="611"/>
        <v>0</v>
      </c>
      <c r="AN505" s="243">
        <v>21</v>
      </c>
      <c r="AO505" s="243">
        <f>H505*0.869366700715015</f>
        <v>0</v>
      </c>
      <c r="AP505" s="243">
        <f>H505*(1-0.869366700715015)</f>
        <v>0</v>
      </c>
      <c r="AQ505" s="245" t="s">
        <v>567</v>
      </c>
      <c r="AV505" s="243">
        <f t="shared" si="612"/>
        <v>0</v>
      </c>
      <c r="AW505" s="243">
        <f t="shared" si="613"/>
        <v>0</v>
      </c>
      <c r="AX505" s="243">
        <f t="shared" si="614"/>
        <v>0</v>
      </c>
      <c r="AY505" s="245" t="s">
        <v>593</v>
      </c>
      <c r="AZ505" s="245" t="s">
        <v>1020</v>
      </c>
      <c r="BA505" s="232" t="s">
        <v>993</v>
      </c>
      <c r="BC505" s="243">
        <f t="shared" si="615"/>
        <v>0</v>
      </c>
      <c r="BD505" s="243">
        <f t="shared" si="616"/>
        <v>0</v>
      </c>
      <c r="BE505" s="243">
        <v>0</v>
      </c>
      <c r="BF505" s="243">
        <f>505</f>
        <v>505</v>
      </c>
      <c r="BH505" s="243">
        <f t="shared" si="617"/>
        <v>0</v>
      </c>
      <c r="BI505" s="243">
        <f t="shared" si="618"/>
        <v>0</v>
      </c>
      <c r="BJ505" s="243">
        <f t="shared" si="619"/>
        <v>0</v>
      </c>
      <c r="BK505" s="243"/>
      <c r="BL505" s="243">
        <v>734</v>
      </c>
      <c r="BW505" s="243">
        <v>21</v>
      </c>
    </row>
    <row r="506" spans="1:75" ht="13.5" customHeight="1">
      <c r="A506" s="207" t="s">
        <v>1039</v>
      </c>
      <c r="B506" s="208" t="s">
        <v>990</v>
      </c>
      <c r="C506" s="208" t="s">
        <v>426</v>
      </c>
      <c r="D506" s="268" t="s">
        <v>1356</v>
      </c>
      <c r="E506" s="260"/>
      <c r="F506" s="208" t="s">
        <v>68</v>
      </c>
      <c r="G506" s="243">
        <v>1</v>
      </c>
      <c r="H506" s="244">
        <v>0</v>
      </c>
      <c r="I506" s="244">
        <f t="shared" si="600"/>
        <v>0</v>
      </c>
      <c r="K506" s="231"/>
      <c r="Z506" s="243">
        <f t="shared" si="601"/>
        <v>0</v>
      </c>
      <c r="AB506" s="243">
        <f t="shared" si="602"/>
        <v>0</v>
      </c>
      <c r="AC506" s="243">
        <f t="shared" si="603"/>
        <v>0</v>
      </c>
      <c r="AD506" s="243">
        <f t="shared" si="604"/>
        <v>0</v>
      </c>
      <c r="AE506" s="243">
        <f t="shared" si="605"/>
        <v>0</v>
      </c>
      <c r="AF506" s="243">
        <f t="shared" si="606"/>
        <v>0</v>
      </c>
      <c r="AG506" s="243">
        <f t="shared" si="607"/>
        <v>0</v>
      </c>
      <c r="AH506" s="243">
        <f t="shared" si="608"/>
        <v>0</v>
      </c>
      <c r="AI506" s="232" t="s">
        <v>990</v>
      </c>
      <c r="AJ506" s="243">
        <f t="shared" si="609"/>
        <v>0</v>
      </c>
      <c r="AK506" s="243">
        <f t="shared" si="610"/>
        <v>0</v>
      </c>
      <c r="AL506" s="243">
        <f t="shared" si="611"/>
        <v>0</v>
      </c>
      <c r="AN506" s="243">
        <v>21</v>
      </c>
      <c r="AO506" s="243">
        <f>H506*0.929993168165776</f>
        <v>0</v>
      </c>
      <c r="AP506" s="243">
        <f>H506*(1-0.929993168165776)</f>
        <v>0</v>
      </c>
      <c r="AQ506" s="245" t="s">
        <v>567</v>
      </c>
      <c r="AV506" s="243">
        <f t="shared" si="612"/>
        <v>0</v>
      </c>
      <c r="AW506" s="243">
        <f t="shared" si="613"/>
        <v>0</v>
      </c>
      <c r="AX506" s="243">
        <f t="shared" si="614"/>
        <v>0</v>
      </c>
      <c r="AY506" s="245" t="s">
        <v>593</v>
      </c>
      <c r="AZ506" s="245" t="s">
        <v>1020</v>
      </c>
      <c r="BA506" s="232" t="s">
        <v>993</v>
      </c>
      <c r="BC506" s="243">
        <f t="shared" si="615"/>
        <v>0</v>
      </c>
      <c r="BD506" s="243">
        <f t="shared" si="616"/>
        <v>0</v>
      </c>
      <c r="BE506" s="243">
        <v>0</v>
      </c>
      <c r="BF506" s="243">
        <f>506</f>
        <v>506</v>
      </c>
      <c r="BH506" s="243">
        <f t="shared" si="617"/>
        <v>0</v>
      </c>
      <c r="BI506" s="243">
        <f t="shared" si="618"/>
        <v>0</v>
      </c>
      <c r="BJ506" s="243">
        <f t="shared" si="619"/>
        <v>0</v>
      </c>
      <c r="BK506" s="243"/>
      <c r="BL506" s="243">
        <v>734</v>
      </c>
      <c r="BW506" s="243">
        <v>21</v>
      </c>
    </row>
    <row r="507" spans="1:75" ht="13.5" customHeight="1">
      <c r="A507" s="207" t="s">
        <v>1040</v>
      </c>
      <c r="B507" s="208" t="s">
        <v>990</v>
      </c>
      <c r="C507" s="208" t="s">
        <v>428</v>
      </c>
      <c r="D507" s="268" t="s">
        <v>1357</v>
      </c>
      <c r="E507" s="260"/>
      <c r="F507" s="208" t="s">
        <v>68</v>
      </c>
      <c r="G507" s="243">
        <v>1</v>
      </c>
      <c r="H507" s="244">
        <v>0</v>
      </c>
      <c r="I507" s="244">
        <f t="shared" si="600"/>
        <v>0</v>
      </c>
      <c r="K507" s="231"/>
      <c r="Z507" s="243">
        <f t="shared" si="601"/>
        <v>0</v>
      </c>
      <c r="AB507" s="243">
        <f t="shared" si="602"/>
        <v>0</v>
      </c>
      <c r="AC507" s="243">
        <f t="shared" si="603"/>
        <v>0</v>
      </c>
      <c r="AD507" s="243">
        <f t="shared" si="604"/>
        <v>0</v>
      </c>
      <c r="AE507" s="243">
        <f t="shared" si="605"/>
        <v>0</v>
      </c>
      <c r="AF507" s="243">
        <f t="shared" si="606"/>
        <v>0</v>
      </c>
      <c r="AG507" s="243">
        <f t="shared" si="607"/>
        <v>0</v>
      </c>
      <c r="AH507" s="243">
        <f t="shared" si="608"/>
        <v>0</v>
      </c>
      <c r="AI507" s="232" t="s">
        <v>990</v>
      </c>
      <c r="AJ507" s="243">
        <f t="shared" si="609"/>
        <v>0</v>
      </c>
      <c r="AK507" s="243">
        <f t="shared" si="610"/>
        <v>0</v>
      </c>
      <c r="AL507" s="243">
        <f t="shared" si="611"/>
        <v>0</v>
      </c>
      <c r="AN507" s="243">
        <v>21</v>
      </c>
      <c r="AO507" s="243">
        <f>H507*0.76990099009901</f>
        <v>0</v>
      </c>
      <c r="AP507" s="243">
        <f>H507*(1-0.76990099009901)</f>
        <v>0</v>
      </c>
      <c r="AQ507" s="245" t="s">
        <v>567</v>
      </c>
      <c r="AV507" s="243">
        <f t="shared" si="612"/>
        <v>0</v>
      </c>
      <c r="AW507" s="243">
        <f t="shared" si="613"/>
        <v>0</v>
      </c>
      <c r="AX507" s="243">
        <f t="shared" si="614"/>
        <v>0</v>
      </c>
      <c r="AY507" s="245" t="s">
        <v>593</v>
      </c>
      <c r="AZ507" s="245" t="s">
        <v>1020</v>
      </c>
      <c r="BA507" s="232" t="s">
        <v>993</v>
      </c>
      <c r="BC507" s="243">
        <f t="shared" si="615"/>
        <v>0</v>
      </c>
      <c r="BD507" s="243">
        <f t="shared" si="616"/>
        <v>0</v>
      </c>
      <c r="BE507" s="243">
        <v>0</v>
      </c>
      <c r="BF507" s="243">
        <f>507</f>
        <v>507</v>
      </c>
      <c r="BH507" s="243">
        <f t="shared" si="617"/>
        <v>0</v>
      </c>
      <c r="BI507" s="243">
        <f t="shared" si="618"/>
        <v>0</v>
      </c>
      <c r="BJ507" s="243">
        <f t="shared" si="619"/>
        <v>0</v>
      </c>
      <c r="BK507" s="243"/>
      <c r="BL507" s="243">
        <v>734</v>
      </c>
      <c r="BW507" s="243">
        <v>21</v>
      </c>
    </row>
    <row r="508" spans="1:75" ht="13.5" customHeight="1">
      <c r="A508" s="207" t="s">
        <v>1041</v>
      </c>
      <c r="B508" s="208" t="s">
        <v>990</v>
      </c>
      <c r="C508" s="208" t="s">
        <v>430</v>
      </c>
      <c r="D508" s="268" t="s">
        <v>1364</v>
      </c>
      <c r="E508" s="260"/>
      <c r="F508" s="208" t="s">
        <v>68</v>
      </c>
      <c r="G508" s="243">
        <v>1</v>
      </c>
      <c r="H508" s="244">
        <v>0</v>
      </c>
      <c r="I508" s="244">
        <f t="shared" si="600"/>
        <v>0</v>
      </c>
      <c r="K508" s="231"/>
      <c r="Z508" s="243">
        <f t="shared" si="601"/>
        <v>0</v>
      </c>
      <c r="AB508" s="243">
        <f t="shared" si="602"/>
        <v>0</v>
      </c>
      <c r="AC508" s="243">
        <f t="shared" si="603"/>
        <v>0</v>
      </c>
      <c r="AD508" s="243">
        <f t="shared" si="604"/>
        <v>0</v>
      </c>
      <c r="AE508" s="243">
        <f t="shared" si="605"/>
        <v>0</v>
      </c>
      <c r="AF508" s="243">
        <f t="shared" si="606"/>
        <v>0</v>
      </c>
      <c r="AG508" s="243">
        <f t="shared" si="607"/>
        <v>0</v>
      </c>
      <c r="AH508" s="243">
        <f t="shared" si="608"/>
        <v>0</v>
      </c>
      <c r="AI508" s="232" t="s">
        <v>990</v>
      </c>
      <c r="AJ508" s="243">
        <f t="shared" si="609"/>
        <v>0</v>
      </c>
      <c r="AK508" s="243">
        <f t="shared" si="610"/>
        <v>0</v>
      </c>
      <c r="AL508" s="243">
        <f t="shared" si="611"/>
        <v>0</v>
      </c>
      <c r="AN508" s="243">
        <v>21</v>
      </c>
      <c r="AO508" s="243">
        <f>H508*0.872981818181818</f>
        <v>0</v>
      </c>
      <c r="AP508" s="243">
        <f>H508*(1-0.872981818181818)</f>
        <v>0</v>
      </c>
      <c r="AQ508" s="245" t="s">
        <v>567</v>
      </c>
      <c r="AV508" s="243">
        <f t="shared" si="612"/>
        <v>0</v>
      </c>
      <c r="AW508" s="243">
        <f t="shared" si="613"/>
        <v>0</v>
      </c>
      <c r="AX508" s="243">
        <f t="shared" si="614"/>
        <v>0</v>
      </c>
      <c r="AY508" s="245" t="s">
        <v>593</v>
      </c>
      <c r="AZ508" s="245" t="s">
        <v>1020</v>
      </c>
      <c r="BA508" s="232" t="s">
        <v>993</v>
      </c>
      <c r="BC508" s="243">
        <f t="shared" si="615"/>
        <v>0</v>
      </c>
      <c r="BD508" s="243">
        <f t="shared" si="616"/>
        <v>0</v>
      </c>
      <c r="BE508" s="243">
        <v>0</v>
      </c>
      <c r="BF508" s="243">
        <f>508</f>
        <v>508</v>
      </c>
      <c r="BH508" s="243">
        <f t="shared" si="617"/>
        <v>0</v>
      </c>
      <c r="BI508" s="243">
        <f t="shared" si="618"/>
        <v>0</v>
      </c>
      <c r="BJ508" s="243">
        <f t="shared" si="619"/>
        <v>0</v>
      </c>
      <c r="BK508" s="243"/>
      <c r="BL508" s="243">
        <v>734</v>
      </c>
      <c r="BW508" s="243">
        <v>21</v>
      </c>
    </row>
    <row r="509" spans="1:75" ht="13.5" customHeight="1">
      <c r="A509" s="207" t="s">
        <v>1042</v>
      </c>
      <c r="B509" s="208" t="s">
        <v>990</v>
      </c>
      <c r="C509" s="208" t="s">
        <v>432</v>
      </c>
      <c r="D509" s="268" t="s">
        <v>433</v>
      </c>
      <c r="E509" s="260"/>
      <c r="F509" s="208" t="s">
        <v>58</v>
      </c>
      <c r="G509" s="243">
        <v>1</v>
      </c>
      <c r="H509" s="244">
        <v>0</v>
      </c>
      <c r="I509" s="244">
        <f t="shared" si="600"/>
        <v>0</v>
      </c>
      <c r="K509" s="231"/>
      <c r="Z509" s="243">
        <f t="shared" si="601"/>
        <v>0</v>
      </c>
      <c r="AB509" s="243">
        <f t="shared" si="602"/>
        <v>0</v>
      </c>
      <c r="AC509" s="243">
        <f t="shared" si="603"/>
        <v>0</v>
      </c>
      <c r="AD509" s="243">
        <f t="shared" si="604"/>
        <v>0</v>
      </c>
      <c r="AE509" s="243">
        <f t="shared" si="605"/>
        <v>0</v>
      </c>
      <c r="AF509" s="243">
        <f t="shared" si="606"/>
        <v>0</v>
      </c>
      <c r="AG509" s="243">
        <f t="shared" si="607"/>
        <v>0</v>
      </c>
      <c r="AH509" s="243">
        <f t="shared" si="608"/>
        <v>0</v>
      </c>
      <c r="AI509" s="232" t="s">
        <v>990</v>
      </c>
      <c r="AJ509" s="243">
        <f t="shared" si="609"/>
        <v>0</v>
      </c>
      <c r="AK509" s="243">
        <f t="shared" si="610"/>
        <v>0</v>
      </c>
      <c r="AL509" s="243">
        <f t="shared" si="611"/>
        <v>0</v>
      </c>
      <c r="AN509" s="243">
        <v>21</v>
      </c>
      <c r="AO509" s="243">
        <f>H509*0.924761904761905</f>
        <v>0</v>
      </c>
      <c r="AP509" s="243">
        <f>H509*(1-0.924761904761905)</f>
        <v>0</v>
      </c>
      <c r="AQ509" s="245" t="s">
        <v>567</v>
      </c>
      <c r="AV509" s="243">
        <f t="shared" si="612"/>
        <v>0</v>
      </c>
      <c r="AW509" s="243">
        <f t="shared" si="613"/>
        <v>0</v>
      </c>
      <c r="AX509" s="243">
        <f t="shared" si="614"/>
        <v>0</v>
      </c>
      <c r="AY509" s="245" t="s">
        <v>593</v>
      </c>
      <c r="AZ509" s="245" t="s">
        <v>1020</v>
      </c>
      <c r="BA509" s="232" t="s">
        <v>993</v>
      </c>
      <c r="BC509" s="243">
        <f t="shared" si="615"/>
        <v>0</v>
      </c>
      <c r="BD509" s="243">
        <f t="shared" si="616"/>
        <v>0</v>
      </c>
      <c r="BE509" s="243">
        <v>0</v>
      </c>
      <c r="BF509" s="243">
        <f>509</f>
        <v>509</v>
      </c>
      <c r="BH509" s="243">
        <f t="shared" si="617"/>
        <v>0</v>
      </c>
      <c r="BI509" s="243">
        <f t="shared" si="618"/>
        <v>0</v>
      </c>
      <c r="BJ509" s="243">
        <f t="shared" si="619"/>
        <v>0</v>
      </c>
      <c r="BK509" s="243"/>
      <c r="BL509" s="243">
        <v>734</v>
      </c>
      <c r="BW509" s="243">
        <v>21</v>
      </c>
    </row>
    <row r="510" spans="1:75" ht="13.5" customHeight="1">
      <c r="A510" s="207" t="s">
        <v>1043</v>
      </c>
      <c r="B510" s="208" t="s">
        <v>990</v>
      </c>
      <c r="C510" s="208" t="s">
        <v>434</v>
      </c>
      <c r="D510" s="268" t="s">
        <v>435</v>
      </c>
      <c r="E510" s="260"/>
      <c r="F510" s="208" t="s">
        <v>68</v>
      </c>
      <c r="G510" s="243">
        <v>1</v>
      </c>
      <c r="H510" s="244">
        <v>0</v>
      </c>
      <c r="I510" s="244">
        <f t="shared" si="600"/>
        <v>0</v>
      </c>
      <c r="K510" s="231"/>
      <c r="Z510" s="243">
        <f t="shared" si="601"/>
        <v>0</v>
      </c>
      <c r="AB510" s="243">
        <f t="shared" si="602"/>
        <v>0</v>
      </c>
      <c r="AC510" s="243">
        <f t="shared" si="603"/>
        <v>0</v>
      </c>
      <c r="AD510" s="243">
        <f t="shared" si="604"/>
        <v>0</v>
      </c>
      <c r="AE510" s="243">
        <f t="shared" si="605"/>
        <v>0</v>
      </c>
      <c r="AF510" s="243">
        <f t="shared" si="606"/>
        <v>0</v>
      </c>
      <c r="AG510" s="243">
        <f t="shared" si="607"/>
        <v>0</v>
      </c>
      <c r="AH510" s="243">
        <f t="shared" si="608"/>
        <v>0</v>
      </c>
      <c r="AI510" s="232" t="s">
        <v>990</v>
      </c>
      <c r="AJ510" s="243">
        <f t="shared" si="609"/>
        <v>0</v>
      </c>
      <c r="AK510" s="243">
        <f t="shared" si="610"/>
        <v>0</v>
      </c>
      <c r="AL510" s="243">
        <f t="shared" si="611"/>
        <v>0</v>
      </c>
      <c r="AN510" s="243">
        <v>21</v>
      </c>
      <c r="AO510" s="243">
        <f>H510*0.698084842146545</f>
        <v>0</v>
      </c>
      <c r="AP510" s="243">
        <f>H510*(1-0.698084842146545)</f>
        <v>0</v>
      </c>
      <c r="AQ510" s="245" t="s">
        <v>567</v>
      </c>
      <c r="AV510" s="243">
        <f t="shared" si="612"/>
        <v>0</v>
      </c>
      <c r="AW510" s="243">
        <f t="shared" si="613"/>
        <v>0</v>
      </c>
      <c r="AX510" s="243">
        <f t="shared" si="614"/>
        <v>0</v>
      </c>
      <c r="AY510" s="245" t="s">
        <v>593</v>
      </c>
      <c r="AZ510" s="245" t="s">
        <v>1020</v>
      </c>
      <c r="BA510" s="232" t="s">
        <v>993</v>
      </c>
      <c r="BC510" s="243">
        <f t="shared" si="615"/>
        <v>0</v>
      </c>
      <c r="BD510" s="243">
        <f t="shared" si="616"/>
        <v>0</v>
      </c>
      <c r="BE510" s="243">
        <v>0</v>
      </c>
      <c r="BF510" s="243">
        <f>510</f>
        <v>510</v>
      </c>
      <c r="BH510" s="243">
        <f t="shared" si="617"/>
        <v>0</v>
      </c>
      <c r="BI510" s="243">
        <f t="shared" si="618"/>
        <v>0</v>
      </c>
      <c r="BJ510" s="243">
        <f t="shared" si="619"/>
        <v>0</v>
      </c>
      <c r="BK510" s="243"/>
      <c r="BL510" s="243">
        <v>734</v>
      </c>
      <c r="BW510" s="243">
        <v>21</v>
      </c>
    </row>
    <row r="511" spans="1:75" ht="13.5" customHeight="1">
      <c r="A511" s="207" t="s">
        <v>1044</v>
      </c>
      <c r="B511" s="208" t="s">
        <v>990</v>
      </c>
      <c r="C511" s="208" t="s">
        <v>436</v>
      </c>
      <c r="D511" s="268" t="s">
        <v>1359</v>
      </c>
      <c r="E511" s="260"/>
      <c r="F511" s="208" t="s">
        <v>68</v>
      </c>
      <c r="G511" s="243">
        <v>1</v>
      </c>
      <c r="H511" s="244">
        <v>0</v>
      </c>
      <c r="I511" s="244">
        <f t="shared" si="600"/>
        <v>0</v>
      </c>
      <c r="K511" s="231"/>
      <c r="Z511" s="243">
        <f t="shared" si="601"/>
        <v>0</v>
      </c>
      <c r="AB511" s="243">
        <f t="shared" si="602"/>
        <v>0</v>
      </c>
      <c r="AC511" s="243">
        <f t="shared" si="603"/>
        <v>0</v>
      </c>
      <c r="AD511" s="243">
        <f t="shared" si="604"/>
        <v>0</v>
      </c>
      <c r="AE511" s="243">
        <f t="shared" si="605"/>
        <v>0</v>
      </c>
      <c r="AF511" s="243">
        <f t="shared" si="606"/>
        <v>0</v>
      </c>
      <c r="AG511" s="243">
        <f t="shared" si="607"/>
        <v>0</v>
      </c>
      <c r="AH511" s="243">
        <f t="shared" si="608"/>
        <v>0</v>
      </c>
      <c r="AI511" s="232" t="s">
        <v>990</v>
      </c>
      <c r="AJ511" s="243">
        <f t="shared" si="609"/>
        <v>0</v>
      </c>
      <c r="AK511" s="243">
        <f t="shared" si="610"/>
        <v>0</v>
      </c>
      <c r="AL511" s="243">
        <f t="shared" si="611"/>
        <v>0</v>
      </c>
      <c r="AN511" s="243">
        <v>21</v>
      </c>
      <c r="AO511" s="243">
        <f>H511*0.796243845047714</f>
        <v>0</v>
      </c>
      <c r="AP511" s="243">
        <f>H511*(1-0.796243845047714)</f>
        <v>0</v>
      </c>
      <c r="AQ511" s="245" t="s">
        <v>567</v>
      </c>
      <c r="AV511" s="243">
        <f t="shared" si="612"/>
        <v>0</v>
      </c>
      <c r="AW511" s="243">
        <f t="shared" si="613"/>
        <v>0</v>
      </c>
      <c r="AX511" s="243">
        <f t="shared" si="614"/>
        <v>0</v>
      </c>
      <c r="AY511" s="245" t="s">
        <v>593</v>
      </c>
      <c r="AZ511" s="245" t="s">
        <v>1020</v>
      </c>
      <c r="BA511" s="232" t="s">
        <v>993</v>
      </c>
      <c r="BC511" s="243">
        <f t="shared" si="615"/>
        <v>0</v>
      </c>
      <c r="BD511" s="243">
        <f t="shared" si="616"/>
        <v>0</v>
      </c>
      <c r="BE511" s="243">
        <v>0</v>
      </c>
      <c r="BF511" s="243">
        <f>511</f>
        <v>511</v>
      </c>
      <c r="BH511" s="243">
        <f t="shared" si="617"/>
        <v>0</v>
      </c>
      <c r="BI511" s="243">
        <f t="shared" si="618"/>
        <v>0</v>
      </c>
      <c r="BJ511" s="243">
        <f t="shared" si="619"/>
        <v>0</v>
      </c>
      <c r="BK511" s="243"/>
      <c r="BL511" s="243">
        <v>734</v>
      </c>
      <c r="BW511" s="243">
        <v>21</v>
      </c>
    </row>
    <row r="512" spans="1:75" ht="13.5" customHeight="1">
      <c r="A512" s="207" t="s">
        <v>1045</v>
      </c>
      <c r="B512" s="208" t="s">
        <v>990</v>
      </c>
      <c r="C512" s="208" t="s">
        <v>438</v>
      </c>
      <c r="D512" s="268" t="s">
        <v>1375</v>
      </c>
      <c r="E512" s="260"/>
      <c r="F512" s="208" t="s">
        <v>68</v>
      </c>
      <c r="G512" s="243">
        <v>0</v>
      </c>
      <c r="H512" s="244">
        <v>0</v>
      </c>
      <c r="I512" s="244">
        <f t="shared" si="600"/>
        <v>0</v>
      </c>
      <c r="K512" s="231"/>
      <c r="Z512" s="243">
        <f t="shared" si="601"/>
        <v>0</v>
      </c>
      <c r="AB512" s="243">
        <f t="shared" si="602"/>
        <v>0</v>
      </c>
      <c r="AC512" s="243">
        <f t="shared" si="603"/>
        <v>0</v>
      </c>
      <c r="AD512" s="243">
        <f t="shared" si="604"/>
        <v>0</v>
      </c>
      <c r="AE512" s="243">
        <f t="shared" si="605"/>
        <v>0</v>
      </c>
      <c r="AF512" s="243">
        <f t="shared" si="606"/>
        <v>0</v>
      </c>
      <c r="AG512" s="243">
        <f t="shared" si="607"/>
        <v>0</v>
      </c>
      <c r="AH512" s="243">
        <f t="shared" si="608"/>
        <v>0</v>
      </c>
      <c r="AI512" s="232" t="s">
        <v>990</v>
      </c>
      <c r="AJ512" s="243">
        <f t="shared" si="609"/>
        <v>0</v>
      </c>
      <c r="AK512" s="243">
        <f t="shared" si="610"/>
        <v>0</v>
      </c>
      <c r="AL512" s="243">
        <f t="shared" si="611"/>
        <v>0</v>
      </c>
      <c r="AN512" s="243">
        <v>21</v>
      </c>
      <c r="AO512" s="243">
        <f>H512*0</f>
        <v>0</v>
      </c>
      <c r="AP512" s="243">
        <f>H512*(1-0)</f>
        <v>0</v>
      </c>
      <c r="AQ512" s="245" t="s">
        <v>567</v>
      </c>
      <c r="AV512" s="243">
        <f t="shared" si="612"/>
        <v>0</v>
      </c>
      <c r="AW512" s="243">
        <f t="shared" si="613"/>
        <v>0</v>
      </c>
      <c r="AX512" s="243">
        <f t="shared" si="614"/>
        <v>0</v>
      </c>
      <c r="AY512" s="245" t="s">
        <v>593</v>
      </c>
      <c r="AZ512" s="245" t="s">
        <v>1020</v>
      </c>
      <c r="BA512" s="232" t="s">
        <v>993</v>
      </c>
      <c r="BC512" s="243">
        <f t="shared" si="615"/>
        <v>0</v>
      </c>
      <c r="BD512" s="243">
        <f t="shared" si="616"/>
        <v>0</v>
      </c>
      <c r="BE512" s="243">
        <v>0</v>
      </c>
      <c r="BF512" s="243">
        <f>512</f>
        <v>512</v>
      </c>
      <c r="BH512" s="243">
        <f t="shared" si="617"/>
        <v>0</v>
      </c>
      <c r="BI512" s="243">
        <f t="shared" si="618"/>
        <v>0</v>
      </c>
      <c r="BJ512" s="243">
        <f t="shared" si="619"/>
        <v>0</v>
      </c>
      <c r="BK512" s="243"/>
      <c r="BL512" s="243">
        <v>734</v>
      </c>
      <c r="BW512" s="243">
        <v>21</v>
      </c>
    </row>
    <row r="513" spans="1:75" ht="15" customHeight="1">
      <c r="A513" s="238" t="s">
        <v>21</v>
      </c>
      <c r="B513" s="239" t="s">
        <v>990</v>
      </c>
      <c r="C513" s="239" t="s">
        <v>101</v>
      </c>
      <c r="D513" s="309" t="s">
        <v>102</v>
      </c>
      <c r="E513" s="310"/>
      <c r="F513" s="240" t="s">
        <v>20</v>
      </c>
      <c r="G513" s="240" t="s">
        <v>20</v>
      </c>
      <c r="H513" s="241" t="s">
        <v>20</v>
      </c>
      <c r="I513" s="242">
        <f>SUM(I514:I515)</f>
        <v>0</v>
      </c>
      <c r="K513" s="231"/>
      <c r="AI513" s="232" t="s">
        <v>990</v>
      </c>
      <c r="AS513" s="225">
        <f>SUM(AJ514:AJ515)</f>
        <v>0</v>
      </c>
      <c r="AT513" s="225">
        <f>SUM(AK514:AK515)</f>
        <v>0</v>
      </c>
      <c r="AU513" s="225">
        <f>SUM(AL514:AL515)</f>
        <v>0</v>
      </c>
    </row>
    <row r="514" spans="1:75" ht="13.5" customHeight="1">
      <c r="A514" s="207" t="s">
        <v>1046</v>
      </c>
      <c r="B514" s="208" t="s">
        <v>990</v>
      </c>
      <c r="C514" s="208" t="s">
        <v>440</v>
      </c>
      <c r="D514" s="268" t="s">
        <v>441</v>
      </c>
      <c r="E514" s="260"/>
      <c r="F514" s="208" t="s">
        <v>105</v>
      </c>
      <c r="G514" s="243">
        <v>50</v>
      </c>
      <c r="H514" s="244">
        <v>0</v>
      </c>
      <c r="I514" s="244">
        <f>G514*H514</f>
        <v>0</v>
      </c>
      <c r="K514" s="231"/>
      <c r="Z514" s="243">
        <f>IF(AQ514="5",BJ514,0)</f>
        <v>0</v>
      </c>
      <c r="AB514" s="243">
        <f>IF(AQ514="1",BH514,0)</f>
        <v>0</v>
      </c>
      <c r="AC514" s="243">
        <f>IF(AQ514="1",BI514,0)</f>
        <v>0</v>
      </c>
      <c r="AD514" s="243">
        <f>IF(AQ514="7",BH514,0)</f>
        <v>0</v>
      </c>
      <c r="AE514" s="243">
        <f>IF(AQ514="7",BI514,0)</f>
        <v>0</v>
      </c>
      <c r="AF514" s="243">
        <f>IF(AQ514="2",BH514,0)</f>
        <v>0</v>
      </c>
      <c r="AG514" s="243">
        <f>IF(AQ514="2",BI514,0)</f>
        <v>0</v>
      </c>
      <c r="AH514" s="243">
        <f>IF(AQ514="0",BJ514,0)</f>
        <v>0</v>
      </c>
      <c r="AI514" s="232" t="s">
        <v>990</v>
      </c>
      <c r="AJ514" s="243">
        <f>IF(AN514=0,I514,0)</f>
        <v>0</v>
      </c>
      <c r="AK514" s="243">
        <f>IF(AN514=12,I514,0)</f>
        <v>0</v>
      </c>
      <c r="AL514" s="243">
        <f>IF(AN514=21,I514,0)</f>
        <v>0</v>
      </c>
      <c r="AN514" s="243">
        <v>21</v>
      </c>
      <c r="AO514" s="243">
        <f>H514*0.166280991735537</f>
        <v>0</v>
      </c>
      <c r="AP514" s="243">
        <f>H514*(1-0.166280991735537)</f>
        <v>0</v>
      </c>
      <c r="AQ514" s="245" t="s">
        <v>567</v>
      </c>
      <c r="AV514" s="243">
        <f>AW514+AX514</f>
        <v>0</v>
      </c>
      <c r="AW514" s="243">
        <f>G514*AO514</f>
        <v>0</v>
      </c>
      <c r="AX514" s="243">
        <f>G514*AP514</f>
        <v>0</v>
      </c>
      <c r="AY514" s="245" t="s">
        <v>596</v>
      </c>
      <c r="AZ514" s="245" t="s">
        <v>1055</v>
      </c>
      <c r="BA514" s="232" t="s">
        <v>993</v>
      </c>
      <c r="BC514" s="243">
        <f>AW514+AX514</f>
        <v>0</v>
      </c>
      <c r="BD514" s="243">
        <f>H514/(100-BE514)*100</f>
        <v>0</v>
      </c>
      <c r="BE514" s="243">
        <v>0</v>
      </c>
      <c r="BF514" s="243">
        <f>514</f>
        <v>514</v>
      </c>
      <c r="BH514" s="243">
        <f>G514*AO514</f>
        <v>0</v>
      </c>
      <c r="BI514" s="243">
        <f>G514*AP514</f>
        <v>0</v>
      </c>
      <c r="BJ514" s="243">
        <f>G514*H514</f>
        <v>0</v>
      </c>
      <c r="BK514" s="243"/>
      <c r="BL514" s="243">
        <v>767</v>
      </c>
      <c r="BW514" s="243">
        <v>21</v>
      </c>
    </row>
    <row r="515" spans="1:75" ht="13.5" customHeight="1">
      <c r="A515" s="207" t="s">
        <v>1047</v>
      </c>
      <c r="B515" s="208" t="s">
        <v>990</v>
      </c>
      <c r="C515" s="208" t="s">
        <v>442</v>
      </c>
      <c r="D515" s="268" t="s">
        <v>443</v>
      </c>
      <c r="E515" s="260"/>
      <c r="F515" s="208" t="s">
        <v>105</v>
      </c>
      <c r="G515" s="243">
        <v>60</v>
      </c>
      <c r="H515" s="244">
        <v>0</v>
      </c>
      <c r="I515" s="244">
        <f>G515*H515</f>
        <v>0</v>
      </c>
      <c r="K515" s="231"/>
      <c r="Z515" s="243">
        <f>IF(AQ515="5",BJ515,0)</f>
        <v>0</v>
      </c>
      <c r="AB515" s="243">
        <f>IF(AQ515="1",BH515,0)</f>
        <v>0</v>
      </c>
      <c r="AC515" s="243">
        <f>IF(AQ515="1",BI515,0)</f>
        <v>0</v>
      </c>
      <c r="AD515" s="243">
        <f>IF(AQ515="7",BH515,0)</f>
        <v>0</v>
      </c>
      <c r="AE515" s="243">
        <f>IF(AQ515="7",BI515,0)</f>
        <v>0</v>
      </c>
      <c r="AF515" s="243">
        <f>IF(AQ515="2",BH515,0)</f>
        <v>0</v>
      </c>
      <c r="AG515" s="243">
        <f>IF(AQ515="2",BI515,0)</f>
        <v>0</v>
      </c>
      <c r="AH515" s="243">
        <f>IF(AQ515="0",BJ515,0)</f>
        <v>0</v>
      </c>
      <c r="AI515" s="232" t="s">
        <v>990</v>
      </c>
      <c r="AJ515" s="243">
        <f>IF(AN515=0,I515,0)</f>
        <v>0</v>
      </c>
      <c r="AK515" s="243">
        <f>IF(AN515=12,I515,0)</f>
        <v>0</v>
      </c>
      <c r="AL515" s="243">
        <f>IF(AN515=21,I515,0)</f>
        <v>0</v>
      </c>
      <c r="AN515" s="243">
        <v>21</v>
      </c>
      <c r="AO515" s="243">
        <f>H515*0.329041487839771</f>
        <v>0</v>
      </c>
      <c r="AP515" s="243">
        <f>H515*(1-0.329041487839771)</f>
        <v>0</v>
      </c>
      <c r="AQ515" s="245" t="s">
        <v>567</v>
      </c>
      <c r="AV515" s="243">
        <f>AW515+AX515</f>
        <v>0</v>
      </c>
      <c r="AW515" s="243">
        <f>G515*AO515</f>
        <v>0</v>
      </c>
      <c r="AX515" s="243">
        <f>G515*AP515</f>
        <v>0</v>
      </c>
      <c r="AY515" s="245" t="s">
        <v>596</v>
      </c>
      <c r="AZ515" s="245" t="s">
        <v>1055</v>
      </c>
      <c r="BA515" s="232" t="s">
        <v>993</v>
      </c>
      <c r="BC515" s="243">
        <f>AW515+AX515</f>
        <v>0</v>
      </c>
      <c r="BD515" s="243">
        <f>H515/(100-BE515)*100</f>
        <v>0</v>
      </c>
      <c r="BE515" s="243">
        <v>0</v>
      </c>
      <c r="BF515" s="243">
        <f>515</f>
        <v>515</v>
      </c>
      <c r="BH515" s="243">
        <f>G515*AO515</f>
        <v>0</v>
      </c>
      <c r="BI515" s="243">
        <f>G515*AP515</f>
        <v>0</v>
      </c>
      <c r="BJ515" s="243">
        <f>G515*H515</f>
        <v>0</v>
      </c>
      <c r="BK515" s="243"/>
      <c r="BL515" s="243">
        <v>767</v>
      </c>
      <c r="BW515" s="243">
        <v>21</v>
      </c>
    </row>
    <row r="516" spans="1:75" ht="15" customHeight="1">
      <c r="A516" s="238" t="s">
        <v>21</v>
      </c>
      <c r="B516" s="239" t="s">
        <v>990</v>
      </c>
      <c r="C516" s="239" t="s">
        <v>21</v>
      </c>
      <c r="D516" s="309" t="s">
        <v>1310</v>
      </c>
      <c r="E516" s="310"/>
      <c r="F516" s="240" t="s">
        <v>20</v>
      </c>
      <c r="G516" s="240" t="s">
        <v>20</v>
      </c>
      <c r="H516" s="241" t="s">
        <v>20</v>
      </c>
      <c r="I516" s="242">
        <f>I517</f>
        <v>0</v>
      </c>
      <c r="K516" s="231"/>
      <c r="AI516" s="232" t="s">
        <v>990</v>
      </c>
    </row>
    <row r="517" spans="1:75" ht="15" customHeight="1">
      <c r="A517" s="238" t="s">
        <v>21</v>
      </c>
      <c r="B517" s="239" t="s">
        <v>990</v>
      </c>
      <c r="C517" s="239" t="s">
        <v>348</v>
      </c>
      <c r="D517" s="309" t="s">
        <v>349</v>
      </c>
      <c r="E517" s="310"/>
      <c r="F517" s="240" t="s">
        <v>20</v>
      </c>
      <c r="G517" s="240" t="s">
        <v>20</v>
      </c>
      <c r="H517" s="241" t="s">
        <v>20</v>
      </c>
      <c r="I517" s="242">
        <f>SUM(I518:I518)</f>
        <v>0</v>
      </c>
      <c r="K517" s="231"/>
      <c r="AI517" s="232" t="s">
        <v>990</v>
      </c>
      <c r="AS517" s="225">
        <f>SUM(AJ518:AJ518)</f>
        <v>0</v>
      </c>
      <c r="AT517" s="225">
        <f>SUM(AK518:AK518)</f>
        <v>0</v>
      </c>
      <c r="AU517" s="225">
        <f>SUM(AL518:AL518)</f>
        <v>0</v>
      </c>
    </row>
    <row r="518" spans="1:75" ht="13.5" customHeight="1">
      <c r="A518" s="207" t="s">
        <v>1048</v>
      </c>
      <c r="B518" s="208" t="s">
        <v>990</v>
      </c>
      <c r="C518" s="208" t="s">
        <v>350</v>
      </c>
      <c r="D518" s="268" t="s">
        <v>447</v>
      </c>
      <c r="E518" s="260"/>
      <c r="F518" s="208" t="s">
        <v>29</v>
      </c>
      <c r="G518" s="243">
        <v>1</v>
      </c>
      <c r="H518" s="244">
        <v>0</v>
      </c>
      <c r="I518" s="244">
        <f>G518*H518</f>
        <v>0</v>
      </c>
      <c r="K518" s="231"/>
      <c r="Z518" s="243">
        <f>IF(AQ518="5",BJ518,0)</f>
        <v>0</v>
      </c>
      <c r="AB518" s="243">
        <f>IF(AQ518="1",BH518,0)</f>
        <v>0</v>
      </c>
      <c r="AC518" s="243">
        <f>IF(AQ518="1",BI518,0)</f>
        <v>0</v>
      </c>
      <c r="AD518" s="243">
        <f>IF(AQ518="7",BH518,0)</f>
        <v>0</v>
      </c>
      <c r="AE518" s="243">
        <f>IF(AQ518="7",BI518,0)</f>
        <v>0</v>
      </c>
      <c r="AF518" s="243">
        <f>IF(AQ518="2",BH518,0)</f>
        <v>0</v>
      </c>
      <c r="AG518" s="243">
        <f>IF(AQ518="2",BI518,0)</f>
        <v>0</v>
      </c>
      <c r="AH518" s="243">
        <f>IF(AQ518="0",BJ518,0)</f>
        <v>0</v>
      </c>
      <c r="AI518" s="232" t="s">
        <v>990</v>
      </c>
      <c r="AJ518" s="243">
        <f>IF(AN518=0,I518,0)</f>
        <v>0</v>
      </c>
      <c r="AK518" s="243">
        <f>IF(AN518=12,I518,0)</f>
        <v>0</v>
      </c>
      <c r="AL518" s="243">
        <f>IF(AN518=21,I518,0)</f>
        <v>0</v>
      </c>
      <c r="AN518" s="243">
        <v>21</v>
      </c>
      <c r="AO518" s="243">
        <f>H518*0</f>
        <v>0</v>
      </c>
      <c r="AP518" s="243">
        <f>H518*(1-0)</f>
        <v>0</v>
      </c>
      <c r="AQ518" s="245" t="s">
        <v>556</v>
      </c>
      <c r="AV518" s="243">
        <f>AW518+AX518</f>
        <v>0</v>
      </c>
      <c r="AW518" s="243">
        <f>G518*AO518</f>
        <v>0</v>
      </c>
      <c r="AX518" s="243">
        <f>G518*AP518</f>
        <v>0</v>
      </c>
      <c r="AY518" s="245" t="s">
        <v>711</v>
      </c>
      <c r="AZ518" s="245" t="s">
        <v>1376</v>
      </c>
      <c r="BA518" s="232" t="s">
        <v>993</v>
      </c>
      <c r="BC518" s="243">
        <f>AW518+AX518</f>
        <v>0</v>
      </c>
      <c r="BD518" s="243">
        <f>H518/(100-BE518)*100</f>
        <v>0</v>
      </c>
      <c r="BE518" s="243">
        <v>0</v>
      </c>
      <c r="BF518" s="243">
        <f>518</f>
        <v>518</v>
      </c>
      <c r="BH518" s="243">
        <f>G518*AO518</f>
        <v>0</v>
      </c>
      <c r="BI518" s="243">
        <f>G518*AP518</f>
        <v>0</v>
      </c>
      <c r="BJ518" s="243">
        <f>G518*H518</f>
        <v>0</v>
      </c>
      <c r="BK518" s="243"/>
      <c r="BL518" s="243"/>
      <c r="BR518" s="243">
        <f>G518*H518</f>
        <v>0</v>
      </c>
      <c r="BW518" s="243">
        <v>21</v>
      </c>
    </row>
    <row r="519" spans="1:75" ht="15" customHeight="1">
      <c r="A519" s="238" t="s">
        <v>21</v>
      </c>
      <c r="B519" s="239" t="s">
        <v>1059</v>
      </c>
      <c r="C519" s="239" t="s">
        <v>21</v>
      </c>
      <c r="D519" s="309" t="s">
        <v>449</v>
      </c>
      <c r="E519" s="310"/>
      <c r="F519" s="240" t="s">
        <v>20</v>
      </c>
      <c r="G519" s="240" t="s">
        <v>20</v>
      </c>
      <c r="H519" s="241" t="s">
        <v>20</v>
      </c>
      <c r="I519" s="242">
        <f>I520+I530+I532+I551+I553+I561+I573+I589</f>
        <v>0</v>
      </c>
      <c r="K519" s="231"/>
    </row>
    <row r="520" spans="1:75" ht="15" customHeight="1">
      <c r="A520" s="238" t="s">
        <v>21</v>
      </c>
      <c r="B520" s="239" t="s">
        <v>1059</v>
      </c>
      <c r="C520" s="239" t="s">
        <v>54</v>
      </c>
      <c r="D520" s="309" t="s">
        <v>55</v>
      </c>
      <c r="E520" s="310"/>
      <c r="F520" s="240" t="s">
        <v>20</v>
      </c>
      <c r="G520" s="240" t="s">
        <v>20</v>
      </c>
      <c r="H520" s="241" t="s">
        <v>20</v>
      </c>
      <c r="I520" s="242">
        <f>SUM(I521:I529)</f>
        <v>0</v>
      </c>
      <c r="K520" s="231"/>
      <c r="AI520" s="232" t="s">
        <v>1059</v>
      </c>
      <c r="AS520" s="225">
        <f>SUM(AJ521:AJ529)</f>
        <v>0</v>
      </c>
      <c r="AT520" s="225">
        <f>SUM(AK521:AK529)</f>
        <v>0</v>
      </c>
      <c r="AU520" s="225">
        <f>SUM(AL521:AL529)</f>
        <v>0</v>
      </c>
    </row>
    <row r="521" spans="1:75" ht="13.5" customHeight="1">
      <c r="A521" s="207" t="s">
        <v>1049</v>
      </c>
      <c r="B521" s="208" t="s">
        <v>1059</v>
      </c>
      <c r="C521" s="208" t="s">
        <v>69</v>
      </c>
      <c r="D521" s="268" t="s">
        <v>356</v>
      </c>
      <c r="E521" s="260"/>
      <c r="F521" s="208" t="s">
        <v>68</v>
      </c>
      <c r="G521" s="243">
        <v>1</v>
      </c>
      <c r="H521" s="244">
        <v>0</v>
      </c>
      <c r="I521" s="244">
        <f t="shared" ref="I521:I529" si="620">G521*H521</f>
        <v>0</v>
      </c>
      <c r="K521" s="231"/>
      <c r="Z521" s="243">
        <f t="shared" ref="Z521:Z529" si="621">IF(AQ521="5",BJ521,0)</f>
        <v>0</v>
      </c>
      <c r="AB521" s="243">
        <f t="shared" ref="AB521:AB529" si="622">IF(AQ521="1",BH521,0)</f>
        <v>0</v>
      </c>
      <c r="AC521" s="243">
        <f t="shared" ref="AC521:AC529" si="623">IF(AQ521="1",BI521,0)</f>
        <v>0</v>
      </c>
      <c r="AD521" s="243">
        <f t="shared" ref="AD521:AD529" si="624">IF(AQ521="7",BH521,0)</f>
        <v>0</v>
      </c>
      <c r="AE521" s="243">
        <f t="shared" ref="AE521:AE529" si="625">IF(AQ521="7",BI521,0)</f>
        <v>0</v>
      </c>
      <c r="AF521" s="243">
        <f t="shared" ref="AF521:AF529" si="626">IF(AQ521="2",BH521,0)</f>
        <v>0</v>
      </c>
      <c r="AG521" s="243">
        <f t="shared" ref="AG521:AG529" si="627">IF(AQ521="2",BI521,0)</f>
        <v>0</v>
      </c>
      <c r="AH521" s="243">
        <f t="shared" ref="AH521:AH529" si="628">IF(AQ521="0",BJ521,0)</f>
        <v>0</v>
      </c>
      <c r="AI521" s="232" t="s">
        <v>1059</v>
      </c>
      <c r="AJ521" s="243">
        <f t="shared" ref="AJ521:AJ529" si="629">IF(AN521=0,I521,0)</f>
        <v>0</v>
      </c>
      <c r="AK521" s="243">
        <f t="shared" ref="AK521:AK529" si="630">IF(AN521=12,I521,0)</f>
        <v>0</v>
      </c>
      <c r="AL521" s="243">
        <f t="shared" ref="AL521:AL529" si="631">IF(AN521=21,I521,0)</f>
        <v>0</v>
      </c>
      <c r="AN521" s="243">
        <v>21</v>
      </c>
      <c r="AO521" s="243">
        <f>H521*0</f>
        <v>0</v>
      </c>
      <c r="AP521" s="243">
        <f>H521*(1-0)</f>
        <v>0</v>
      </c>
      <c r="AQ521" s="245" t="s">
        <v>553</v>
      </c>
      <c r="AV521" s="243">
        <f t="shared" ref="AV521:AV529" si="632">AW521+AX521</f>
        <v>0</v>
      </c>
      <c r="AW521" s="243">
        <f t="shared" ref="AW521:AW529" si="633">G521*AO521</f>
        <v>0</v>
      </c>
      <c r="AX521" s="243">
        <f t="shared" ref="AX521:AX529" si="634">G521*AP521</f>
        <v>0</v>
      </c>
      <c r="AY521" s="245" t="s">
        <v>574</v>
      </c>
      <c r="AZ521" s="245" t="s">
        <v>1061</v>
      </c>
      <c r="BA521" s="232" t="s">
        <v>1062</v>
      </c>
      <c r="BC521" s="243">
        <f t="shared" ref="BC521:BC529" si="635">AW521+AX521</f>
        <v>0</v>
      </c>
      <c r="BD521" s="243">
        <f t="shared" ref="BD521:BD529" si="636">H521/(100-BE521)*100</f>
        <v>0</v>
      </c>
      <c r="BE521" s="243">
        <v>0</v>
      </c>
      <c r="BF521" s="243">
        <f>521</f>
        <v>521</v>
      </c>
      <c r="BH521" s="243">
        <f t="shared" ref="BH521:BH529" si="637">G521*AO521</f>
        <v>0</v>
      </c>
      <c r="BI521" s="243">
        <f t="shared" ref="BI521:BI529" si="638">G521*AP521</f>
        <v>0</v>
      </c>
      <c r="BJ521" s="243">
        <f t="shared" ref="BJ521:BJ529" si="639">G521*H521</f>
        <v>0</v>
      </c>
      <c r="BK521" s="243"/>
      <c r="BL521" s="243">
        <v>0</v>
      </c>
      <c r="BW521" s="243">
        <v>21</v>
      </c>
    </row>
    <row r="522" spans="1:75" ht="13.5" customHeight="1">
      <c r="A522" s="207" t="s">
        <v>1050</v>
      </c>
      <c r="B522" s="208" t="s">
        <v>1059</v>
      </c>
      <c r="C522" s="208" t="s">
        <v>107</v>
      </c>
      <c r="D522" s="268" t="s">
        <v>108</v>
      </c>
      <c r="E522" s="260"/>
      <c r="F522" s="208" t="s">
        <v>109</v>
      </c>
      <c r="G522" s="243">
        <v>8</v>
      </c>
      <c r="H522" s="244">
        <v>0</v>
      </c>
      <c r="I522" s="244">
        <f t="shared" si="620"/>
        <v>0</v>
      </c>
      <c r="K522" s="231"/>
      <c r="Z522" s="243">
        <f t="shared" si="621"/>
        <v>0</v>
      </c>
      <c r="AB522" s="243">
        <f t="shared" si="622"/>
        <v>0</v>
      </c>
      <c r="AC522" s="243">
        <f t="shared" si="623"/>
        <v>0</v>
      </c>
      <c r="AD522" s="243">
        <f t="shared" si="624"/>
        <v>0</v>
      </c>
      <c r="AE522" s="243">
        <f t="shared" si="625"/>
        <v>0</v>
      </c>
      <c r="AF522" s="243">
        <f t="shared" si="626"/>
        <v>0</v>
      </c>
      <c r="AG522" s="243">
        <f t="shared" si="627"/>
        <v>0</v>
      </c>
      <c r="AH522" s="243">
        <f t="shared" si="628"/>
        <v>0</v>
      </c>
      <c r="AI522" s="232" t="s">
        <v>1059</v>
      </c>
      <c r="AJ522" s="243">
        <f t="shared" si="629"/>
        <v>0</v>
      </c>
      <c r="AK522" s="243">
        <f t="shared" si="630"/>
        <v>0</v>
      </c>
      <c r="AL522" s="243">
        <f t="shared" si="631"/>
        <v>0</v>
      </c>
      <c r="AN522" s="243">
        <v>21</v>
      </c>
      <c r="AO522" s="243">
        <f>H522*0</f>
        <v>0</v>
      </c>
      <c r="AP522" s="243">
        <f>H522*(1-0)</f>
        <v>0</v>
      </c>
      <c r="AQ522" s="245" t="s">
        <v>553</v>
      </c>
      <c r="AV522" s="243">
        <f t="shared" si="632"/>
        <v>0</v>
      </c>
      <c r="AW522" s="243">
        <f t="shared" si="633"/>
        <v>0</v>
      </c>
      <c r="AX522" s="243">
        <f t="shared" si="634"/>
        <v>0</v>
      </c>
      <c r="AY522" s="245" t="s">
        <v>574</v>
      </c>
      <c r="AZ522" s="245" t="s">
        <v>1061</v>
      </c>
      <c r="BA522" s="232" t="s">
        <v>1062</v>
      </c>
      <c r="BC522" s="243">
        <f t="shared" si="635"/>
        <v>0</v>
      </c>
      <c r="BD522" s="243">
        <f t="shared" si="636"/>
        <v>0</v>
      </c>
      <c r="BE522" s="243">
        <v>0</v>
      </c>
      <c r="BF522" s="243">
        <f>522</f>
        <v>522</v>
      </c>
      <c r="BH522" s="243">
        <f t="shared" si="637"/>
        <v>0</v>
      </c>
      <c r="BI522" s="243">
        <f t="shared" si="638"/>
        <v>0</v>
      </c>
      <c r="BJ522" s="243">
        <f t="shared" si="639"/>
        <v>0</v>
      </c>
      <c r="BK522" s="243"/>
      <c r="BL522" s="243">
        <v>0</v>
      </c>
      <c r="BW522" s="243">
        <v>21</v>
      </c>
    </row>
    <row r="523" spans="1:75" ht="27" customHeight="1">
      <c r="A523" s="207" t="s">
        <v>1051</v>
      </c>
      <c r="B523" s="208" t="s">
        <v>1059</v>
      </c>
      <c r="C523" s="208" t="s">
        <v>110</v>
      </c>
      <c r="D523" s="268" t="s">
        <v>111</v>
      </c>
      <c r="E523" s="260"/>
      <c r="F523" s="208" t="s">
        <v>112</v>
      </c>
      <c r="G523" s="243">
        <v>8</v>
      </c>
      <c r="H523" s="244">
        <v>0</v>
      </c>
      <c r="I523" s="244">
        <f t="shared" si="620"/>
        <v>0</v>
      </c>
      <c r="K523" s="231"/>
      <c r="Z523" s="243">
        <f t="shared" si="621"/>
        <v>0</v>
      </c>
      <c r="AB523" s="243">
        <f t="shared" si="622"/>
        <v>0</v>
      </c>
      <c r="AC523" s="243">
        <f t="shared" si="623"/>
        <v>0</v>
      </c>
      <c r="AD523" s="243">
        <f t="shared" si="624"/>
        <v>0</v>
      </c>
      <c r="AE523" s="243">
        <f t="shared" si="625"/>
        <v>0</v>
      </c>
      <c r="AF523" s="243">
        <f t="shared" si="626"/>
        <v>0</v>
      </c>
      <c r="AG523" s="243">
        <f t="shared" si="627"/>
        <v>0</v>
      </c>
      <c r="AH523" s="243">
        <f t="shared" si="628"/>
        <v>0</v>
      </c>
      <c r="AI523" s="232" t="s">
        <v>1059</v>
      </c>
      <c r="AJ523" s="243">
        <f t="shared" si="629"/>
        <v>0</v>
      </c>
      <c r="AK523" s="243">
        <f t="shared" si="630"/>
        <v>0</v>
      </c>
      <c r="AL523" s="243">
        <f t="shared" si="631"/>
        <v>0</v>
      </c>
      <c r="AN523" s="243">
        <v>21</v>
      </c>
      <c r="AO523" s="243">
        <f>H523*0.298352654057352</f>
        <v>0</v>
      </c>
      <c r="AP523" s="243">
        <f>H523*(1-0.298352654057352)</f>
        <v>0</v>
      </c>
      <c r="AQ523" s="245" t="s">
        <v>553</v>
      </c>
      <c r="AV523" s="243">
        <f t="shared" si="632"/>
        <v>0</v>
      </c>
      <c r="AW523" s="243">
        <f t="shared" si="633"/>
        <v>0</v>
      </c>
      <c r="AX523" s="243">
        <f t="shared" si="634"/>
        <v>0</v>
      </c>
      <c r="AY523" s="245" t="s">
        <v>574</v>
      </c>
      <c r="AZ523" s="245" t="s">
        <v>1061</v>
      </c>
      <c r="BA523" s="232" t="s">
        <v>1062</v>
      </c>
      <c r="BC523" s="243">
        <f t="shared" si="635"/>
        <v>0</v>
      </c>
      <c r="BD523" s="243">
        <f t="shared" si="636"/>
        <v>0</v>
      </c>
      <c r="BE523" s="243">
        <v>0</v>
      </c>
      <c r="BF523" s="243">
        <f>523</f>
        <v>523</v>
      </c>
      <c r="BH523" s="243">
        <f t="shared" si="637"/>
        <v>0</v>
      </c>
      <c r="BI523" s="243">
        <f t="shared" si="638"/>
        <v>0</v>
      </c>
      <c r="BJ523" s="243">
        <f t="shared" si="639"/>
        <v>0</v>
      </c>
      <c r="BK523" s="243"/>
      <c r="BL523" s="243">
        <v>0</v>
      </c>
      <c r="BW523" s="243">
        <v>21</v>
      </c>
    </row>
    <row r="524" spans="1:75" ht="13.5" customHeight="1">
      <c r="A524" s="207" t="s">
        <v>1052</v>
      </c>
      <c r="B524" s="208" t="s">
        <v>1059</v>
      </c>
      <c r="C524" s="208" t="s">
        <v>115</v>
      </c>
      <c r="D524" s="268" t="s">
        <v>116</v>
      </c>
      <c r="E524" s="260"/>
      <c r="F524" s="208" t="s">
        <v>58</v>
      </c>
      <c r="G524" s="243">
        <v>1</v>
      </c>
      <c r="H524" s="244">
        <v>0</v>
      </c>
      <c r="I524" s="244">
        <f t="shared" si="620"/>
        <v>0</v>
      </c>
      <c r="K524" s="231"/>
      <c r="Z524" s="243">
        <f t="shared" si="621"/>
        <v>0</v>
      </c>
      <c r="AB524" s="243">
        <f t="shared" si="622"/>
        <v>0</v>
      </c>
      <c r="AC524" s="243">
        <f t="shared" si="623"/>
        <v>0</v>
      </c>
      <c r="AD524" s="243">
        <f t="shared" si="624"/>
        <v>0</v>
      </c>
      <c r="AE524" s="243">
        <f t="shared" si="625"/>
        <v>0</v>
      </c>
      <c r="AF524" s="243">
        <f t="shared" si="626"/>
        <v>0</v>
      </c>
      <c r="AG524" s="243">
        <f t="shared" si="627"/>
        <v>0</v>
      </c>
      <c r="AH524" s="243">
        <f t="shared" si="628"/>
        <v>0</v>
      </c>
      <c r="AI524" s="232" t="s">
        <v>1059</v>
      </c>
      <c r="AJ524" s="243">
        <f t="shared" si="629"/>
        <v>0</v>
      </c>
      <c r="AK524" s="243">
        <f t="shared" si="630"/>
        <v>0</v>
      </c>
      <c r="AL524" s="243">
        <f t="shared" si="631"/>
        <v>0</v>
      </c>
      <c r="AN524" s="243">
        <v>21</v>
      </c>
      <c r="AO524" s="243">
        <f>H524*0</f>
        <v>0</v>
      </c>
      <c r="AP524" s="243">
        <f>H524*(1-0)</f>
        <v>0</v>
      </c>
      <c r="AQ524" s="245" t="s">
        <v>553</v>
      </c>
      <c r="AV524" s="243">
        <f t="shared" si="632"/>
        <v>0</v>
      </c>
      <c r="AW524" s="243">
        <f t="shared" si="633"/>
        <v>0</v>
      </c>
      <c r="AX524" s="243">
        <f t="shared" si="634"/>
        <v>0</v>
      </c>
      <c r="AY524" s="245" t="s">
        <v>574</v>
      </c>
      <c r="AZ524" s="245" t="s">
        <v>1061</v>
      </c>
      <c r="BA524" s="232" t="s">
        <v>1062</v>
      </c>
      <c r="BC524" s="243">
        <f t="shared" si="635"/>
        <v>0</v>
      </c>
      <c r="BD524" s="243">
        <f t="shared" si="636"/>
        <v>0</v>
      </c>
      <c r="BE524" s="243">
        <v>0</v>
      </c>
      <c r="BF524" s="243">
        <f>524</f>
        <v>524</v>
      </c>
      <c r="BH524" s="243">
        <f t="shared" si="637"/>
        <v>0</v>
      </c>
      <c r="BI524" s="243">
        <f t="shared" si="638"/>
        <v>0</v>
      </c>
      <c r="BJ524" s="243">
        <f t="shared" si="639"/>
        <v>0</v>
      </c>
      <c r="BK524" s="243"/>
      <c r="BL524" s="243">
        <v>0</v>
      </c>
      <c r="BW524" s="243">
        <v>21</v>
      </c>
    </row>
    <row r="525" spans="1:75" ht="13.5" customHeight="1">
      <c r="A525" s="207" t="s">
        <v>1053</v>
      </c>
      <c r="B525" s="208" t="s">
        <v>1059</v>
      </c>
      <c r="C525" s="208" t="s">
        <v>119</v>
      </c>
      <c r="D525" s="268" t="s">
        <v>120</v>
      </c>
      <c r="E525" s="260"/>
      <c r="F525" s="208" t="s">
        <v>58</v>
      </c>
      <c r="G525" s="243">
        <v>1</v>
      </c>
      <c r="H525" s="244">
        <v>0</v>
      </c>
      <c r="I525" s="244">
        <f t="shared" si="620"/>
        <v>0</v>
      </c>
      <c r="K525" s="231"/>
      <c r="Z525" s="243">
        <f t="shared" si="621"/>
        <v>0</v>
      </c>
      <c r="AB525" s="243">
        <f t="shared" si="622"/>
        <v>0</v>
      </c>
      <c r="AC525" s="243">
        <f t="shared" si="623"/>
        <v>0</v>
      </c>
      <c r="AD525" s="243">
        <f t="shared" si="624"/>
        <v>0</v>
      </c>
      <c r="AE525" s="243">
        <f t="shared" si="625"/>
        <v>0</v>
      </c>
      <c r="AF525" s="243">
        <f t="shared" si="626"/>
        <v>0</v>
      </c>
      <c r="AG525" s="243">
        <f t="shared" si="627"/>
        <v>0</v>
      </c>
      <c r="AH525" s="243">
        <f t="shared" si="628"/>
        <v>0</v>
      </c>
      <c r="AI525" s="232" t="s">
        <v>1059</v>
      </c>
      <c r="AJ525" s="243">
        <f t="shared" si="629"/>
        <v>0</v>
      </c>
      <c r="AK525" s="243">
        <f t="shared" si="630"/>
        <v>0</v>
      </c>
      <c r="AL525" s="243">
        <f t="shared" si="631"/>
        <v>0</v>
      </c>
      <c r="AN525" s="243">
        <v>21</v>
      </c>
      <c r="AO525" s="243">
        <f>H525*0</f>
        <v>0</v>
      </c>
      <c r="AP525" s="243">
        <f>H525*(1-0)</f>
        <v>0</v>
      </c>
      <c r="AQ525" s="245" t="s">
        <v>553</v>
      </c>
      <c r="AV525" s="243">
        <f t="shared" si="632"/>
        <v>0</v>
      </c>
      <c r="AW525" s="243">
        <f t="shared" si="633"/>
        <v>0</v>
      </c>
      <c r="AX525" s="243">
        <f t="shared" si="634"/>
        <v>0</v>
      </c>
      <c r="AY525" s="245" t="s">
        <v>574</v>
      </c>
      <c r="AZ525" s="245" t="s">
        <v>1061</v>
      </c>
      <c r="BA525" s="232" t="s">
        <v>1062</v>
      </c>
      <c r="BC525" s="243">
        <f t="shared" si="635"/>
        <v>0</v>
      </c>
      <c r="BD525" s="243">
        <f t="shared" si="636"/>
        <v>0</v>
      </c>
      <c r="BE525" s="243">
        <v>0</v>
      </c>
      <c r="BF525" s="243">
        <f>525</f>
        <v>525</v>
      </c>
      <c r="BH525" s="243">
        <f t="shared" si="637"/>
        <v>0</v>
      </c>
      <c r="BI525" s="243">
        <f t="shared" si="638"/>
        <v>0</v>
      </c>
      <c r="BJ525" s="243">
        <f t="shared" si="639"/>
        <v>0</v>
      </c>
      <c r="BK525" s="243"/>
      <c r="BL525" s="243">
        <v>0</v>
      </c>
      <c r="BW525" s="243">
        <v>21</v>
      </c>
    </row>
    <row r="526" spans="1:75" ht="13.5" customHeight="1">
      <c r="A526" s="207" t="s">
        <v>1054</v>
      </c>
      <c r="B526" s="208" t="s">
        <v>1059</v>
      </c>
      <c r="C526" s="208" t="s">
        <v>71</v>
      </c>
      <c r="D526" s="268" t="s">
        <v>72</v>
      </c>
      <c r="E526" s="260"/>
      <c r="F526" s="208" t="s">
        <v>58</v>
      </c>
      <c r="G526" s="243">
        <v>1</v>
      </c>
      <c r="H526" s="244">
        <v>0</v>
      </c>
      <c r="I526" s="244">
        <f t="shared" si="620"/>
        <v>0</v>
      </c>
      <c r="K526" s="231"/>
      <c r="Z526" s="243">
        <f t="shared" si="621"/>
        <v>0</v>
      </c>
      <c r="AB526" s="243">
        <f t="shared" si="622"/>
        <v>0</v>
      </c>
      <c r="AC526" s="243">
        <f t="shared" si="623"/>
        <v>0</v>
      </c>
      <c r="AD526" s="243">
        <f t="shared" si="624"/>
        <v>0</v>
      </c>
      <c r="AE526" s="243">
        <f t="shared" si="625"/>
        <v>0</v>
      </c>
      <c r="AF526" s="243">
        <f t="shared" si="626"/>
        <v>0</v>
      </c>
      <c r="AG526" s="243">
        <f t="shared" si="627"/>
        <v>0</v>
      </c>
      <c r="AH526" s="243">
        <f t="shared" si="628"/>
        <v>0</v>
      </c>
      <c r="AI526" s="232" t="s">
        <v>1059</v>
      </c>
      <c r="AJ526" s="243">
        <f t="shared" si="629"/>
        <v>0</v>
      </c>
      <c r="AK526" s="243">
        <f t="shared" si="630"/>
        <v>0</v>
      </c>
      <c r="AL526" s="243">
        <f t="shared" si="631"/>
        <v>0</v>
      </c>
      <c r="AN526" s="243">
        <v>21</v>
      </c>
      <c r="AO526" s="243">
        <f>H526*0.632508123680949</f>
        <v>0</v>
      </c>
      <c r="AP526" s="243">
        <f>H526*(1-0.632508123680949)</f>
        <v>0</v>
      </c>
      <c r="AQ526" s="245" t="s">
        <v>553</v>
      </c>
      <c r="AV526" s="243">
        <f t="shared" si="632"/>
        <v>0</v>
      </c>
      <c r="AW526" s="243">
        <f t="shared" si="633"/>
        <v>0</v>
      </c>
      <c r="AX526" s="243">
        <f t="shared" si="634"/>
        <v>0</v>
      </c>
      <c r="AY526" s="245" t="s">
        <v>574</v>
      </c>
      <c r="AZ526" s="245" t="s">
        <v>1061</v>
      </c>
      <c r="BA526" s="232" t="s">
        <v>1062</v>
      </c>
      <c r="BC526" s="243">
        <f t="shared" si="635"/>
        <v>0</v>
      </c>
      <c r="BD526" s="243">
        <f t="shared" si="636"/>
        <v>0</v>
      </c>
      <c r="BE526" s="243">
        <v>0</v>
      </c>
      <c r="BF526" s="243">
        <f>526</f>
        <v>526</v>
      </c>
      <c r="BH526" s="243">
        <f t="shared" si="637"/>
        <v>0</v>
      </c>
      <c r="BI526" s="243">
        <f t="shared" si="638"/>
        <v>0</v>
      </c>
      <c r="BJ526" s="243">
        <f t="shared" si="639"/>
        <v>0</v>
      </c>
      <c r="BK526" s="243"/>
      <c r="BL526" s="243">
        <v>0</v>
      </c>
      <c r="BW526" s="243">
        <v>21</v>
      </c>
    </row>
    <row r="527" spans="1:75" ht="13.5" customHeight="1">
      <c r="A527" s="207" t="s">
        <v>1056</v>
      </c>
      <c r="B527" s="208" t="s">
        <v>1059</v>
      </c>
      <c r="C527" s="208" t="s">
        <v>66</v>
      </c>
      <c r="D527" s="268" t="s">
        <v>67</v>
      </c>
      <c r="E527" s="260"/>
      <c r="F527" s="208" t="s">
        <v>68</v>
      </c>
      <c r="G527" s="243">
        <v>1</v>
      </c>
      <c r="H527" s="244">
        <v>0</v>
      </c>
      <c r="I527" s="244">
        <f t="shared" si="620"/>
        <v>0</v>
      </c>
      <c r="K527" s="231"/>
      <c r="Z527" s="243">
        <f t="shared" si="621"/>
        <v>0</v>
      </c>
      <c r="AB527" s="243">
        <f t="shared" si="622"/>
        <v>0</v>
      </c>
      <c r="AC527" s="243">
        <f t="shared" si="623"/>
        <v>0</v>
      </c>
      <c r="AD527" s="243">
        <f t="shared" si="624"/>
        <v>0</v>
      </c>
      <c r="AE527" s="243">
        <f t="shared" si="625"/>
        <v>0</v>
      </c>
      <c r="AF527" s="243">
        <f t="shared" si="626"/>
        <v>0</v>
      </c>
      <c r="AG527" s="243">
        <f t="shared" si="627"/>
        <v>0</v>
      </c>
      <c r="AH527" s="243">
        <f t="shared" si="628"/>
        <v>0</v>
      </c>
      <c r="AI527" s="232" t="s">
        <v>1059</v>
      </c>
      <c r="AJ527" s="243">
        <f t="shared" si="629"/>
        <v>0</v>
      </c>
      <c r="AK527" s="243">
        <f t="shared" si="630"/>
        <v>0</v>
      </c>
      <c r="AL527" s="243">
        <f t="shared" si="631"/>
        <v>0</v>
      </c>
      <c r="AN527" s="243">
        <v>21</v>
      </c>
      <c r="AO527" s="243">
        <f>H527*0</f>
        <v>0</v>
      </c>
      <c r="AP527" s="243">
        <f>H527*(1-0)</f>
        <v>0</v>
      </c>
      <c r="AQ527" s="245" t="s">
        <v>553</v>
      </c>
      <c r="AV527" s="243">
        <f t="shared" si="632"/>
        <v>0</v>
      </c>
      <c r="AW527" s="243">
        <f t="shared" si="633"/>
        <v>0</v>
      </c>
      <c r="AX527" s="243">
        <f t="shared" si="634"/>
        <v>0</v>
      </c>
      <c r="AY527" s="245" t="s">
        <v>574</v>
      </c>
      <c r="AZ527" s="245" t="s">
        <v>1061</v>
      </c>
      <c r="BA527" s="232" t="s">
        <v>1062</v>
      </c>
      <c r="BC527" s="243">
        <f t="shared" si="635"/>
        <v>0</v>
      </c>
      <c r="BD527" s="243">
        <f t="shared" si="636"/>
        <v>0</v>
      </c>
      <c r="BE527" s="243">
        <v>0</v>
      </c>
      <c r="BF527" s="243">
        <f>527</f>
        <v>527</v>
      </c>
      <c r="BH527" s="243">
        <f t="shared" si="637"/>
        <v>0</v>
      </c>
      <c r="BI527" s="243">
        <f t="shared" si="638"/>
        <v>0</v>
      </c>
      <c r="BJ527" s="243">
        <f t="shared" si="639"/>
        <v>0</v>
      </c>
      <c r="BK527" s="243"/>
      <c r="BL527" s="243">
        <v>0</v>
      </c>
      <c r="BW527" s="243">
        <v>21</v>
      </c>
    </row>
    <row r="528" spans="1:75" ht="13.5" customHeight="1">
      <c r="A528" s="207" t="s">
        <v>1057</v>
      </c>
      <c r="B528" s="208" t="s">
        <v>1059</v>
      </c>
      <c r="C528" s="208" t="s">
        <v>124</v>
      </c>
      <c r="D528" s="268" t="s">
        <v>125</v>
      </c>
      <c r="E528" s="260"/>
      <c r="F528" s="208" t="s">
        <v>123</v>
      </c>
      <c r="G528" s="243">
        <v>1.0706500000000001</v>
      </c>
      <c r="H528" s="244">
        <v>0</v>
      </c>
      <c r="I528" s="244">
        <f t="shared" si="620"/>
        <v>0</v>
      </c>
      <c r="K528" s="231"/>
      <c r="Z528" s="243">
        <f t="shared" si="621"/>
        <v>0</v>
      </c>
      <c r="AB528" s="243">
        <f t="shared" si="622"/>
        <v>0</v>
      </c>
      <c r="AC528" s="243">
        <f t="shared" si="623"/>
        <v>0</v>
      </c>
      <c r="AD528" s="243">
        <f t="shared" si="624"/>
        <v>0</v>
      </c>
      <c r="AE528" s="243">
        <f t="shared" si="625"/>
        <v>0</v>
      </c>
      <c r="AF528" s="243">
        <f t="shared" si="626"/>
        <v>0</v>
      </c>
      <c r="AG528" s="243">
        <f t="shared" si="627"/>
        <v>0</v>
      </c>
      <c r="AH528" s="243">
        <f t="shared" si="628"/>
        <v>0</v>
      </c>
      <c r="AI528" s="232" t="s">
        <v>1059</v>
      </c>
      <c r="AJ528" s="243">
        <f t="shared" si="629"/>
        <v>0</v>
      </c>
      <c r="AK528" s="243">
        <f t="shared" si="630"/>
        <v>0</v>
      </c>
      <c r="AL528" s="243">
        <f t="shared" si="631"/>
        <v>0</v>
      </c>
      <c r="AN528" s="243">
        <v>21</v>
      </c>
      <c r="AO528" s="243">
        <f>H528*0</f>
        <v>0</v>
      </c>
      <c r="AP528" s="243">
        <f>H528*(1-0)</f>
        <v>0</v>
      </c>
      <c r="AQ528" s="245" t="s">
        <v>564</v>
      </c>
      <c r="AV528" s="243">
        <f t="shared" si="632"/>
        <v>0</v>
      </c>
      <c r="AW528" s="243">
        <f t="shared" si="633"/>
        <v>0</v>
      </c>
      <c r="AX528" s="243">
        <f t="shared" si="634"/>
        <v>0</v>
      </c>
      <c r="AY528" s="245" t="s">
        <v>574</v>
      </c>
      <c r="AZ528" s="245" t="s">
        <v>1061</v>
      </c>
      <c r="BA528" s="232" t="s">
        <v>1062</v>
      </c>
      <c r="BC528" s="243">
        <f t="shared" si="635"/>
        <v>0</v>
      </c>
      <c r="BD528" s="243">
        <f t="shared" si="636"/>
        <v>0</v>
      </c>
      <c r="BE528" s="243">
        <v>0</v>
      </c>
      <c r="BF528" s="243">
        <f>528</f>
        <v>528</v>
      </c>
      <c r="BH528" s="243">
        <f t="shared" si="637"/>
        <v>0</v>
      </c>
      <c r="BI528" s="243">
        <f t="shared" si="638"/>
        <v>0</v>
      </c>
      <c r="BJ528" s="243">
        <f t="shared" si="639"/>
        <v>0</v>
      </c>
      <c r="BK528" s="243"/>
      <c r="BL528" s="243">
        <v>0</v>
      </c>
      <c r="BW528" s="243">
        <v>21</v>
      </c>
    </row>
    <row r="529" spans="1:75" ht="13.5" customHeight="1">
      <c r="A529" s="207" t="s">
        <v>1060</v>
      </c>
      <c r="B529" s="208" t="s">
        <v>1059</v>
      </c>
      <c r="C529" s="208" t="s">
        <v>121</v>
      </c>
      <c r="D529" s="268" t="s">
        <v>122</v>
      </c>
      <c r="E529" s="260"/>
      <c r="F529" s="208" t="s">
        <v>123</v>
      </c>
      <c r="G529" s="243">
        <v>1.0706500000000001</v>
      </c>
      <c r="H529" s="244">
        <v>0</v>
      </c>
      <c r="I529" s="244">
        <f t="shared" si="620"/>
        <v>0</v>
      </c>
      <c r="K529" s="231"/>
      <c r="Z529" s="243">
        <f t="shared" si="621"/>
        <v>0</v>
      </c>
      <c r="AB529" s="243">
        <f t="shared" si="622"/>
        <v>0</v>
      </c>
      <c r="AC529" s="243">
        <f t="shared" si="623"/>
        <v>0</v>
      </c>
      <c r="AD529" s="243">
        <f t="shared" si="624"/>
        <v>0</v>
      </c>
      <c r="AE529" s="243">
        <f t="shared" si="625"/>
        <v>0</v>
      </c>
      <c r="AF529" s="243">
        <f t="shared" si="626"/>
        <v>0</v>
      </c>
      <c r="AG529" s="243">
        <f t="shared" si="627"/>
        <v>0</v>
      </c>
      <c r="AH529" s="243">
        <f t="shared" si="628"/>
        <v>0</v>
      </c>
      <c r="AI529" s="232" t="s">
        <v>1059</v>
      </c>
      <c r="AJ529" s="243">
        <f t="shared" si="629"/>
        <v>0</v>
      </c>
      <c r="AK529" s="243">
        <f t="shared" si="630"/>
        <v>0</v>
      </c>
      <c r="AL529" s="243">
        <f t="shared" si="631"/>
        <v>0</v>
      </c>
      <c r="AN529" s="243">
        <v>21</v>
      </c>
      <c r="AO529" s="243">
        <f>H529*0</f>
        <v>0</v>
      </c>
      <c r="AP529" s="243">
        <f>H529*(1-0)</f>
        <v>0</v>
      </c>
      <c r="AQ529" s="245" t="s">
        <v>564</v>
      </c>
      <c r="AV529" s="243">
        <f t="shared" si="632"/>
        <v>0</v>
      </c>
      <c r="AW529" s="243">
        <f t="shared" si="633"/>
        <v>0</v>
      </c>
      <c r="AX529" s="243">
        <f t="shared" si="634"/>
        <v>0</v>
      </c>
      <c r="AY529" s="245" t="s">
        <v>574</v>
      </c>
      <c r="AZ529" s="245" t="s">
        <v>1061</v>
      </c>
      <c r="BA529" s="232" t="s">
        <v>1062</v>
      </c>
      <c r="BC529" s="243">
        <f t="shared" si="635"/>
        <v>0</v>
      </c>
      <c r="BD529" s="243">
        <f t="shared" si="636"/>
        <v>0</v>
      </c>
      <c r="BE529" s="243">
        <v>0</v>
      </c>
      <c r="BF529" s="243">
        <f>529</f>
        <v>529</v>
      </c>
      <c r="BH529" s="243">
        <f t="shared" si="637"/>
        <v>0</v>
      </c>
      <c r="BI529" s="243">
        <f t="shared" si="638"/>
        <v>0</v>
      </c>
      <c r="BJ529" s="243">
        <f t="shared" si="639"/>
        <v>0</v>
      </c>
      <c r="BK529" s="243"/>
      <c r="BL529" s="243">
        <v>0</v>
      </c>
      <c r="BW529" s="243">
        <v>21</v>
      </c>
    </row>
    <row r="530" spans="1:75" ht="15" customHeight="1">
      <c r="A530" s="238" t="s">
        <v>21</v>
      </c>
      <c r="B530" s="239" t="s">
        <v>1059</v>
      </c>
      <c r="C530" s="239" t="s">
        <v>59</v>
      </c>
      <c r="D530" s="309" t="s">
        <v>60</v>
      </c>
      <c r="E530" s="310"/>
      <c r="F530" s="240" t="s">
        <v>20</v>
      </c>
      <c r="G530" s="240" t="s">
        <v>20</v>
      </c>
      <c r="H530" s="241" t="s">
        <v>20</v>
      </c>
      <c r="I530" s="242">
        <f>SUM(I531:I531)</f>
        <v>0</v>
      </c>
      <c r="K530" s="231"/>
      <c r="AI530" s="232" t="s">
        <v>1059</v>
      </c>
      <c r="AS530" s="225">
        <f>SUM(AJ531:AJ531)</f>
        <v>0</v>
      </c>
      <c r="AT530" s="225">
        <f>SUM(AK531:AK531)</f>
        <v>0</v>
      </c>
      <c r="AU530" s="225">
        <f>SUM(AL531:AL531)</f>
        <v>0</v>
      </c>
    </row>
    <row r="531" spans="1:75" ht="13.5" customHeight="1">
      <c r="A531" s="207" t="s">
        <v>1063</v>
      </c>
      <c r="B531" s="208" t="s">
        <v>1059</v>
      </c>
      <c r="C531" s="208" t="s">
        <v>61</v>
      </c>
      <c r="D531" s="268" t="s">
        <v>62</v>
      </c>
      <c r="E531" s="260"/>
      <c r="F531" s="208" t="s">
        <v>63</v>
      </c>
      <c r="G531" s="243">
        <v>20</v>
      </c>
      <c r="H531" s="244">
        <v>0</v>
      </c>
      <c r="I531" s="244">
        <f>G531*H531</f>
        <v>0</v>
      </c>
      <c r="K531" s="231"/>
      <c r="Z531" s="243">
        <f>IF(AQ531="5",BJ531,0)</f>
        <v>0</v>
      </c>
      <c r="AB531" s="243">
        <f>IF(AQ531="1",BH531,0)</f>
        <v>0</v>
      </c>
      <c r="AC531" s="243">
        <f>IF(AQ531="1",BI531,0)</f>
        <v>0</v>
      </c>
      <c r="AD531" s="243">
        <f>IF(AQ531="7",BH531,0)</f>
        <v>0</v>
      </c>
      <c r="AE531" s="243">
        <f>IF(AQ531="7",BI531,0)</f>
        <v>0</v>
      </c>
      <c r="AF531" s="243">
        <f>IF(AQ531="2",BH531,0)</f>
        <v>0</v>
      </c>
      <c r="AG531" s="243">
        <f>IF(AQ531="2",BI531,0)</f>
        <v>0</v>
      </c>
      <c r="AH531" s="243">
        <f>IF(AQ531="0",BJ531,0)</f>
        <v>0</v>
      </c>
      <c r="AI531" s="232" t="s">
        <v>1059</v>
      </c>
      <c r="AJ531" s="243">
        <f>IF(AN531=0,I531,0)</f>
        <v>0</v>
      </c>
      <c r="AK531" s="243">
        <f>IF(AN531=12,I531,0)</f>
        <v>0</v>
      </c>
      <c r="AL531" s="243">
        <f>IF(AN531=21,I531,0)</f>
        <v>0</v>
      </c>
      <c r="AN531" s="243">
        <v>21</v>
      </c>
      <c r="AO531" s="243">
        <f>H531*0</f>
        <v>0</v>
      </c>
      <c r="AP531" s="243">
        <f>H531*(1-0)</f>
        <v>0</v>
      </c>
      <c r="AQ531" s="245" t="s">
        <v>567</v>
      </c>
      <c r="AV531" s="243">
        <f>AW531+AX531</f>
        <v>0</v>
      </c>
      <c r="AW531" s="243">
        <f>G531*AO531</f>
        <v>0</v>
      </c>
      <c r="AX531" s="243">
        <f>G531*AP531</f>
        <v>0</v>
      </c>
      <c r="AY531" s="245" t="s">
        <v>578</v>
      </c>
      <c r="AZ531" s="245" t="s">
        <v>1072</v>
      </c>
      <c r="BA531" s="232" t="s">
        <v>1062</v>
      </c>
      <c r="BC531" s="243">
        <f>AW531+AX531</f>
        <v>0</v>
      </c>
      <c r="BD531" s="243">
        <f>H531/(100-BE531)*100</f>
        <v>0</v>
      </c>
      <c r="BE531" s="243">
        <v>0</v>
      </c>
      <c r="BF531" s="243">
        <f>531</f>
        <v>531</v>
      </c>
      <c r="BH531" s="243">
        <f>G531*AO531</f>
        <v>0</v>
      </c>
      <c r="BI531" s="243">
        <f>G531*AP531</f>
        <v>0</v>
      </c>
      <c r="BJ531" s="243">
        <f>G531*H531</f>
        <v>0</v>
      </c>
      <c r="BK531" s="243"/>
      <c r="BL531" s="243">
        <v>713</v>
      </c>
      <c r="BW531" s="243">
        <v>21</v>
      </c>
    </row>
    <row r="532" spans="1:75" ht="15" customHeight="1">
      <c r="A532" s="238" t="s">
        <v>21</v>
      </c>
      <c r="B532" s="239" t="s">
        <v>1059</v>
      </c>
      <c r="C532" s="239" t="s">
        <v>126</v>
      </c>
      <c r="D532" s="309" t="s">
        <v>127</v>
      </c>
      <c r="E532" s="310"/>
      <c r="F532" s="240" t="s">
        <v>20</v>
      </c>
      <c r="G532" s="240" t="s">
        <v>20</v>
      </c>
      <c r="H532" s="241" t="s">
        <v>20</v>
      </c>
      <c r="I532" s="242">
        <f>SUM(I533:I550)</f>
        <v>0</v>
      </c>
      <c r="K532" s="231"/>
      <c r="AI532" s="232" t="s">
        <v>1059</v>
      </c>
      <c r="AS532" s="225">
        <f>SUM(AJ533:AJ550)</f>
        <v>0</v>
      </c>
      <c r="AT532" s="225">
        <f>SUM(AK533:AK550)</f>
        <v>0</v>
      </c>
      <c r="AU532" s="225">
        <f>SUM(AL533:AL550)</f>
        <v>0</v>
      </c>
    </row>
    <row r="533" spans="1:75" ht="13.5" customHeight="1">
      <c r="A533" s="207" t="s">
        <v>1064</v>
      </c>
      <c r="B533" s="208" t="s">
        <v>1059</v>
      </c>
      <c r="C533" s="208" t="s">
        <v>357</v>
      </c>
      <c r="D533" s="268" t="s">
        <v>358</v>
      </c>
      <c r="E533" s="260"/>
      <c r="F533" s="208" t="s">
        <v>68</v>
      </c>
      <c r="G533" s="243">
        <v>5</v>
      </c>
      <c r="H533" s="244">
        <v>0</v>
      </c>
      <c r="I533" s="244">
        <f t="shared" ref="I533:I550" si="640">G533*H533</f>
        <v>0</v>
      </c>
      <c r="K533" s="231"/>
      <c r="Z533" s="243">
        <f t="shared" ref="Z533:Z550" si="641">IF(AQ533="5",BJ533,0)</f>
        <v>0</v>
      </c>
      <c r="AB533" s="243">
        <f t="shared" ref="AB533:AB550" si="642">IF(AQ533="1",BH533,0)</f>
        <v>0</v>
      </c>
      <c r="AC533" s="243">
        <f t="shared" ref="AC533:AC550" si="643">IF(AQ533="1",BI533,0)</f>
        <v>0</v>
      </c>
      <c r="AD533" s="243">
        <f t="shared" ref="AD533:AD550" si="644">IF(AQ533="7",BH533,0)</f>
        <v>0</v>
      </c>
      <c r="AE533" s="243">
        <f t="shared" ref="AE533:AE550" si="645">IF(AQ533="7",BI533,0)</f>
        <v>0</v>
      </c>
      <c r="AF533" s="243">
        <f t="shared" ref="AF533:AF550" si="646">IF(AQ533="2",BH533,0)</f>
        <v>0</v>
      </c>
      <c r="AG533" s="243">
        <f t="shared" ref="AG533:AG550" si="647">IF(AQ533="2",BI533,0)</f>
        <v>0</v>
      </c>
      <c r="AH533" s="243">
        <f t="shared" ref="AH533:AH550" si="648">IF(AQ533="0",BJ533,0)</f>
        <v>0</v>
      </c>
      <c r="AI533" s="232" t="s">
        <v>1059</v>
      </c>
      <c r="AJ533" s="243">
        <f t="shared" ref="AJ533:AJ550" si="649">IF(AN533=0,I533,0)</f>
        <v>0</v>
      </c>
      <c r="AK533" s="243">
        <f t="shared" ref="AK533:AK550" si="650">IF(AN533=12,I533,0)</f>
        <v>0</v>
      </c>
      <c r="AL533" s="243">
        <f t="shared" ref="AL533:AL550" si="651">IF(AN533=21,I533,0)</f>
        <v>0</v>
      </c>
      <c r="AN533" s="243">
        <v>21</v>
      </c>
      <c r="AO533" s="243">
        <f>H533*0</f>
        <v>0</v>
      </c>
      <c r="AP533" s="243">
        <f>H533*(1-0)</f>
        <v>0</v>
      </c>
      <c r="AQ533" s="245" t="s">
        <v>567</v>
      </c>
      <c r="AV533" s="243">
        <f t="shared" ref="AV533:AV550" si="652">AW533+AX533</f>
        <v>0</v>
      </c>
      <c r="AW533" s="243">
        <f t="shared" ref="AW533:AW550" si="653">G533*AO533</f>
        <v>0</v>
      </c>
      <c r="AX533" s="243">
        <f t="shared" ref="AX533:AX550" si="654">G533*AP533</f>
        <v>0</v>
      </c>
      <c r="AY533" s="245" t="s">
        <v>610</v>
      </c>
      <c r="AZ533" s="245" t="s">
        <v>1074</v>
      </c>
      <c r="BA533" s="232" t="s">
        <v>1062</v>
      </c>
      <c r="BC533" s="243">
        <f t="shared" ref="BC533:BC550" si="655">AW533+AX533</f>
        <v>0</v>
      </c>
      <c r="BD533" s="243">
        <f t="shared" ref="BD533:BD550" si="656">H533/(100-BE533)*100</f>
        <v>0</v>
      </c>
      <c r="BE533" s="243">
        <v>0</v>
      </c>
      <c r="BF533" s="243">
        <f>533</f>
        <v>533</v>
      </c>
      <c r="BH533" s="243">
        <f t="shared" ref="BH533:BH550" si="657">G533*AO533</f>
        <v>0</v>
      </c>
      <c r="BI533" s="243">
        <f t="shared" ref="BI533:BI550" si="658">G533*AP533</f>
        <v>0</v>
      </c>
      <c r="BJ533" s="243">
        <f t="shared" ref="BJ533:BJ550" si="659">G533*H533</f>
        <v>0</v>
      </c>
      <c r="BK533" s="243"/>
      <c r="BL533" s="243">
        <v>722</v>
      </c>
      <c r="BW533" s="243">
        <v>21</v>
      </c>
    </row>
    <row r="534" spans="1:75" ht="13.5" customHeight="1">
      <c r="A534" s="207" t="s">
        <v>1065</v>
      </c>
      <c r="B534" s="208" t="s">
        <v>1059</v>
      </c>
      <c r="C534" s="208" t="s">
        <v>359</v>
      </c>
      <c r="D534" s="268" t="s">
        <v>360</v>
      </c>
      <c r="E534" s="260"/>
      <c r="F534" s="208" t="s">
        <v>63</v>
      </c>
      <c r="G534" s="243">
        <v>8</v>
      </c>
      <c r="H534" s="244">
        <v>0</v>
      </c>
      <c r="I534" s="244">
        <f t="shared" si="640"/>
        <v>0</v>
      </c>
      <c r="K534" s="231"/>
      <c r="Z534" s="243">
        <f t="shared" si="641"/>
        <v>0</v>
      </c>
      <c r="AB534" s="243">
        <f t="shared" si="642"/>
        <v>0</v>
      </c>
      <c r="AC534" s="243">
        <f t="shared" si="643"/>
        <v>0</v>
      </c>
      <c r="AD534" s="243">
        <f t="shared" si="644"/>
        <v>0</v>
      </c>
      <c r="AE534" s="243">
        <f t="shared" si="645"/>
        <v>0</v>
      </c>
      <c r="AF534" s="243">
        <f t="shared" si="646"/>
        <v>0</v>
      </c>
      <c r="AG534" s="243">
        <f t="shared" si="647"/>
        <v>0</v>
      </c>
      <c r="AH534" s="243">
        <f t="shared" si="648"/>
        <v>0</v>
      </c>
      <c r="AI534" s="232" t="s">
        <v>1059</v>
      </c>
      <c r="AJ534" s="243">
        <f t="shared" si="649"/>
        <v>0</v>
      </c>
      <c r="AK534" s="243">
        <f t="shared" si="650"/>
        <v>0</v>
      </c>
      <c r="AL534" s="243">
        <f t="shared" si="651"/>
        <v>0</v>
      </c>
      <c r="AN534" s="243">
        <v>21</v>
      </c>
      <c r="AO534" s="243">
        <f>H534*0</f>
        <v>0</v>
      </c>
      <c r="AP534" s="243">
        <f>H534*(1-0)</f>
        <v>0</v>
      </c>
      <c r="AQ534" s="245" t="s">
        <v>567</v>
      </c>
      <c r="AV534" s="243">
        <f t="shared" si="652"/>
        <v>0</v>
      </c>
      <c r="AW534" s="243">
        <f t="shared" si="653"/>
        <v>0</v>
      </c>
      <c r="AX534" s="243">
        <f t="shared" si="654"/>
        <v>0</v>
      </c>
      <c r="AY534" s="245" t="s">
        <v>610</v>
      </c>
      <c r="AZ534" s="245" t="s">
        <v>1074</v>
      </c>
      <c r="BA534" s="232" t="s">
        <v>1062</v>
      </c>
      <c r="BC534" s="243">
        <f t="shared" si="655"/>
        <v>0</v>
      </c>
      <c r="BD534" s="243">
        <f t="shared" si="656"/>
        <v>0</v>
      </c>
      <c r="BE534" s="243">
        <v>0</v>
      </c>
      <c r="BF534" s="243">
        <f>534</f>
        <v>534</v>
      </c>
      <c r="BH534" s="243">
        <f t="shared" si="657"/>
        <v>0</v>
      </c>
      <c r="BI534" s="243">
        <f t="shared" si="658"/>
        <v>0</v>
      </c>
      <c r="BJ534" s="243">
        <f t="shared" si="659"/>
        <v>0</v>
      </c>
      <c r="BK534" s="243"/>
      <c r="BL534" s="243">
        <v>722</v>
      </c>
      <c r="BW534" s="243">
        <v>21</v>
      </c>
    </row>
    <row r="535" spans="1:75" ht="13.5" customHeight="1">
      <c r="A535" s="207" t="s">
        <v>1066</v>
      </c>
      <c r="B535" s="208" t="s">
        <v>1059</v>
      </c>
      <c r="C535" s="208" t="s">
        <v>361</v>
      </c>
      <c r="D535" s="268" t="s">
        <v>362</v>
      </c>
      <c r="E535" s="260"/>
      <c r="F535" s="208" t="s">
        <v>68</v>
      </c>
      <c r="G535" s="243">
        <v>3</v>
      </c>
      <c r="H535" s="244">
        <v>0</v>
      </c>
      <c r="I535" s="244">
        <f t="shared" si="640"/>
        <v>0</v>
      </c>
      <c r="K535" s="231"/>
      <c r="Z535" s="243">
        <f t="shared" si="641"/>
        <v>0</v>
      </c>
      <c r="AB535" s="243">
        <f t="shared" si="642"/>
        <v>0</v>
      </c>
      <c r="AC535" s="243">
        <f t="shared" si="643"/>
        <v>0</v>
      </c>
      <c r="AD535" s="243">
        <f t="shared" si="644"/>
        <v>0</v>
      </c>
      <c r="AE535" s="243">
        <f t="shared" si="645"/>
        <v>0</v>
      </c>
      <c r="AF535" s="243">
        <f t="shared" si="646"/>
        <v>0</v>
      </c>
      <c r="AG535" s="243">
        <f t="shared" si="647"/>
        <v>0</v>
      </c>
      <c r="AH535" s="243">
        <f t="shared" si="648"/>
        <v>0</v>
      </c>
      <c r="AI535" s="232" t="s">
        <v>1059</v>
      </c>
      <c r="AJ535" s="243">
        <f t="shared" si="649"/>
        <v>0</v>
      </c>
      <c r="AK535" s="243">
        <f t="shared" si="650"/>
        <v>0</v>
      </c>
      <c r="AL535" s="243">
        <f t="shared" si="651"/>
        <v>0</v>
      </c>
      <c r="AN535" s="243">
        <v>21</v>
      </c>
      <c r="AO535" s="243">
        <f>H535*0.635584415584416</f>
        <v>0</v>
      </c>
      <c r="AP535" s="243">
        <f>H535*(1-0.635584415584416)</f>
        <v>0</v>
      </c>
      <c r="AQ535" s="245" t="s">
        <v>567</v>
      </c>
      <c r="AV535" s="243">
        <f t="shared" si="652"/>
        <v>0</v>
      </c>
      <c r="AW535" s="243">
        <f t="shared" si="653"/>
        <v>0</v>
      </c>
      <c r="AX535" s="243">
        <f t="shared" si="654"/>
        <v>0</v>
      </c>
      <c r="AY535" s="245" t="s">
        <v>610</v>
      </c>
      <c r="AZ535" s="245" t="s">
        <v>1074</v>
      </c>
      <c r="BA535" s="232" t="s">
        <v>1062</v>
      </c>
      <c r="BC535" s="243">
        <f t="shared" si="655"/>
        <v>0</v>
      </c>
      <c r="BD535" s="243">
        <f t="shared" si="656"/>
        <v>0</v>
      </c>
      <c r="BE535" s="243">
        <v>0</v>
      </c>
      <c r="BF535" s="243">
        <f>535</f>
        <v>535</v>
      </c>
      <c r="BH535" s="243">
        <f t="shared" si="657"/>
        <v>0</v>
      </c>
      <c r="BI535" s="243">
        <f t="shared" si="658"/>
        <v>0</v>
      </c>
      <c r="BJ535" s="243">
        <f t="shared" si="659"/>
        <v>0</v>
      </c>
      <c r="BK535" s="243"/>
      <c r="BL535" s="243">
        <v>722</v>
      </c>
      <c r="BW535" s="243">
        <v>21</v>
      </c>
    </row>
    <row r="536" spans="1:75" ht="13.5" customHeight="1">
      <c r="A536" s="207" t="s">
        <v>1067</v>
      </c>
      <c r="B536" s="208" t="s">
        <v>1059</v>
      </c>
      <c r="C536" s="208" t="s">
        <v>136</v>
      </c>
      <c r="D536" s="268" t="s">
        <v>1314</v>
      </c>
      <c r="E536" s="260"/>
      <c r="F536" s="208" t="s">
        <v>63</v>
      </c>
      <c r="G536" s="243">
        <v>10</v>
      </c>
      <c r="H536" s="244">
        <v>0</v>
      </c>
      <c r="I536" s="244">
        <f t="shared" si="640"/>
        <v>0</v>
      </c>
      <c r="K536" s="231"/>
      <c r="Z536" s="243">
        <f t="shared" si="641"/>
        <v>0</v>
      </c>
      <c r="AB536" s="243">
        <f t="shared" si="642"/>
        <v>0</v>
      </c>
      <c r="AC536" s="243">
        <f t="shared" si="643"/>
        <v>0</v>
      </c>
      <c r="AD536" s="243">
        <f t="shared" si="644"/>
        <v>0</v>
      </c>
      <c r="AE536" s="243">
        <f t="shared" si="645"/>
        <v>0</v>
      </c>
      <c r="AF536" s="243">
        <f t="shared" si="646"/>
        <v>0</v>
      </c>
      <c r="AG536" s="243">
        <f t="shared" si="647"/>
        <v>0</v>
      </c>
      <c r="AH536" s="243">
        <f t="shared" si="648"/>
        <v>0</v>
      </c>
      <c r="AI536" s="232" t="s">
        <v>1059</v>
      </c>
      <c r="AJ536" s="243">
        <f t="shared" si="649"/>
        <v>0</v>
      </c>
      <c r="AK536" s="243">
        <f t="shared" si="650"/>
        <v>0</v>
      </c>
      <c r="AL536" s="243">
        <f t="shared" si="651"/>
        <v>0</v>
      </c>
      <c r="AN536" s="243">
        <v>21</v>
      </c>
      <c r="AO536" s="243">
        <f>H536*0.388270254929131</f>
        <v>0</v>
      </c>
      <c r="AP536" s="243">
        <f>H536*(1-0.388270254929131)</f>
        <v>0</v>
      </c>
      <c r="AQ536" s="245" t="s">
        <v>567</v>
      </c>
      <c r="AV536" s="243">
        <f t="shared" si="652"/>
        <v>0</v>
      </c>
      <c r="AW536" s="243">
        <f t="shared" si="653"/>
        <v>0</v>
      </c>
      <c r="AX536" s="243">
        <f t="shared" si="654"/>
        <v>0</v>
      </c>
      <c r="AY536" s="245" t="s">
        <v>610</v>
      </c>
      <c r="AZ536" s="245" t="s">
        <v>1074</v>
      </c>
      <c r="BA536" s="232" t="s">
        <v>1062</v>
      </c>
      <c r="BC536" s="243">
        <f t="shared" si="655"/>
        <v>0</v>
      </c>
      <c r="BD536" s="243">
        <f t="shared" si="656"/>
        <v>0</v>
      </c>
      <c r="BE536" s="243">
        <v>0</v>
      </c>
      <c r="BF536" s="243">
        <f>536</f>
        <v>536</v>
      </c>
      <c r="BH536" s="243">
        <f t="shared" si="657"/>
        <v>0</v>
      </c>
      <c r="BI536" s="243">
        <f t="shared" si="658"/>
        <v>0</v>
      </c>
      <c r="BJ536" s="243">
        <f t="shared" si="659"/>
        <v>0</v>
      </c>
      <c r="BK536" s="243"/>
      <c r="BL536" s="243">
        <v>722</v>
      </c>
      <c r="BW536" s="243">
        <v>21</v>
      </c>
    </row>
    <row r="537" spans="1:75" ht="13.5" customHeight="1">
      <c r="A537" s="207" t="s">
        <v>1068</v>
      </c>
      <c r="B537" s="208" t="s">
        <v>1059</v>
      </c>
      <c r="C537" s="208" t="s">
        <v>450</v>
      </c>
      <c r="D537" s="268" t="s">
        <v>1377</v>
      </c>
      <c r="E537" s="260"/>
      <c r="F537" s="208" t="s">
        <v>63</v>
      </c>
      <c r="G537" s="243">
        <v>5</v>
      </c>
      <c r="H537" s="244">
        <v>0</v>
      </c>
      <c r="I537" s="244">
        <f t="shared" si="640"/>
        <v>0</v>
      </c>
      <c r="K537" s="231"/>
      <c r="Z537" s="243">
        <f t="shared" si="641"/>
        <v>0</v>
      </c>
      <c r="AB537" s="243">
        <f t="shared" si="642"/>
        <v>0</v>
      </c>
      <c r="AC537" s="243">
        <f t="shared" si="643"/>
        <v>0</v>
      </c>
      <c r="AD537" s="243">
        <f t="shared" si="644"/>
        <v>0</v>
      </c>
      <c r="AE537" s="243">
        <f t="shared" si="645"/>
        <v>0</v>
      </c>
      <c r="AF537" s="243">
        <f t="shared" si="646"/>
        <v>0</v>
      </c>
      <c r="AG537" s="243">
        <f t="shared" si="647"/>
        <v>0</v>
      </c>
      <c r="AH537" s="243">
        <f t="shared" si="648"/>
        <v>0</v>
      </c>
      <c r="AI537" s="232" t="s">
        <v>1059</v>
      </c>
      <c r="AJ537" s="243">
        <f t="shared" si="649"/>
        <v>0</v>
      </c>
      <c r="AK537" s="243">
        <f t="shared" si="650"/>
        <v>0</v>
      </c>
      <c r="AL537" s="243">
        <f t="shared" si="651"/>
        <v>0</v>
      </c>
      <c r="AN537" s="243">
        <v>21</v>
      </c>
      <c r="AO537" s="243">
        <f>H537*0.266073697585769</f>
        <v>0</v>
      </c>
      <c r="AP537" s="243">
        <f>H537*(1-0.266073697585769)</f>
        <v>0</v>
      </c>
      <c r="AQ537" s="245" t="s">
        <v>567</v>
      </c>
      <c r="AV537" s="243">
        <f t="shared" si="652"/>
        <v>0</v>
      </c>
      <c r="AW537" s="243">
        <f t="shared" si="653"/>
        <v>0</v>
      </c>
      <c r="AX537" s="243">
        <f t="shared" si="654"/>
        <v>0</v>
      </c>
      <c r="AY537" s="245" t="s">
        <v>610</v>
      </c>
      <c r="AZ537" s="245" t="s">
        <v>1074</v>
      </c>
      <c r="BA537" s="232" t="s">
        <v>1062</v>
      </c>
      <c r="BC537" s="243">
        <f t="shared" si="655"/>
        <v>0</v>
      </c>
      <c r="BD537" s="243">
        <f t="shared" si="656"/>
        <v>0</v>
      </c>
      <c r="BE537" s="243">
        <v>0</v>
      </c>
      <c r="BF537" s="243">
        <f>537</f>
        <v>537</v>
      </c>
      <c r="BH537" s="243">
        <f t="shared" si="657"/>
        <v>0</v>
      </c>
      <c r="BI537" s="243">
        <f t="shared" si="658"/>
        <v>0</v>
      </c>
      <c r="BJ537" s="243">
        <f t="shared" si="659"/>
        <v>0</v>
      </c>
      <c r="BK537" s="243"/>
      <c r="BL537" s="243">
        <v>722</v>
      </c>
      <c r="BW537" s="243">
        <v>21</v>
      </c>
    </row>
    <row r="538" spans="1:75" ht="13.5" customHeight="1">
      <c r="A538" s="207" t="s">
        <v>1069</v>
      </c>
      <c r="B538" s="208" t="s">
        <v>1059</v>
      </c>
      <c r="C538" s="208" t="s">
        <v>143</v>
      </c>
      <c r="D538" s="268" t="s">
        <v>1344</v>
      </c>
      <c r="E538" s="260"/>
      <c r="F538" s="208" t="s">
        <v>63</v>
      </c>
      <c r="G538" s="243">
        <v>5</v>
      </c>
      <c r="H538" s="244">
        <v>0</v>
      </c>
      <c r="I538" s="244">
        <f t="shared" si="640"/>
        <v>0</v>
      </c>
      <c r="K538" s="231"/>
      <c r="Z538" s="243">
        <f t="shared" si="641"/>
        <v>0</v>
      </c>
      <c r="AB538" s="243">
        <f t="shared" si="642"/>
        <v>0</v>
      </c>
      <c r="AC538" s="243">
        <f t="shared" si="643"/>
        <v>0</v>
      </c>
      <c r="AD538" s="243">
        <f t="shared" si="644"/>
        <v>0</v>
      </c>
      <c r="AE538" s="243">
        <f t="shared" si="645"/>
        <v>0</v>
      </c>
      <c r="AF538" s="243">
        <f t="shared" si="646"/>
        <v>0</v>
      </c>
      <c r="AG538" s="243">
        <f t="shared" si="647"/>
        <v>0</v>
      </c>
      <c r="AH538" s="243">
        <f t="shared" si="648"/>
        <v>0</v>
      </c>
      <c r="AI538" s="232" t="s">
        <v>1059</v>
      </c>
      <c r="AJ538" s="243">
        <f t="shared" si="649"/>
        <v>0</v>
      </c>
      <c r="AK538" s="243">
        <f t="shared" si="650"/>
        <v>0</v>
      </c>
      <c r="AL538" s="243">
        <f t="shared" si="651"/>
        <v>0</v>
      </c>
      <c r="AN538" s="243">
        <v>21</v>
      </c>
      <c r="AO538" s="243">
        <f>H538*0.628405063291139</f>
        <v>0</v>
      </c>
      <c r="AP538" s="243">
        <f>H538*(1-0.628405063291139)</f>
        <v>0</v>
      </c>
      <c r="AQ538" s="245" t="s">
        <v>567</v>
      </c>
      <c r="AV538" s="243">
        <f t="shared" si="652"/>
        <v>0</v>
      </c>
      <c r="AW538" s="243">
        <f t="shared" si="653"/>
        <v>0</v>
      </c>
      <c r="AX538" s="243">
        <f t="shared" si="654"/>
        <v>0</v>
      </c>
      <c r="AY538" s="245" t="s">
        <v>610</v>
      </c>
      <c r="AZ538" s="245" t="s">
        <v>1074</v>
      </c>
      <c r="BA538" s="232" t="s">
        <v>1062</v>
      </c>
      <c r="BC538" s="243">
        <f t="shared" si="655"/>
        <v>0</v>
      </c>
      <c r="BD538" s="243">
        <f t="shared" si="656"/>
        <v>0</v>
      </c>
      <c r="BE538" s="243">
        <v>0</v>
      </c>
      <c r="BF538" s="243">
        <f>538</f>
        <v>538</v>
      </c>
      <c r="BH538" s="243">
        <f t="shared" si="657"/>
        <v>0</v>
      </c>
      <c r="BI538" s="243">
        <f t="shared" si="658"/>
        <v>0</v>
      </c>
      <c r="BJ538" s="243">
        <f t="shared" si="659"/>
        <v>0</v>
      </c>
      <c r="BK538" s="243"/>
      <c r="BL538" s="243">
        <v>722</v>
      </c>
      <c r="BW538" s="243">
        <v>21</v>
      </c>
    </row>
    <row r="539" spans="1:75" ht="13.5" customHeight="1">
      <c r="A539" s="207" t="s">
        <v>1070</v>
      </c>
      <c r="B539" s="208" t="s">
        <v>1059</v>
      </c>
      <c r="C539" s="208" t="s">
        <v>145</v>
      </c>
      <c r="D539" s="268" t="s">
        <v>1345</v>
      </c>
      <c r="E539" s="260"/>
      <c r="F539" s="208" t="s">
        <v>63</v>
      </c>
      <c r="G539" s="243">
        <v>5</v>
      </c>
      <c r="H539" s="244">
        <v>0</v>
      </c>
      <c r="I539" s="244">
        <f t="shared" si="640"/>
        <v>0</v>
      </c>
      <c r="K539" s="231"/>
      <c r="Z539" s="243">
        <f t="shared" si="641"/>
        <v>0</v>
      </c>
      <c r="AB539" s="243">
        <f t="shared" si="642"/>
        <v>0</v>
      </c>
      <c r="AC539" s="243">
        <f t="shared" si="643"/>
        <v>0</v>
      </c>
      <c r="AD539" s="243">
        <f t="shared" si="644"/>
        <v>0</v>
      </c>
      <c r="AE539" s="243">
        <f t="shared" si="645"/>
        <v>0</v>
      </c>
      <c r="AF539" s="243">
        <f t="shared" si="646"/>
        <v>0</v>
      </c>
      <c r="AG539" s="243">
        <f t="shared" si="647"/>
        <v>0</v>
      </c>
      <c r="AH539" s="243">
        <f t="shared" si="648"/>
        <v>0</v>
      </c>
      <c r="AI539" s="232" t="s">
        <v>1059</v>
      </c>
      <c r="AJ539" s="243">
        <f t="shared" si="649"/>
        <v>0</v>
      </c>
      <c r="AK539" s="243">
        <f t="shared" si="650"/>
        <v>0</v>
      </c>
      <c r="AL539" s="243">
        <f t="shared" si="651"/>
        <v>0</v>
      </c>
      <c r="AN539" s="243">
        <v>21</v>
      </c>
      <c r="AO539" s="243">
        <f>H539*0.38327731092437</f>
        <v>0</v>
      </c>
      <c r="AP539" s="243">
        <f>H539*(1-0.38327731092437)</f>
        <v>0</v>
      </c>
      <c r="AQ539" s="245" t="s">
        <v>567</v>
      </c>
      <c r="AV539" s="243">
        <f t="shared" si="652"/>
        <v>0</v>
      </c>
      <c r="AW539" s="243">
        <f t="shared" si="653"/>
        <v>0</v>
      </c>
      <c r="AX539" s="243">
        <f t="shared" si="654"/>
        <v>0</v>
      </c>
      <c r="AY539" s="245" t="s">
        <v>610</v>
      </c>
      <c r="AZ539" s="245" t="s">
        <v>1074</v>
      </c>
      <c r="BA539" s="232" t="s">
        <v>1062</v>
      </c>
      <c r="BC539" s="243">
        <f t="shared" si="655"/>
        <v>0</v>
      </c>
      <c r="BD539" s="243">
        <f t="shared" si="656"/>
        <v>0</v>
      </c>
      <c r="BE539" s="243">
        <v>0</v>
      </c>
      <c r="BF539" s="243">
        <f>539</f>
        <v>539</v>
      </c>
      <c r="BH539" s="243">
        <f t="shared" si="657"/>
        <v>0</v>
      </c>
      <c r="BI539" s="243">
        <f t="shared" si="658"/>
        <v>0</v>
      </c>
      <c r="BJ539" s="243">
        <f t="shared" si="659"/>
        <v>0</v>
      </c>
      <c r="BK539" s="243"/>
      <c r="BL539" s="243">
        <v>722</v>
      </c>
      <c r="BW539" s="243">
        <v>21</v>
      </c>
    </row>
    <row r="540" spans="1:75" ht="13.5" customHeight="1">
      <c r="A540" s="207" t="s">
        <v>1071</v>
      </c>
      <c r="B540" s="208" t="s">
        <v>1059</v>
      </c>
      <c r="C540" s="208" t="s">
        <v>452</v>
      </c>
      <c r="D540" s="268" t="s">
        <v>1378</v>
      </c>
      <c r="E540" s="260"/>
      <c r="F540" s="208" t="s">
        <v>63</v>
      </c>
      <c r="G540" s="243">
        <v>5</v>
      </c>
      <c r="H540" s="244">
        <v>0</v>
      </c>
      <c r="I540" s="244">
        <f t="shared" si="640"/>
        <v>0</v>
      </c>
      <c r="K540" s="231"/>
      <c r="Z540" s="243">
        <f t="shared" si="641"/>
        <v>0</v>
      </c>
      <c r="AB540" s="243">
        <f t="shared" si="642"/>
        <v>0</v>
      </c>
      <c r="AC540" s="243">
        <f t="shared" si="643"/>
        <v>0</v>
      </c>
      <c r="AD540" s="243">
        <f t="shared" si="644"/>
        <v>0</v>
      </c>
      <c r="AE540" s="243">
        <f t="shared" si="645"/>
        <v>0</v>
      </c>
      <c r="AF540" s="243">
        <f t="shared" si="646"/>
        <v>0</v>
      </c>
      <c r="AG540" s="243">
        <f t="shared" si="647"/>
        <v>0</v>
      </c>
      <c r="AH540" s="243">
        <f t="shared" si="648"/>
        <v>0</v>
      </c>
      <c r="AI540" s="232" t="s">
        <v>1059</v>
      </c>
      <c r="AJ540" s="243">
        <f t="shared" si="649"/>
        <v>0</v>
      </c>
      <c r="AK540" s="243">
        <f t="shared" si="650"/>
        <v>0</v>
      </c>
      <c r="AL540" s="243">
        <f t="shared" si="651"/>
        <v>0</v>
      </c>
      <c r="AN540" s="243">
        <v>21</v>
      </c>
      <c r="AO540" s="243">
        <f>H540*0.536981734842697</f>
        <v>0</v>
      </c>
      <c r="AP540" s="243">
        <f>H540*(1-0.536981734842697)</f>
        <v>0</v>
      </c>
      <c r="AQ540" s="245" t="s">
        <v>567</v>
      </c>
      <c r="AV540" s="243">
        <f t="shared" si="652"/>
        <v>0</v>
      </c>
      <c r="AW540" s="243">
        <f t="shared" si="653"/>
        <v>0</v>
      </c>
      <c r="AX540" s="243">
        <f t="shared" si="654"/>
        <v>0</v>
      </c>
      <c r="AY540" s="245" t="s">
        <v>610</v>
      </c>
      <c r="AZ540" s="245" t="s">
        <v>1074</v>
      </c>
      <c r="BA540" s="232" t="s">
        <v>1062</v>
      </c>
      <c r="BC540" s="243">
        <f t="shared" si="655"/>
        <v>0</v>
      </c>
      <c r="BD540" s="243">
        <f t="shared" si="656"/>
        <v>0</v>
      </c>
      <c r="BE540" s="243">
        <v>0</v>
      </c>
      <c r="BF540" s="243">
        <f>540</f>
        <v>540</v>
      </c>
      <c r="BH540" s="243">
        <f t="shared" si="657"/>
        <v>0</v>
      </c>
      <c r="BI540" s="243">
        <f t="shared" si="658"/>
        <v>0</v>
      </c>
      <c r="BJ540" s="243">
        <f t="shared" si="659"/>
        <v>0</v>
      </c>
      <c r="BK540" s="243"/>
      <c r="BL540" s="243">
        <v>722</v>
      </c>
      <c r="BW540" s="243">
        <v>21</v>
      </c>
    </row>
    <row r="541" spans="1:75" ht="13.5" customHeight="1">
      <c r="A541" s="207" t="s">
        <v>1073</v>
      </c>
      <c r="B541" s="208" t="s">
        <v>1059</v>
      </c>
      <c r="C541" s="208" t="s">
        <v>366</v>
      </c>
      <c r="D541" s="268" t="s">
        <v>367</v>
      </c>
      <c r="E541" s="260"/>
      <c r="F541" s="208" t="s">
        <v>68</v>
      </c>
      <c r="G541" s="243">
        <v>1</v>
      </c>
      <c r="H541" s="244">
        <v>0</v>
      </c>
      <c r="I541" s="244">
        <f t="shared" si="640"/>
        <v>0</v>
      </c>
      <c r="K541" s="231"/>
      <c r="Z541" s="243">
        <f t="shared" si="641"/>
        <v>0</v>
      </c>
      <c r="AB541" s="243">
        <f t="shared" si="642"/>
        <v>0</v>
      </c>
      <c r="AC541" s="243">
        <f t="shared" si="643"/>
        <v>0</v>
      </c>
      <c r="AD541" s="243">
        <f t="shared" si="644"/>
        <v>0</v>
      </c>
      <c r="AE541" s="243">
        <f t="shared" si="645"/>
        <v>0</v>
      </c>
      <c r="AF541" s="243">
        <f t="shared" si="646"/>
        <v>0</v>
      </c>
      <c r="AG541" s="243">
        <f t="shared" si="647"/>
        <v>0</v>
      </c>
      <c r="AH541" s="243">
        <f t="shared" si="648"/>
        <v>0</v>
      </c>
      <c r="AI541" s="232" t="s">
        <v>1059</v>
      </c>
      <c r="AJ541" s="243">
        <f t="shared" si="649"/>
        <v>0</v>
      </c>
      <c r="AK541" s="243">
        <f t="shared" si="650"/>
        <v>0</v>
      </c>
      <c r="AL541" s="243">
        <f t="shared" si="651"/>
        <v>0</v>
      </c>
      <c r="AN541" s="243">
        <v>21</v>
      </c>
      <c r="AO541" s="243">
        <f>H541*0.945809322033898</f>
        <v>0</v>
      </c>
      <c r="AP541" s="243">
        <f>H541*(1-0.945809322033898)</f>
        <v>0</v>
      </c>
      <c r="AQ541" s="245" t="s">
        <v>567</v>
      </c>
      <c r="AV541" s="243">
        <f t="shared" si="652"/>
        <v>0</v>
      </c>
      <c r="AW541" s="243">
        <f t="shared" si="653"/>
        <v>0</v>
      </c>
      <c r="AX541" s="243">
        <f t="shared" si="654"/>
        <v>0</v>
      </c>
      <c r="AY541" s="245" t="s">
        <v>610</v>
      </c>
      <c r="AZ541" s="245" t="s">
        <v>1074</v>
      </c>
      <c r="BA541" s="232" t="s">
        <v>1062</v>
      </c>
      <c r="BC541" s="243">
        <f t="shared" si="655"/>
        <v>0</v>
      </c>
      <c r="BD541" s="243">
        <f t="shared" si="656"/>
        <v>0</v>
      </c>
      <c r="BE541" s="243">
        <v>0</v>
      </c>
      <c r="BF541" s="243">
        <f>541</f>
        <v>541</v>
      </c>
      <c r="BH541" s="243">
        <f t="shared" si="657"/>
        <v>0</v>
      </c>
      <c r="BI541" s="243">
        <f t="shared" si="658"/>
        <v>0</v>
      </c>
      <c r="BJ541" s="243">
        <f t="shared" si="659"/>
        <v>0</v>
      </c>
      <c r="BK541" s="243"/>
      <c r="BL541" s="243">
        <v>722</v>
      </c>
      <c r="BW541" s="243">
        <v>21</v>
      </c>
    </row>
    <row r="542" spans="1:75" ht="13.5" customHeight="1">
      <c r="A542" s="207" t="s">
        <v>1075</v>
      </c>
      <c r="B542" s="208" t="s">
        <v>1059</v>
      </c>
      <c r="C542" s="208" t="s">
        <v>368</v>
      </c>
      <c r="D542" s="268" t="s">
        <v>369</v>
      </c>
      <c r="E542" s="260"/>
      <c r="F542" s="208" t="s">
        <v>68</v>
      </c>
      <c r="G542" s="243">
        <v>1</v>
      </c>
      <c r="H542" s="244">
        <v>0</v>
      </c>
      <c r="I542" s="244">
        <f t="shared" si="640"/>
        <v>0</v>
      </c>
      <c r="K542" s="231"/>
      <c r="Z542" s="243">
        <f t="shared" si="641"/>
        <v>0</v>
      </c>
      <c r="AB542" s="243">
        <f t="shared" si="642"/>
        <v>0</v>
      </c>
      <c r="AC542" s="243">
        <f t="shared" si="643"/>
        <v>0</v>
      </c>
      <c r="AD542" s="243">
        <f t="shared" si="644"/>
        <v>0</v>
      </c>
      <c r="AE542" s="243">
        <f t="shared" si="645"/>
        <v>0</v>
      </c>
      <c r="AF542" s="243">
        <f t="shared" si="646"/>
        <v>0</v>
      </c>
      <c r="AG542" s="243">
        <f t="shared" si="647"/>
        <v>0</v>
      </c>
      <c r="AH542" s="243">
        <f t="shared" si="648"/>
        <v>0</v>
      </c>
      <c r="AI542" s="232" t="s">
        <v>1059</v>
      </c>
      <c r="AJ542" s="243">
        <f t="shared" si="649"/>
        <v>0</v>
      </c>
      <c r="AK542" s="243">
        <f t="shared" si="650"/>
        <v>0</v>
      </c>
      <c r="AL542" s="243">
        <f t="shared" si="651"/>
        <v>0</v>
      </c>
      <c r="AN542" s="243">
        <v>21</v>
      </c>
      <c r="AO542" s="243">
        <f>H542*0.963329388560158</f>
        <v>0</v>
      </c>
      <c r="AP542" s="243">
        <f>H542*(1-0.963329388560158)</f>
        <v>0</v>
      </c>
      <c r="AQ542" s="245" t="s">
        <v>567</v>
      </c>
      <c r="AV542" s="243">
        <f t="shared" si="652"/>
        <v>0</v>
      </c>
      <c r="AW542" s="243">
        <f t="shared" si="653"/>
        <v>0</v>
      </c>
      <c r="AX542" s="243">
        <f t="shared" si="654"/>
        <v>0</v>
      </c>
      <c r="AY542" s="245" t="s">
        <v>610</v>
      </c>
      <c r="AZ542" s="245" t="s">
        <v>1074</v>
      </c>
      <c r="BA542" s="232" t="s">
        <v>1062</v>
      </c>
      <c r="BC542" s="243">
        <f t="shared" si="655"/>
        <v>0</v>
      </c>
      <c r="BD542" s="243">
        <f t="shared" si="656"/>
        <v>0</v>
      </c>
      <c r="BE542" s="243">
        <v>0</v>
      </c>
      <c r="BF542" s="243">
        <f>542</f>
        <v>542</v>
      </c>
      <c r="BH542" s="243">
        <f t="shared" si="657"/>
        <v>0</v>
      </c>
      <c r="BI542" s="243">
        <f t="shared" si="658"/>
        <v>0</v>
      </c>
      <c r="BJ542" s="243">
        <f t="shared" si="659"/>
        <v>0</v>
      </c>
      <c r="BK542" s="243"/>
      <c r="BL542" s="243">
        <v>722</v>
      </c>
      <c r="BW542" s="243">
        <v>21</v>
      </c>
    </row>
    <row r="543" spans="1:75" ht="13.5" customHeight="1">
      <c r="A543" s="207" t="s">
        <v>1076</v>
      </c>
      <c r="B543" s="208" t="s">
        <v>1059</v>
      </c>
      <c r="C543" s="208" t="s">
        <v>149</v>
      </c>
      <c r="D543" s="268" t="s">
        <v>1320</v>
      </c>
      <c r="E543" s="260"/>
      <c r="F543" s="208" t="s">
        <v>68</v>
      </c>
      <c r="G543" s="243">
        <v>4</v>
      </c>
      <c r="H543" s="244">
        <v>0</v>
      </c>
      <c r="I543" s="244">
        <f t="shared" si="640"/>
        <v>0</v>
      </c>
      <c r="K543" s="231"/>
      <c r="Z543" s="243">
        <f t="shared" si="641"/>
        <v>0</v>
      </c>
      <c r="AB543" s="243">
        <f t="shared" si="642"/>
        <v>0</v>
      </c>
      <c r="AC543" s="243">
        <f t="shared" si="643"/>
        <v>0</v>
      </c>
      <c r="AD543" s="243">
        <f t="shared" si="644"/>
        <v>0</v>
      </c>
      <c r="AE543" s="243">
        <f t="shared" si="645"/>
        <v>0</v>
      </c>
      <c r="AF543" s="243">
        <f t="shared" si="646"/>
        <v>0</v>
      </c>
      <c r="AG543" s="243">
        <f t="shared" si="647"/>
        <v>0</v>
      </c>
      <c r="AH543" s="243">
        <f t="shared" si="648"/>
        <v>0</v>
      </c>
      <c r="AI543" s="232" t="s">
        <v>1059</v>
      </c>
      <c r="AJ543" s="243">
        <f t="shared" si="649"/>
        <v>0</v>
      </c>
      <c r="AK543" s="243">
        <f t="shared" si="650"/>
        <v>0</v>
      </c>
      <c r="AL543" s="243">
        <f t="shared" si="651"/>
        <v>0</v>
      </c>
      <c r="AN543" s="243">
        <v>21</v>
      </c>
      <c r="AO543" s="243">
        <f>H543*0.767472727272727</f>
        <v>0</v>
      </c>
      <c r="AP543" s="243">
        <f>H543*(1-0.767472727272727)</f>
        <v>0</v>
      </c>
      <c r="AQ543" s="245" t="s">
        <v>567</v>
      </c>
      <c r="AV543" s="243">
        <f t="shared" si="652"/>
        <v>0</v>
      </c>
      <c r="AW543" s="243">
        <f t="shared" si="653"/>
        <v>0</v>
      </c>
      <c r="AX543" s="243">
        <f t="shared" si="654"/>
        <v>0</v>
      </c>
      <c r="AY543" s="245" t="s">
        <v>610</v>
      </c>
      <c r="AZ543" s="245" t="s">
        <v>1074</v>
      </c>
      <c r="BA543" s="232" t="s">
        <v>1062</v>
      </c>
      <c r="BC543" s="243">
        <f t="shared" si="655"/>
        <v>0</v>
      </c>
      <c r="BD543" s="243">
        <f t="shared" si="656"/>
        <v>0</v>
      </c>
      <c r="BE543" s="243">
        <v>0</v>
      </c>
      <c r="BF543" s="243">
        <f>543</f>
        <v>543</v>
      </c>
      <c r="BH543" s="243">
        <f t="shared" si="657"/>
        <v>0</v>
      </c>
      <c r="BI543" s="243">
        <f t="shared" si="658"/>
        <v>0</v>
      </c>
      <c r="BJ543" s="243">
        <f t="shared" si="659"/>
        <v>0</v>
      </c>
      <c r="BK543" s="243"/>
      <c r="BL543" s="243">
        <v>722</v>
      </c>
      <c r="BW543" s="243">
        <v>21</v>
      </c>
    </row>
    <row r="544" spans="1:75" ht="13.5" customHeight="1">
      <c r="A544" s="207" t="s">
        <v>1077</v>
      </c>
      <c r="B544" s="208" t="s">
        <v>1059</v>
      </c>
      <c r="C544" s="208" t="s">
        <v>370</v>
      </c>
      <c r="D544" s="268" t="s">
        <v>1346</v>
      </c>
      <c r="E544" s="260"/>
      <c r="F544" s="208" t="s">
        <v>68</v>
      </c>
      <c r="G544" s="243">
        <v>1</v>
      </c>
      <c r="H544" s="244">
        <v>0</v>
      </c>
      <c r="I544" s="244">
        <f t="shared" si="640"/>
        <v>0</v>
      </c>
      <c r="K544" s="231"/>
      <c r="Z544" s="243">
        <f t="shared" si="641"/>
        <v>0</v>
      </c>
      <c r="AB544" s="243">
        <f t="shared" si="642"/>
        <v>0</v>
      </c>
      <c r="AC544" s="243">
        <f t="shared" si="643"/>
        <v>0</v>
      </c>
      <c r="AD544" s="243">
        <f t="shared" si="644"/>
        <v>0</v>
      </c>
      <c r="AE544" s="243">
        <f t="shared" si="645"/>
        <v>0</v>
      </c>
      <c r="AF544" s="243">
        <f t="shared" si="646"/>
        <v>0</v>
      </c>
      <c r="AG544" s="243">
        <f t="shared" si="647"/>
        <v>0</v>
      </c>
      <c r="AH544" s="243">
        <f t="shared" si="648"/>
        <v>0</v>
      </c>
      <c r="AI544" s="232" t="s">
        <v>1059</v>
      </c>
      <c r="AJ544" s="243">
        <f t="shared" si="649"/>
        <v>0</v>
      </c>
      <c r="AK544" s="243">
        <f t="shared" si="650"/>
        <v>0</v>
      </c>
      <c r="AL544" s="243">
        <f t="shared" si="651"/>
        <v>0</v>
      </c>
      <c r="AN544" s="243">
        <v>21</v>
      </c>
      <c r="AO544" s="243">
        <f>H544*0.869366700715015</f>
        <v>0</v>
      </c>
      <c r="AP544" s="243">
        <f>H544*(1-0.869366700715015)</f>
        <v>0</v>
      </c>
      <c r="AQ544" s="245" t="s">
        <v>567</v>
      </c>
      <c r="AV544" s="243">
        <f t="shared" si="652"/>
        <v>0</v>
      </c>
      <c r="AW544" s="243">
        <f t="shared" si="653"/>
        <v>0</v>
      </c>
      <c r="AX544" s="243">
        <f t="shared" si="654"/>
        <v>0</v>
      </c>
      <c r="AY544" s="245" t="s">
        <v>610</v>
      </c>
      <c r="AZ544" s="245" t="s">
        <v>1074</v>
      </c>
      <c r="BA544" s="232" t="s">
        <v>1062</v>
      </c>
      <c r="BC544" s="243">
        <f t="shared" si="655"/>
        <v>0</v>
      </c>
      <c r="BD544" s="243">
        <f t="shared" si="656"/>
        <v>0</v>
      </c>
      <c r="BE544" s="243">
        <v>0</v>
      </c>
      <c r="BF544" s="243">
        <f>544</f>
        <v>544</v>
      </c>
      <c r="BH544" s="243">
        <f t="shared" si="657"/>
        <v>0</v>
      </c>
      <c r="BI544" s="243">
        <f t="shared" si="658"/>
        <v>0</v>
      </c>
      <c r="BJ544" s="243">
        <f t="shared" si="659"/>
        <v>0</v>
      </c>
      <c r="BK544" s="243"/>
      <c r="BL544" s="243">
        <v>722</v>
      </c>
      <c r="BW544" s="243">
        <v>21</v>
      </c>
    </row>
    <row r="545" spans="1:75" ht="13.5" customHeight="1">
      <c r="A545" s="207" t="s">
        <v>1078</v>
      </c>
      <c r="B545" s="208" t="s">
        <v>1059</v>
      </c>
      <c r="C545" s="208" t="s">
        <v>372</v>
      </c>
      <c r="D545" s="268" t="s">
        <v>1347</v>
      </c>
      <c r="E545" s="260"/>
      <c r="F545" s="208" t="s">
        <v>68</v>
      </c>
      <c r="G545" s="243">
        <v>1</v>
      </c>
      <c r="H545" s="244">
        <v>0</v>
      </c>
      <c r="I545" s="244">
        <f t="shared" si="640"/>
        <v>0</v>
      </c>
      <c r="K545" s="231"/>
      <c r="Z545" s="243">
        <f t="shared" si="641"/>
        <v>0</v>
      </c>
      <c r="AB545" s="243">
        <f t="shared" si="642"/>
        <v>0</v>
      </c>
      <c r="AC545" s="243">
        <f t="shared" si="643"/>
        <v>0</v>
      </c>
      <c r="AD545" s="243">
        <f t="shared" si="644"/>
        <v>0</v>
      </c>
      <c r="AE545" s="243">
        <f t="shared" si="645"/>
        <v>0</v>
      </c>
      <c r="AF545" s="243">
        <f t="shared" si="646"/>
        <v>0</v>
      </c>
      <c r="AG545" s="243">
        <f t="shared" si="647"/>
        <v>0</v>
      </c>
      <c r="AH545" s="243">
        <f t="shared" si="648"/>
        <v>0</v>
      </c>
      <c r="AI545" s="232" t="s">
        <v>1059</v>
      </c>
      <c r="AJ545" s="243">
        <f t="shared" si="649"/>
        <v>0</v>
      </c>
      <c r="AK545" s="243">
        <f t="shared" si="650"/>
        <v>0</v>
      </c>
      <c r="AL545" s="243">
        <f t="shared" si="651"/>
        <v>0</v>
      </c>
      <c r="AN545" s="243">
        <v>21</v>
      </c>
      <c r="AO545" s="243">
        <f>H545*0.767894736842105</f>
        <v>0</v>
      </c>
      <c r="AP545" s="243">
        <f>H545*(1-0.767894736842105)</f>
        <v>0</v>
      </c>
      <c r="AQ545" s="245" t="s">
        <v>567</v>
      </c>
      <c r="AV545" s="243">
        <f t="shared" si="652"/>
        <v>0</v>
      </c>
      <c r="AW545" s="243">
        <f t="shared" si="653"/>
        <v>0</v>
      </c>
      <c r="AX545" s="243">
        <f t="shared" si="654"/>
        <v>0</v>
      </c>
      <c r="AY545" s="245" t="s">
        <v>610</v>
      </c>
      <c r="AZ545" s="245" t="s">
        <v>1074</v>
      </c>
      <c r="BA545" s="232" t="s">
        <v>1062</v>
      </c>
      <c r="BC545" s="243">
        <f t="shared" si="655"/>
        <v>0</v>
      </c>
      <c r="BD545" s="243">
        <f t="shared" si="656"/>
        <v>0</v>
      </c>
      <c r="BE545" s="243">
        <v>0</v>
      </c>
      <c r="BF545" s="243">
        <f>545</f>
        <v>545</v>
      </c>
      <c r="BH545" s="243">
        <f t="shared" si="657"/>
        <v>0</v>
      </c>
      <c r="BI545" s="243">
        <f t="shared" si="658"/>
        <v>0</v>
      </c>
      <c r="BJ545" s="243">
        <f t="shared" si="659"/>
        <v>0</v>
      </c>
      <c r="BK545" s="243"/>
      <c r="BL545" s="243">
        <v>722</v>
      </c>
      <c r="BW545" s="243">
        <v>21</v>
      </c>
    </row>
    <row r="546" spans="1:75" ht="13.5" customHeight="1">
      <c r="A546" s="207" t="s">
        <v>1079</v>
      </c>
      <c r="B546" s="208" t="s">
        <v>1059</v>
      </c>
      <c r="C546" s="208" t="s">
        <v>156</v>
      </c>
      <c r="D546" s="268" t="s">
        <v>1348</v>
      </c>
      <c r="E546" s="260"/>
      <c r="F546" s="208" t="s">
        <v>68</v>
      </c>
      <c r="G546" s="243">
        <v>1</v>
      </c>
      <c r="H546" s="244">
        <v>0</v>
      </c>
      <c r="I546" s="244">
        <f t="shared" si="640"/>
        <v>0</v>
      </c>
      <c r="K546" s="231"/>
      <c r="Z546" s="243">
        <f t="shared" si="641"/>
        <v>0</v>
      </c>
      <c r="AB546" s="243">
        <f t="shared" si="642"/>
        <v>0</v>
      </c>
      <c r="AC546" s="243">
        <f t="shared" si="643"/>
        <v>0</v>
      </c>
      <c r="AD546" s="243">
        <f t="shared" si="644"/>
        <v>0</v>
      </c>
      <c r="AE546" s="243">
        <f t="shared" si="645"/>
        <v>0</v>
      </c>
      <c r="AF546" s="243">
        <f t="shared" si="646"/>
        <v>0</v>
      </c>
      <c r="AG546" s="243">
        <f t="shared" si="647"/>
        <v>0</v>
      </c>
      <c r="AH546" s="243">
        <f t="shared" si="648"/>
        <v>0</v>
      </c>
      <c r="AI546" s="232" t="s">
        <v>1059</v>
      </c>
      <c r="AJ546" s="243">
        <f t="shared" si="649"/>
        <v>0</v>
      </c>
      <c r="AK546" s="243">
        <f t="shared" si="650"/>
        <v>0</v>
      </c>
      <c r="AL546" s="243">
        <f t="shared" si="651"/>
        <v>0</v>
      </c>
      <c r="AN546" s="243">
        <v>21</v>
      </c>
      <c r="AO546" s="243">
        <f>H546*0.901698693312836</f>
        <v>0</v>
      </c>
      <c r="AP546" s="243">
        <f>H546*(1-0.901698693312836)</f>
        <v>0</v>
      </c>
      <c r="AQ546" s="245" t="s">
        <v>567</v>
      </c>
      <c r="AV546" s="243">
        <f t="shared" si="652"/>
        <v>0</v>
      </c>
      <c r="AW546" s="243">
        <f t="shared" si="653"/>
        <v>0</v>
      </c>
      <c r="AX546" s="243">
        <f t="shared" si="654"/>
        <v>0</v>
      </c>
      <c r="AY546" s="245" t="s">
        <v>610</v>
      </c>
      <c r="AZ546" s="245" t="s">
        <v>1074</v>
      </c>
      <c r="BA546" s="232" t="s">
        <v>1062</v>
      </c>
      <c r="BC546" s="243">
        <f t="shared" si="655"/>
        <v>0</v>
      </c>
      <c r="BD546" s="243">
        <f t="shared" si="656"/>
        <v>0</v>
      </c>
      <c r="BE546" s="243">
        <v>0</v>
      </c>
      <c r="BF546" s="243">
        <f>546</f>
        <v>546</v>
      </c>
      <c r="BH546" s="243">
        <f t="shared" si="657"/>
        <v>0</v>
      </c>
      <c r="BI546" s="243">
        <f t="shared" si="658"/>
        <v>0</v>
      </c>
      <c r="BJ546" s="243">
        <f t="shared" si="659"/>
        <v>0</v>
      </c>
      <c r="BK546" s="243"/>
      <c r="BL546" s="243">
        <v>722</v>
      </c>
      <c r="BW546" s="243">
        <v>21</v>
      </c>
    </row>
    <row r="547" spans="1:75" ht="13.5" customHeight="1">
      <c r="A547" s="207" t="s">
        <v>1080</v>
      </c>
      <c r="B547" s="208" t="s">
        <v>1059</v>
      </c>
      <c r="C547" s="208" t="s">
        <v>454</v>
      </c>
      <c r="D547" s="268" t="s">
        <v>1379</v>
      </c>
      <c r="E547" s="260"/>
      <c r="F547" s="208" t="s">
        <v>68</v>
      </c>
      <c r="G547" s="243">
        <v>1</v>
      </c>
      <c r="H547" s="244">
        <v>0</v>
      </c>
      <c r="I547" s="244">
        <f t="shared" si="640"/>
        <v>0</v>
      </c>
      <c r="K547" s="231"/>
      <c r="Z547" s="243">
        <f t="shared" si="641"/>
        <v>0</v>
      </c>
      <c r="AB547" s="243">
        <f t="shared" si="642"/>
        <v>0</v>
      </c>
      <c r="AC547" s="243">
        <f t="shared" si="643"/>
        <v>0</v>
      </c>
      <c r="AD547" s="243">
        <f t="shared" si="644"/>
        <v>0</v>
      </c>
      <c r="AE547" s="243">
        <f t="shared" si="645"/>
        <v>0</v>
      </c>
      <c r="AF547" s="243">
        <f t="shared" si="646"/>
        <v>0</v>
      </c>
      <c r="AG547" s="243">
        <f t="shared" si="647"/>
        <v>0</v>
      </c>
      <c r="AH547" s="243">
        <f t="shared" si="648"/>
        <v>0</v>
      </c>
      <c r="AI547" s="232" t="s">
        <v>1059</v>
      </c>
      <c r="AJ547" s="243">
        <f t="shared" si="649"/>
        <v>0</v>
      </c>
      <c r="AK547" s="243">
        <f t="shared" si="650"/>
        <v>0</v>
      </c>
      <c r="AL547" s="243">
        <f t="shared" si="651"/>
        <v>0</v>
      </c>
      <c r="AN547" s="243">
        <v>21</v>
      </c>
      <c r="AO547" s="243">
        <f>H547*0.904977375565611</f>
        <v>0</v>
      </c>
      <c r="AP547" s="243">
        <f>H547*(1-0.904977375565611)</f>
        <v>0</v>
      </c>
      <c r="AQ547" s="245" t="s">
        <v>567</v>
      </c>
      <c r="AV547" s="243">
        <f t="shared" si="652"/>
        <v>0</v>
      </c>
      <c r="AW547" s="243">
        <f t="shared" si="653"/>
        <v>0</v>
      </c>
      <c r="AX547" s="243">
        <f t="shared" si="654"/>
        <v>0</v>
      </c>
      <c r="AY547" s="245" t="s">
        <v>610</v>
      </c>
      <c r="AZ547" s="245" t="s">
        <v>1074</v>
      </c>
      <c r="BA547" s="232" t="s">
        <v>1062</v>
      </c>
      <c r="BC547" s="243">
        <f t="shared" si="655"/>
        <v>0</v>
      </c>
      <c r="BD547" s="243">
        <f t="shared" si="656"/>
        <v>0</v>
      </c>
      <c r="BE547" s="243">
        <v>0</v>
      </c>
      <c r="BF547" s="243">
        <f>547</f>
        <v>547</v>
      </c>
      <c r="BH547" s="243">
        <f t="shared" si="657"/>
        <v>0</v>
      </c>
      <c r="BI547" s="243">
        <f t="shared" si="658"/>
        <v>0</v>
      </c>
      <c r="BJ547" s="243">
        <f t="shared" si="659"/>
        <v>0</v>
      </c>
      <c r="BK547" s="243"/>
      <c r="BL547" s="243">
        <v>722</v>
      </c>
      <c r="BW547" s="243">
        <v>21</v>
      </c>
    </row>
    <row r="548" spans="1:75" ht="13.5" customHeight="1">
      <c r="A548" s="207" t="s">
        <v>1081</v>
      </c>
      <c r="B548" s="208" t="s">
        <v>1059</v>
      </c>
      <c r="C548" s="208" t="s">
        <v>1380</v>
      </c>
      <c r="D548" s="268" t="s">
        <v>1381</v>
      </c>
      <c r="E548" s="260"/>
      <c r="F548" s="208" t="s">
        <v>68</v>
      </c>
      <c r="G548" s="243">
        <v>2</v>
      </c>
      <c r="H548" s="244">
        <v>0</v>
      </c>
      <c r="I548" s="244">
        <f t="shared" si="640"/>
        <v>0</v>
      </c>
      <c r="K548" s="231"/>
      <c r="Z548" s="243">
        <f t="shared" si="641"/>
        <v>0</v>
      </c>
      <c r="AB548" s="243">
        <f t="shared" si="642"/>
        <v>0</v>
      </c>
      <c r="AC548" s="243">
        <f t="shared" si="643"/>
        <v>0</v>
      </c>
      <c r="AD548" s="243">
        <f t="shared" si="644"/>
        <v>0</v>
      </c>
      <c r="AE548" s="243">
        <f t="shared" si="645"/>
        <v>0</v>
      </c>
      <c r="AF548" s="243">
        <f t="shared" si="646"/>
        <v>0</v>
      </c>
      <c r="AG548" s="243">
        <f t="shared" si="647"/>
        <v>0</v>
      </c>
      <c r="AH548" s="243">
        <f t="shared" si="648"/>
        <v>0</v>
      </c>
      <c r="AI548" s="232" t="s">
        <v>1059</v>
      </c>
      <c r="AJ548" s="243">
        <f t="shared" si="649"/>
        <v>0</v>
      </c>
      <c r="AK548" s="243">
        <f t="shared" si="650"/>
        <v>0</v>
      </c>
      <c r="AL548" s="243">
        <f t="shared" si="651"/>
        <v>0</v>
      </c>
      <c r="AN548" s="243">
        <v>21</v>
      </c>
      <c r="AO548" s="243">
        <f>H548*0.657605893186004</f>
        <v>0</v>
      </c>
      <c r="AP548" s="243">
        <f>H548*(1-0.657605893186004)</f>
        <v>0</v>
      </c>
      <c r="AQ548" s="245" t="s">
        <v>567</v>
      </c>
      <c r="AV548" s="243">
        <f t="shared" si="652"/>
        <v>0</v>
      </c>
      <c r="AW548" s="243">
        <f t="shared" si="653"/>
        <v>0</v>
      </c>
      <c r="AX548" s="243">
        <f t="shared" si="654"/>
        <v>0</v>
      </c>
      <c r="AY548" s="245" t="s">
        <v>610</v>
      </c>
      <c r="AZ548" s="245" t="s">
        <v>1074</v>
      </c>
      <c r="BA548" s="232" t="s">
        <v>1062</v>
      </c>
      <c r="BC548" s="243">
        <f t="shared" si="655"/>
        <v>0</v>
      </c>
      <c r="BD548" s="243">
        <f t="shared" si="656"/>
        <v>0</v>
      </c>
      <c r="BE548" s="243">
        <v>0</v>
      </c>
      <c r="BF548" s="243">
        <f>548</f>
        <v>548</v>
      </c>
      <c r="BH548" s="243">
        <f t="shared" si="657"/>
        <v>0</v>
      </c>
      <c r="BI548" s="243">
        <f t="shared" si="658"/>
        <v>0</v>
      </c>
      <c r="BJ548" s="243">
        <f t="shared" si="659"/>
        <v>0</v>
      </c>
      <c r="BK548" s="243"/>
      <c r="BL548" s="243">
        <v>722</v>
      </c>
      <c r="BW548" s="243">
        <v>21</v>
      </c>
    </row>
    <row r="549" spans="1:75" ht="13.5" customHeight="1">
      <c r="A549" s="207" t="s">
        <v>1082</v>
      </c>
      <c r="B549" s="208" t="s">
        <v>1059</v>
      </c>
      <c r="C549" s="208" t="s">
        <v>1382</v>
      </c>
      <c r="D549" s="268" t="s">
        <v>1383</v>
      </c>
      <c r="E549" s="260"/>
      <c r="F549" s="208" t="s">
        <v>68</v>
      </c>
      <c r="G549" s="243">
        <v>1</v>
      </c>
      <c r="H549" s="244">
        <v>0</v>
      </c>
      <c r="I549" s="244">
        <f t="shared" si="640"/>
        <v>0</v>
      </c>
      <c r="K549" s="231"/>
      <c r="Z549" s="243">
        <f t="shared" si="641"/>
        <v>0</v>
      </c>
      <c r="AB549" s="243">
        <f t="shared" si="642"/>
        <v>0</v>
      </c>
      <c r="AC549" s="243">
        <f t="shared" si="643"/>
        <v>0</v>
      </c>
      <c r="AD549" s="243">
        <f t="shared" si="644"/>
        <v>0</v>
      </c>
      <c r="AE549" s="243">
        <f t="shared" si="645"/>
        <v>0</v>
      </c>
      <c r="AF549" s="243">
        <f t="shared" si="646"/>
        <v>0</v>
      </c>
      <c r="AG549" s="243">
        <f t="shared" si="647"/>
        <v>0</v>
      </c>
      <c r="AH549" s="243">
        <f t="shared" si="648"/>
        <v>0</v>
      </c>
      <c r="AI549" s="232" t="s">
        <v>1059</v>
      </c>
      <c r="AJ549" s="243">
        <f t="shared" si="649"/>
        <v>0</v>
      </c>
      <c r="AK549" s="243">
        <f t="shared" si="650"/>
        <v>0</v>
      </c>
      <c r="AL549" s="243">
        <f t="shared" si="651"/>
        <v>0</v>
      </c>
      <c r="AN549" s="243">
        <v>21</v>
      </c>
      <c r="AO549" s="243">
        <f>H549*0.67609756097561</f>
        <v>0</v>
      </c>
      <c r="AP549" s="243">
        <f>H549*(1-0.67609756097561)</f>
        <v>0</v>
      </c>
      <c r="AQ549" s="245" t="s">
        <v>567</v>
      </c>
      <c r="AV549" s="243">
        <f t="shared" si="652"/>
        <v>0</v>
      </c>
      <c r="AW549" s="243">
        <f t="shared" si="653"/>
        <v>0</v>
      </c>
      <c r="AX549" s="243">
        <f t="shared" si="654"/>
        <v>0</v>
      </c>
      <c r="AY549" s="245" t="s">
        <v>610</v>
      </c>
      <c r="AZ549" s="245" t="s">
        <v>1074</v>
      </c>
      <c r="BA549" s="232" t="s">
        <v>1062</v>
      </c>
      <c r="BC549" s="243">
        <f t="shared" si="655"/>
        <v>0</v>
      </c>
      <c r="BD549" s="243">
        <f t="shared" si="656"/>
        <v>0</v>
      </c>
      <c r="BE549" s="243">
        <v>0</v>
      </c>
      <c r="BF549" s="243">
        <f>549</f>
        <v>549</v>
      </c>
      <c r="BH549" s="243">
        <f t="shared" si="657"/>
        <v>0</v>
      </c>
      <c r="BI549" s="243">
        <f t="shared" si="658"/>
        <v>0</v>
      </c>
      <c r="BJ549" s="243">
        <f t="shared" si="659"/>
        <v>0</v>
      </c>
      <c r="BK549" s="243"/>
      <c r="BL549" s="243">
        <v>722</v>
      </c>
      <c r="BW549" s="243">
        <v>21</v>
      </c>
    </row>
    <row r="550" spans="1:75" ht="13.5" customHeight="1">
      <c r="A550" s="207" t="s">
        <v>1083</v>
      </c>
      <c r="B550" s="208" t="s">
        <v>1059</v>
      </c>
      <c r="C550" s="208" t="s">
        <v>1384</v>
      </c>
      <c r="D550" s="268" t="s">
        <v>1385</v>
      </c>
      <c r="E550" s="260"/>
      <c r="F550" s="208" t="s">
        <v>68</v>
      </c>
      <c r="G550" s="243">
        <v>1</v>
      </c>
      <c r="H550" s="244">
        <v>0</v>
      </c>
      <c r="I550" s="244">
        <f t="shared" si="640"/>
        <v>0</v>
      </c>
      <c r="K550" s="231"/>
      <c r="Z550" s="243">
        <f t="shared" si="641"/>
        <v>0</v>
      </c>
      <c r="AB550" s="243">
        <f t="shared" si="642"/>
        <v>0</v>
      </c>
      <c r="AC550" s="243">
        <f t="shared" si="643"/>
        <v>0</v>
      </c>
      <c r="AD550" s="243">
        <f t="shared" si="644"/>
        <v>0</v>
      </c>
      <c r="AE550" s="243">
        <f t="shared" si="645"/>
        <v>0</v>
      </c>
      <c r="AF550" s="243">
        <f t="shared" si="646"/>
        <v>0</v>
      </c>
      <c r="AG550" s="243">
        <f t="shared" si="647"/>
        <v>0</v>
      </c>
      <c r="AH550" s="243">
        <f t="shared" si="648"/>
        <v>0</v>
      </c>
      <c r="AI550" s="232" t="s">
        <v>1059</v>
      </c>
      <c r="AJ550" s="243">
        <f t="shared" si="649"/>
        <v>0</v>
      </c>
      <c r="AK550" s="243">
        <f t="shared" si="650"/>
        <v>0</v>
      </c>
      <c r="AL550" s="243">
        <f t="shared" si="651"/>
        <v>0</v>
      </c>
      <c r="AN550" s="243">
        <v>21</v>
      </c>
      <c r="AO550" s="243">
        <f>H550*0.737401129943503</f>
        <v>0</v>
      </c>
      <c r="AP550" s="243">
        <f>H550*(1-0.737401129943503)</f>
        <v>0</v>
      </c>
      <c r="AQ550" s="245" t="s">
        <v>567</v>
      </c>
      <c r="AV550" s="243">
        <f t="shared" si="652"/>
        <v>0</v>
      </c>
      <c r="AW550" s="243">
        <f t="shared" si="653"/>
        <v>0</v>
      </c>
      <c r="AX550" s="243">
        <f t="shared" si="654"/>
        <v>0</v>
      </c>
      <c r="AY550" s="245" t="s">
        <v>610</v>
      </c>
      <c r="AZ550" s="245" t="s">
        <v>1074</v>
      </c>
      <c r="BA550" s="232" t="s">
        <v>1062</v>
      </c>
      <c r="BC550" s="243">
        <f t="shared" si="655"/>
        <v>0</v>
      </c>
      <c r="BD550" s="243">
        <f t="shared" si="656"/>
        <v>0</v>
      </c>
      <c r="BE550" s="243">
        <v>0</v>
      </c>
      <c r="BF550" s="243">
        <f>550</f>
        <v>550</v>
      </c>
      <c r="BH550" s="243">
        <f t="shared" si="657"/>
        <v>0</v>
      </c>
      <c r="BI550" s="243">
        <f t="shared" si="658"/>
        <v>0</v>
      </c>
      <c r="BJ550" s="243">
        <f t="shared" si="659"/>
        <v>0</v>
      </c>
      <c r="BK550" s="243"/>
      <c r="BL550" s="243">
        <v>722</v>
      </c>
      <c r="BW550" s="243">
        <v>21</v>
      </c>
    </row>
    <row r="551" spans="1:75" ht="15" customHeight="1">
      <c r="A551" s="238" t="s">
        <v>21</v>
      </c>
      <c r="B551" s="239" t="s">
        <v>1059</v>
      </c>
      <c r="C551" s="239" t="s">
        <v>380</v>
      </c>
      <c r="D551" s="309" t="s">
        <v>381</v>
      </c>
      <c r="E551" s="310"/>
      <c r="F551" s="240" t="s">
        <v>20</v>
      </c>
      <c r="G551" s="240" t="s">
        <v>20</v>
      </c>
      <c r="H551" s="241" t="s">
        <v>20</v>
      </c>
      <c r="I551" s="242">
        <f>SUM(I552:I552)</f>
        <v>0</v>
      </c>
      <c r="K551" s="231"/>
      <c r="AI551" s="232" t="s">
        <v>1059</v>
      </c>
      <c r="AS551" s="225">
        <f>SUM(AJ552:AJ552)</f>
        <v>0</v>
      </c>
      <c r="AT551" s="225">
        <f>SUM(AK552:AK552)</f>
        <v>0</v>
      </c>
      <c r="AU551" s="225">
        <f>SUM(AL552:AL552)</f>
        <v>0</v>
      </c>
    </row>
    <row r="552" spans="1:75" ht="13.5" customHeight="1">
      <c r="A552" s="207" t="s">
        <v>1084</v>
      </c>
      <c r="B552" s="208" t="s">
        <v>1059</v>
      </c>
      <c r="C552" s="208" t="s">
        <v>83</v>
      </c>
      <c r="D552" s="268" t="s">
        <v>255</v>
      </c>
      <c r="E552" s="260"/>
      <c r="F552" s="208" t="s">
        <v>58</v>
      </c>
      <c r="G552" s="243">
        <v>1</v>
      </c>
      <c r="H552" s="244">
        <v>0</v>
      </c>
      <c r="I552" s="244">
        <f>G552*H552</f>
        <v>0</v>
      </c>
      <c r="K552" s="231"/>
      <c r="Z552" s="243">
        <f>IF(AQ552="5",BJ552,0)</f>
        <v>0</v>
      </c>
      <c r="AB552" s="243">
        <f>IF(AQ552="1",BH552,0)</f>
        <v>0</v>
      </c>
      <c r="AC552" s="243">
        <f>IF(AQ552="1",BI552,0)</f>
        <v>0</v>
      </c>
      <c r="AD552" s="243">
        <f>IF(AQ552="7",BH552,0)</f>
        <v>0</v>
      </c>
      <c r="AE552" s="243">
        <f>IF(AQ552="7",BI552,0)</f>
        <v>0</v>
      </c>
      <c r="AF552" s="243">
        <f>IF(AQ552="2",BH552,0)</f>
        <v>0</v>
      </c>
      <c r="AG552" s="243">
        <f>IF(AQ552="2",BI552,0)</f>
        <v>0</v>
      </c>
      <c r="AH552" s="243">
        <f>IF(AQ552="0",BJ552,0)</f>
        <v>0</v>
      </c>
      <c r="AI552" s="232" t="s">
        <v>1059</v>
      </c>
      <c r="AJ552" s="243">
        <f>IF(AN552=0,I552,0)</f>
        <v>0</v>
      </c>
      <c r="AK552" s="243">
        <f>IF(AN552=12,I552,0)</f>
        <v>0</v>
      </c>
      <c r="AL552" s="243">
        <f>IF(AN552=21,I552,0)</f>
        <v>0</v>
      </c>
      <c r="AN552" s="243">
        <v>21</v>
      </c>
      <c r="AO552" s="243">
        <f>H552*0.346020761245675</f>
        <v>0</v>
      </c>
      <c r="AP552" s="243">
        <f>H552*(1-0.346020761245675)</f>
        <v>0</v>
      </c>
      <c r="AQ552" s="245" t="s">
        <v>567</v>
      </c>
      <c r="AV552" s="243">
        <f>AW552+AX552</f>
        <v>0</v>
      </c>
      <c r="AW552" s="243">
        <f>G552*AO552</f>
        <v>0</v>
      </c>
      <c r="AX552" s="243">
        <f>G552*AP552</f>
        <v>0</v>
      </c>
      <c r="AY552" s="245" t="s">
        <v>745</v>
      </c>
      <c r="AZ552" s="245" t="s">
        <v>1091</v>
      </c>
      <c r="BA552" s="232" t="s">
        <v>1062</v>
      </c>
      <c r="BC552" s="243">
        <f>AW552+AX552</f>
        <v>0</v>
      </c>
      <c r="BD552" s="243">
        <f>H552/(100-BE552)*100</f>
        <v>0</v>
      </c>
      <c r="BE552" s="243">
        <v>0</v>
      </c>
      <c r="BF552" s="243">
        <f>552</f>
        <v>552</v>
      </c>
      <c r="BH552" s="243">
        <f>G552*AO552</f>
        <v>0</v>
      </c>
      <c r="BI552" s="243">
        <f>G552*AP552</f>
        <v>0</v>
      </c>
      <c r="BJ552" s="243">
        <f>G552*H552</f>
        <v>0</v>
      </c>
      <c r="BK552" s="243"/>
      <c r="BL552" s="243">
        <v>73</v>
      </c>
      <c r="BW552" s="243">
        <v>21</v>
      </c>
    </row>
    <row r="553" spans="1:75" ht="15" customHeight="1">
      <c r="A553" s="238" t="s">
        <v>21</v>
      </c>
      <c r="B553" s="239" t="s">
        <v>1059</v>
      </c>
      <c r="C553" s="239" t="s">
        <v>64</v>
      </c>
      <c r="D553" s="309" t="s">
        <v>65</v>
      </c>
      <c r="E553" s="310"/>
      <c r="F553" s="240" t="s">
        <v>20</v>
      </c>
      <c r="G553" s="240" t="s">
        <v>20</v>
      </c>
      <c r="H553" s="241" t="s">
        <v>20</v>
      </c>
      <c r="I553" s="242">
        <f>SUM(I554:I560)</f>
        <v>0</v>
      </c>
      <c r="K553" s="231"/>
      <c r="AI553" s="232" t="s">
        <v>1059</v>
      </c>
      <c r="AS553" s="225">
        <f>SUM(AJ554:AJ560)</f>
        <v>0</v>
      </c>
      <c r="AT553" s="225">
        <f>SUM(AK554:AK560)</f>
        <v>0</v>
      </c>
      <c r="AU553" s="225">
        <f>SUM(AL554:AL560)</f>
        <v>0</v>
      </c>
    </row>
    <row r="554" spans="1:75" ht="13.5" customHeight="1">
      <c r="A554" s="207" t="s">
        <v>1085</v>
      </c>
      <c r="B554" s="208" t="s">
        <v>1059</v>
      </c>
      <c r="C554" s="208" t="s">
        <v>382</v>
      </c>
      <c r="D554" s="268" t="s">
        <v>114</v>
      </c>
      <c r="E554" s="260"/>
      <c r="F554" s="208" t="s">
        <v>58</v>
      </c>
      <c r="G554" s="243">
        <v>9</v>
      </c>
      <c r="H554" s="244">
        <v>0</v>
      </c>
      <c r="I554" s="244">
        <f t="shared" ref="I554:I560" si="660">G554*H554</f>
        <v>0</v>
      </c>
      <c r="K554" s="231"/>
      <c r="Z554" s="243">
        <f t="shared" ref="Z554:Z560" si="661">IF(AQ554="5",BJ554,0)</f>
        <v>0</v>
      </c>
      <c r="AB554" s="243">
        <f t="shared" ref="AB554:AB560" si="662">IF(AQ554="1",BH554,0)</f>
        <v>0</v>
      </c>
      <c r="AC554" s="243">
        <f t="shared" ref="AC554:AC560" si="663">IF(AQ554="1",BI554,0)</f>
        <v>0</v>
      </c>
      <c r="AD554" s="243">
        <f t="shared" ref="AD554:AD560" si="664">IF(AQ554="7",BH554,0)</f>
        <v>0</v>
      </c>
      <c r="AE554" s="243">
        <f t="shared" ref="AE554:AE560" si="665">IF(AQ554="7",BI554,0)</f>
        <v>0</v>
      </c>
      <c r="AF554" s="243">
        <f t="shared" ref="AF554:AF560" si="666">IF(AQ554="2",BH554,0)</f>
        <v>0</v>
      </c>
      <c r="AG554" s="243">
        <f t="shared" ref="AG554:AG560" si="667">IF(AQ554="2",BI554,0)</f>
        <v>0</v>
      </c>
      <c r="AH554" s="243">
        <f t="shared" ref="AH554:AH560" si="668">IF(AQ554="0",BJ554,0)</f>
        <v>0</v>
      </c>
      <c r="AI554" s="232" t="s">
        <v>1059</v>
      </c>
      <c r="AJ554" s="243">
        <f t="shared" ref="AJ554:AJ560" si="669">IF(AN554=0,I554,0)</f>
        <v>0</v>
      </c>
      <c r="AK554" s="243">
        <f t="shared" ref="AK554:AK560" si="670">IF(AN554=12,I554,0)</f>
        <v>0</v>
      </c>
      <c r="AL554" s="243">
        <f t="shared" ref="AL554:AL560" si="671">IF(AN554=21,I554,0)</f>
        <v>0</v>
      </c>
      <c r="AN554" s="243">
        <v>21</v>
      </c>
      <c r="AO554" s="243">
        <f>H554*0.658518518518519</f>
        <v>0</v>
      </c>
      <c r="AP554" s="243">
        <f>H554*(1-0.658518518518519)</f>
        <v>0</v>
      </c>
      <c r="AQ554" s="245" t="s">
        <v>567</v>
      </c>
      <c r="AV554" s="243">
        <f t="shared" ref="AV554:AV560" si="672">AW554+AX554</f>
        <v>0</v>
      </c>
      <c r="AW554" s="243">
        <f t="shared" ref="AW554:AW560" si="673">G554*AO554</f>
        <v>0</v>
      </c>
      <c r="AX554" s="243">
        <f t="shared" ref="AX554:AX560" si="674">G554*AP554</f>
        <v>0</v>
      </c>
      <c r="AY554" s="245" t="s">
        <v>580</v>
      </c>
      <c r="AZ554" s="245" t="s">
        <v>1091</v>
      </c>
      <c r="BA554" s="232" t="s">
        <v>1062</v>
      </c>
      <c r="BC554" s="243">
        <f t="shared" ref="BC554:BC560" si="675">AW554+AX554</f>
        <v>0</v>
      </c>
      <c r="BD554" s="243">
        <f t="shared" ref="BD554:BD560" si="676">H554/(100-BE554)*100</f>
        <v>0</v>
      </c>
      <c r="BE554" s="243">
        <v>0</v>
      </c>
      <c r="BF554" s="243">
        <f>554</f>
        <v>554</v>
      </c>
      <c r="BH554" s="243">
        <f t="shared" ref="BH554:BH560" si="677">G554*AO554</f>
        <v>0</v>
      </c>
      <c r="BI554" s="243">
        <f t="shared" ref="BI554:BI560" si="678">G554*AP554</f>
        <v>0</v>
      </c>
      <c r="BJ554" s="243">
        <f t="shared" ref="BJ554:BJ560" si="679">G554*H554</f>
        <v>0</v>
      </c>
      <c r="BK554" s="243"/>
      <c r="BL554" s="243">
        <v>732</v>
      </c>
      <c r="BW554" s="243">
        <v>21</v>
      </c>
    </row>
    <row r="555" spans="1:75" ht="13.5" customHeight="1">
      <c r="A555" s="207" t="s">
        <v>1086</v>
      </c>
      <c r="B555" s="208" t="s">
        <v>1059</v>
      </c>
      <c r="C555" s="208" t="s">
        <v>383</v>
      </c>
      <c r="D555" s="268" t="s">
        <v>384</v>
      </c>
      <c r="E555" s="260"/>
      <c r="F555" s="208" t="s">
        <v>63</v>
      </c>
      <c r="G555" s="243">
        <v>2</v>
      </c>
      <c r="H555" s="244">
        <v>0</v>
      </c>
      <c r="I555" s="244">
        <f t="shared" si="660"/>
        <v>0</v>
      </c>
      <c r="K555" s="231"/>
      <c r="Z555" s="243">
        <f t="shared" si="661"/>
        <v>0</v>
      </c>
      <c r="AB555" s="243">
        <f t="shared" si="662"/>
        <v>0</v>
      </c>
      <c r="AC555" s="243">
        <f t="shared" si="663"/>
        <v>0</v>
      </c>
      <c r="AD555" s="243">
        <f t="shared" si="664"/>
        <v>0</v>
      </c>
      <c r="AE555" s="243">
        <f t="shared" si="665"/>
        <v>0</v>
      </c>
      <c r="AF555" s="243">
        <f t="shared" si="666"/>
        <v>0</v>
      </c>
      <c r="AG555" s="243">
        <f t="shared" si="667"/>
        <v>0</v>
      </c>
      <c r="AH555" s="243">
        <f t="shared" si="668"/>
        <v>0</v>
      </c>
      <c r="AI555" s="232" t="s">
        <v>1059</v>
      </c>
      <c r="AJ555" s="243">
        <f t="shared" si="669"/>
        <v>0</v>
      </c>
      <c r="AK555" s="243">
        <f t="shared" si="670"/>
        <v>0</v>
      </c>
      <c r="AL555" s="243">
        <f t="shared" si="671"/>
        <v>0</v>
      </c>
      <c r="AN555" s="243">
        <v>21</v>
      </c>
      <c r="AO555" s="243">
        <f>H555*0</f>
        <v>0</v>
      </c>
      <c r="AP555" s="243">
        <f>H555*(1-0)</f>
        <v>0</v>
      </c>
      <c r="AQ555" s="245" t="s">
        <v>567</v>
      </c>
      <c r="AV555" s="243">
        <f t="shared" si="672"/>
        <v>0</v>
      </c>
      <c r="AW555" s="243">
        <f t="shared" si="673"/>
        <v>0</v>
      </c>
      <c r="AX555" s="243">
        <f t="shared" si="674"/>
        <v>0</v>
      </c>
      <c r="AY555" s="245" t="s">
        <v>580</v>
      </c>
      <c r="AZ555" s="245" t="s">
        <v>1091</v>
      </c>
      <c r="BA555" s="232" t="s">
        <v>1062</v>
      </c>
      <c r="BC555" s="243">
        <f t="shared" si="675"/>
        <v>0</v>
      </c>
      <c r="BD555" s="243">
        <f t="shared" si="676"/>
        <v>0</v>
      </c>
      <c r="BE555" s="243">
        <v>0</v>
      </c>
      <c r="BF555" s="243">
        <f>555</f>
        <v>555</v>
      </c>
      <c r="BH555" s="243">
        <f t="shared" si="677"/>
        <v>0</v>
      </c>
      <c r="BI555" s="243">
        <f t="shared" si="678"/>
        <v>0</v>
      </c>
      <c r="BJ555" s="243">
        <f t="shared" si="679"/>
        <v>0</v>
      </c>
      <c r="BK555" s="243"/>
      <c r="BL555" s="243">
        <v>732</v>
      </c>
      <c r="BW555" s="243">
        <v>21</v>
      </c>
    </row>
    <row r="556" spans="1:75" ht="13.5" customHeight="1">
      <c r="A556" s="207" t="s">
        <v>1087</v>
      </c>
      <c r="B556" s="208" t="s">
        <v>1059</v>
      </c>
      <c r="C556" s="208" t="s">
        <v>385</v>
      </c>
      <c r="D556" s="268" t="s">
        <v>386</v>
      </c>
      <c r="E556" s="260"/>
      <c r="F556" s="208" t="s">
        <v>68</v>
      </c>
      <c r="G556" s="243">
        <v>1</v>
      </c>
      <c r="H556" s="244">
        <v>0</v>
      </c>
      <c r="I556" s="244">
        <f t="shared" si="660"/>
        <v>0</v>
      </c>
      <c r="K556" s="231"/>
      <c r="Z556" s="243">
        <f t="shared" si="661"/>
        <v>0</v>
      </c>
      <c r="AB556" s="243">
        <f t="shared" si="662"/>
        <v>0</v>
      </c>
      <c r="AC556" s="243">
        <f t="shared" si="663"/>
        <v>0</v>
      </c>
      <c r="AD556" s="243">
        <f t="shared" si="664"/>
        <v>0</v>
      </c>
      <c r="AE556" s="243">
        <f t="shared" si="665"/>
        <v>0</v>
      </c>
      <c r="AF556" s="243">
        <f t="shared" si="666"/>
        <v>0</v>
      </c>
      <c r="AG556" s="243">
        <f t="shared" si="667"/>
        <v>0</v>
      </c>
      <c r="AH556" s="243">
        <f t="shared" si="668"/>
        <v>0</v>
      </c>
      <c r="AI556" s="232" t="s">
        <v>1059</v>
      </c>
      <c r="AJ556" s="243">
        <f t="shared" si="669"/>
        <v>0</v>
      </c>
      <c r="AK556" s="243">
        <f t="shared" si="670"/>
        <v>0</v>
      </c>
      <c r="AL556" s="243">
        <f t="shared" si="671"/>
        <v>0</v>
      </c>
      <c r="AN556" s="243">
        <v>21</v>
      </c>
      <c r="AO556" s="243">
        <f>H556*0.674383346425766</f>
        <v>0</v>
      </c>
      <c r="AP556" s="243">
        <f>H556*(1-0.674383346425766)</f>
        <v>0</v>
      </c>
      <c r="AQ556" s="245" t="s">
        <v>567</v>
      </c>
      <c r="AV556" s="243">
        <f t="shared" si="672"/>
        <v>0</v>
      </c>
      <c r="AW556" s="243">
        <f t="shared" si="673"/>
        <v>0</v>
      </c>
      <c r="AX556" s="243">
        <f t="shared" si="674"/>
        <v>0</v>
      </c>
      <c r="AY556" s="245" t="s">
        <v>580</v>
      </c>
      <c r="AZ556" s="245" t="s">
        <v>1091</v>
      </c>
      <c r="BA556" s="232" t="s">
        <v>1062</v>
      </c>
      <c r="BC556" s="243">
        <f t="shared" si="675"/>
        <v>0</v>
      </c>
      <c r="BD556" s="243">
        <f t="shared" si="676"/>
        <v>0</v>
      </c>
      <c r="BE556" s="243">
        <v>0</v>
      </c>
      <c r="BF556" s="243">
        <f>556</f>
        <v>556</v>
      </c>
      <c r="BH556" s="243">
        <f t="shared" si="677"/>
        <v>0</v>
      </c>
      <c r="BI556" s="243">
        <f t="shared" si="678"/>
        <v>0</v>
      </c>
      <c r="BJ556" s="243">
        <f t="shared" si="679"/>
        <v>0</v>
      </c>
      <c r="BK556" s="243"/>
      <c r="BL556" s="243">
        <v>732</v>
      </c>
      <c r="BW556" s="243">
        <v>21</v>
      </c>
    </row>
    <row r="557" spans="1:75" ht="13.5" customHeight="1">
      <c r="A557" s="207" t="s">
        <v>1088</v>
      </c>
      <c r="B557" s="208" t="s">
        <v>1059</v>
      </c>
      <c r="C557" s="208" t="s">
        <v>387</v>
      </c>
      <c r="D557" s="268" t="s">
        <v>388</v>
      </c>
      <c r="E557" s="260"/>
      <c r="F557" s="208" t="s">
        <v>68</v>
      </c>
      <c r="G557" s="243">
        <v>2</v>
      </c>
      <c r="H557" s="244">
        <v>0</v>
      </c>
      <c r="I557" s="244">
        <f t="shared" si="660"/>
        <v>0</v>
      </c>
      <c r="K557" s="231"/>
      <c r="Z557" s="243">
        <f t="shared" si="661"/>
        <v>0</v>
      </c>
      <c r="AB557" s="243">
        <f t="shared" si="662"/>
        <v>0</v>
      </c>
      <c r="AC557" s="243">
        <f t="shared" si="663"/>
        <v>0</v>
      </c>
      <c r="AD557" s="243">
        <f t="shared" si="664"/>
        <v>0</v>
      </c>
      <c r="AE557" s="243">
        <f t="shared" si="665"/>
        <v>0</v>
      </c>
      <c r="AF557" s="243">
        <f t="shared" si="666"/>
        <v>0</v>
      </c>
      <c r="AG557" s="243">
        <f t="shared" si="667"/>
        <v>0</v>
      </c>
      <c r="AH557" s="243">
        <f t="shared" si="668"/>
        <v>0</v>
      </c>
      <c r="AI557" s="232" t="s">
        <v>1059</v>
      </c>
      <c r="AJ557" s="243">
        <f t="shared" si="669"/>
        <v>0</v>
      </c>
      <c r="AK557" s="243">
        <f t="shared" si="670"/>
        <v>0</v>
      </c>
      <c r="AL557" s="243">
        <f t="shared" si="671"/>
        <v>0</v>
      </c>
      <c r="AN557" s="243">
        <v>21</v>
      </c>
      <c r="AO557" s="243">
        <f>H557*0.532435331230284</f>
        <v>0</v>
      </c>
      <c r="AP557" s="243">
        <f>H557*(1-0.532435331230284)</f>
        <v>0</v>
      </c>
      <c r="AQ557" s="245" t="s">
        <v>567</v>
      </c>
      <c r="AV557" s="243">
        <f t="shared" si="672"/>
        <v>0</v>
      </c>
      <c r="AW557" s="243">
        <f t="shared" si="673"/>
        <v>0</v>
      </c>
      <c r="AX557" s="243">
        <f t="shared" si="674"/>
        <v>0</v>
      </c>
      <c r="AY557" s="245" t="s">
        <v>580</v>
      </c>
      <c r="AZ557" s="245" t="s">
        <v>1091</v>
      </c>
      <c r="BA557" s="232" t="s">
        <v>1062</v>
      </c>
      <c r="BC557" s="243">
        <f t="shared" si="675"/>
        <v>0</v>
      </c>
      <c r="BD557" s="243">
        <f t="shared" si="676"/>
        <v>0</v>
      </c>
      <c r="BE557" s="243">
        <v>0</v>
      </c>
      <c r="BF557" s="243">
        <f>557</f>
        <v>557</v>
      </c>
      <c r="BH557" s="243">
        <f t="shared" si="677"/>
        <v>0</v>
      </c>
      <c r="BI557" s="243">
        <f t="shared" si="678"/>
        <v>0</v>
      </c>
      <c r="BJ557" s="243">
        <f t="shared" si="679"/>
        <v>0</v>
      </c>
      <c r="BK557" s="243"/>
      <c r="BL557" s="243">
        <v>732</v>
      </c>
      <c r="BW557" s="243">
        <v>21</v>
      </c>
    </row>
    <row r="558" spans="1:75" ht="13.5" customHeight="1">
      <c r="A558" s="207" t="s">
        <v>1089</v>
      </c>
      <c r="B558" s="208" t="s">
        <v>1059</v>
      </c>
      <c r="C558" s="208" t="s">
        <v>179</v>
      </c>
      <c r="D558" s="268" t="s">
        <v>1330</v>
      </c>
      <c r="E558" s="260"/>
      <c r="F558" s="208" t="s">
        <v>21</v>
      </c>
      <c r="G558" s="243">
        <v>1</v>
      </c>
      <c r="H558" s="244">
        <v>0</v>
      </c>
      <c r="I558" s="244">
        <f t="shared" si="660"/>
        <v>0</v>
      </c>
      <c r="K558" s="231"/>
      <c r="Z558" s="243">
        <f t="shared" si="661"/>
        <v>0</v>
      </c>
      <c r="AB558" s="243">
        <f t="shared" si="662"/>
        <v>0</v>
      </c>
      <c r="AC558" s="243">
        <f t="shared" si="663"/>
        <v>0</v>
      </c>
      <c r="AD558" s="243">
        <f t="shared" si="664"/>
        <v>0</v>
      </c>
      <c r="AE558" s="243">
        <f t="shared" si="665"/>
        <v>0</v>
      </c>
      <c r="AF558" s="243">
        <f t="shared" si="666"/>
        <v>0</v>
      </c>
      <c r="AG558" s="243">
        <f t="shared" si="667"/>
        <v>0</v>
      </c>
      <c r="AH558" s="243">
        <f t="shared" si="668"/>
        <v>0</v>
      </c>
      <c r="AI558" s="232" t="s">
        <v>1059</v>
      </c>
      <c r="AJ558" s="243">
        <f t="shared" si="669"/>
        <v>0</v>
      </c>
      <c r="AK558" s="243">
        <f t="shared" si="670"/>
        <v>0</v>
      </c>
      <c r="AL558" s="243">
        <f t="shared" si="671"/>
        <v>0</v>
      </c>
      <c r="AN558" s="243">
        <v>21</v>
      </c>
      <c r="AO558" s="243">
        <f>H558*0.974240082431736</f>
        <v>0</v>
      </c>
      <c r="AP558" s="243">
        <f>H558*(1-0.974240082431736)</f>
        <v>0</v>
      </c>
      <c r="AQ558" s="245" t="s">
        <v>567</v>
      </c>
      <c r="AV558" s="243">
        <f t="shared" si="672"/>
        <v>0</v>
      </c>
      <c r="AW558" s="243">
        <f t="shared" si="673"/>
        <v>0</v>
      </c>
      <c r="AX558" s="243">
        <f t="shared" si="674"/>
        <v>0</v>
      </c>
      <c r="AY558" s="245" t="s">
        <v>580</v>
      </c>
      <c r="AZ558" s="245" t="s">
        <v>1091</v>
      </c>
      <c r="BA558" s="232" t="s">
        <v>1062</v>
      </c>
      <c r="BC558" s="243">
        <f t="shared" si="675"/>
        <v>0</v>
      </c>
      <c r="BD558" s="243">
        <f t="shared" si="676"/>
        <v>0</v>
      </c>
      <c r="BE558" s="243">
        <v>0</v>
      </c>
      <c r="BF558" s="243">
        <f>558</f>
        <v>558</v>
      </c>
      <c r="BH558" s="243">
        <f t="shared" si="677"/>
        <v>0</v>
      </c>
      <c r="BI558" s="243">
        <f t="shared" si="678"/>
        <v>0</v>
      </c>
      <c r="BJ558" s="243">
        <f t="shared" si="679"/>
        <v>0</v>
      </c>
      <c r="BK558" s="243"/>
      <c r="BL558" s="243">
        <v>732</v>
      </c>
      <c r="BW558" s="243">
        <v>21</v>
      </c>
    </row>
    <row r="559" spans="1:75" ht="13.5" customHeight="1">
      <c r="A559" s="207" t="s">
        <v>1090</v>
      </c>
      <c r="B559" s="208" t="s">
        <v>1059</v>
      </c>
      <c r="C559" s="208" t="s">
        <v>392</v>
      </c>
      <c r="D559" s="268" t="s">
        <v>1386</v>
      </c>
      <c r="E559" s="260"/>
      <c r="F559" s="208" t="s">
        <v>68</v>
      </c>
      <c r="G559" s="243">
        <v>1</v>
      </c>
      <c r="H559" s="244">
        <v>0</v>
      </c>
      <c r="I559" s="244">
        <f t="shared" si="660"/>
        <v>0</v>
      </c>
      <c r="K559" s="231"/>
      <c r="Z559" s="243">
        <f t="shared" si="661"/>
        <v>0</v>
      </c>
      <c r="AB559" s="243">
        <f t="shared" si="662"/>
        <v>0</v>
      </c>
      <c r="AC559" s="243">
        <f t="shared" si="663"/>
        <v>0</v>
      </c>
      <c r="AD559" s="243">
        <f t="shared" si="664"/>
        <v>0</v>
      </c>
      <c r="AE559" s="243">
        <f t="shared" si="665"/>
        <v>0</v>
      </c>
      <c r="AF559" s="243">
        <f t="shared" si="666"/>
        <v>0</v>
      </c>
      <c r="AG559" s="243">
        <f t="shared" si="667"/>
        <v>0</v>
      </c>
      <c r="AH559" s="243">
        <f t="shared" si="668"/>
        <v>0</v>
      </c>
      <c r="AI559" s="232" t="s">
        <v>1059</v>
      </c>
      <c r="AJ559" s="243">
        <f t="shared" si="669"/>
        <v>0</v>
      </c>
      <c r="AK559" s="243">
        <f t="shared" si="670"/>
        <v>0</v>
      </c>
      <c r="AL559" s="243">
        <f t="shared" si="671"/>
        <v>0</v>
      </c>
      <c r="AN559" s="243">
        <v>21</v>
      </c>
      <c r="AO559" s="243">
        <f>H559*1</f>
        <v>0</v>
      </c>
      <c r="AP559" s="243">
        <f>H559*(1-1)</f>
        <v>0</v>
      </c>
      <c r="AQ559" s="245" t="s">
        <v>567</v>
      </c>
      <c r="AV559" s="243">
        <f t="shared" si="672"/>
        <v>0</v>
      </c>
      <c r="AW559" s="243">
        <f t="shared" si="673"/>
        <v>0</v>
      </c>
      <c r="AX559" s="243">
        <f t="shared" si="674"/>
        <v>0</v>
      </c>
      <c r="AY559" s="245" t="s">
        <v>580</v>
      </c>
      <c r="AZ559" s="245" t="s">
        <v>1091</v>
      </c>
      <c r="BA559" s="232" t="s">
        <v>1062</v>
      </c>
      <c r="BC559" s="243">
        <f t="shared" si="675"/>
        <v>0</v>
      </c>
      <c r="BD559" s="243">
        <f t="shared" si="676"/>
        <v>0</v>
      </c>
      <c r="BE559" s="243">
        <v>0</v>
      </c>
      <c r="BF559" s="243">
        <f>559</f>
        <v>559</v>
      </c>
      <c r="BH559" s="243">
        <f t="shared" si="677"/>
        <v>0</v>
      </c>
      <c r="BI559" s="243">
        <f t="shared" si="678"/>
        <v>0</v>
      </c>
      <c r="BJ559" s="243">
        <f t="shared" si="679"/>
        <v>0</v>
      </c>
      <c r="BK559" s="243"/>
      <c r="BL559" s="243">
        <v>732</v>
      </c>
      <c r="BW559" s="243">
        <v>21</v>
      </c>
    </row>
    <row r="560" spans="1:75" ht="13.5" customHeight="1">
      <c r="A560" s="207" t="s">
        <v>1092</v>
      </c>
      <c r="B560" s="208" t="s">
        <v>1059</v>
      </c>
      <c r="C560" s="208" t="s">
        <v>390</v>
      </c>
      <c r="D560" s="268" t="s">
        <v>391</v>
      </c>
      <c r="E560" s="260"/>
      <c r="F560" s="208" t="s">
        <v>58</v>
      </c>
      <c r="G560" s="243">
        <v>1</v>
      </c>
      <c r="H560" s="244">
        <v>0</v>
      </c>
      <c r="I560" s="244">
        <f t="shared" si="660"/>
        <v>0</v>
      </c>
      <c r="K560" s="231"/>
      <c r="Z560" s="243">
        <f t="shared" si="661"/>
        <v>0</v>
      </c>
      <c r="AB560" s="243">
        <f t="shared" si="662"/>
        <v>0</v>
      </c>
      <c r="AC560" s="243">
        <f t="shared" si="663"/>
        <v>0</v>
      </c>
      <c r="AD560" s="243">
        <f t="shared" si="664"/>
        <v>0</v>
      </c>
      <c r="AE560" s="243">
        <f t="shared" si="665"/>
        <v>0</v>
      </c>
      <c r="AF560" s="243">
        <f t="shared" si="666"/>
        <v>0</v>
      </c>
      <c r="AG560" s="243">
        <f t="shared" si="667"/>
        <v>0</v>
      </c>
      <c r="AH560" s="243">
        <f t="shared" si="668"/>
        <v>0</v>
      </c>
      <c r="AI560" s="232" t="s">
        <v>1059</v>
      </c>
      <c r="AJ560" s="243">
        <f t="shared" si="669"/>
        <v>0</v>
      </c>
      <c r="AK560" s="243">
        <f t="shared" si="670"/>
        <v>0</v>
      </c>
      <c r="AL560" s="243">
        <f t="shared" si="671"/>
        <v>0</v>
      </c>
      <c r="AN560" s="243">
        <v>21</v>
      </c>
      <c r="AO560" s="243">
        <f>H560*0.642985041792658</f>
        <v>0</v>
      </c>
      <c r="AP560" s="243">
        <f>H560*(1-0.642985041792658)</f>
        <v>0</v>
      </c>
      <c r="AQ560" s="245" t="s">
        <v>567</v>
      </c>
      <c r="AV560" s="243">
        <f t="shared" si="672"/>
        <v>0</v>
      </c>
      <c r="AW560" s="243">
        <f t="shared" si="673"/>
        <v>0</v>
      </c>
      <c r="AX560" s="243">
        <f t="shared" si="674"/>
        <v>0</v>
      </c>
      <c r="AY560" s="245" t="s">
        <v>580</v>
      </c>
      <c r="AZ560" s="245" t="s">
        <v>1091</v>
      </c>
      <c r="BA560" s="232" t="s">
        <v>1062</v>
      </c>
      <c r="BC560" s="243">
        <f t="shared" si="675"/>
        <v>0</v>
      </c>
      <c r="BD560" s="243">
        <f t="shared" si="676"/>
        <v>0</v>
      </c>
      <c r="BE560" s="243">
        <v>0</v>
      </c>
      <c r="BF560" s="243">
        <f>560</f>
        <v>560</v>
      </c>
      <c r="BH560" s="243">
        <f t="shared" si="677"/>
        <v>0</v>
      </c>
      <c r="BI560" s="243">
        <f t="shared" si="678"/>
        <v>0</v>
      </c>
      <c r="BJ560" s="243">
        <f t="shared" si="679"/>
        <v>0</v>
      </c>
      <c r="BK560" s="243"/>
      <c r="BL560" s="243">
        <v>732</v>
      </c>
      <c r="BW560" s="243">
        <v>21</v>
      </c>
    </row>
    <row r="561" spans="1:75" ht="15" customHeight="1">
      <c r="A561" s="238" t="s">
        <v>21</v>
      </c>
      <c r="B561" s="239" t="s">
        <v>1059</v>
      </c>
      <c r="C561" s="239" t="s">
        <v>85</v>
      </c>
      <c r="D561" s="309" t="s">
        <v>86</v>
      </c>
      <c r="E561" s="310"/>
      <c r="F561" s="240" t="s">
        <v>20</v>
      </c>
      <c r="G561" s="240" t="s">
        <v>20</v>
      </c>
      <c r="H561" s="241" t="s">
        <v>20</v>
      </c>
      <c r="I561" s="242">
        <f>SUM(I562:I572)</f>
        <v>0</v>
      </c>
      <c r="K561" s="231"/>
      <c r="AI561" s="232" t="s">
        <v>1059</v>
      </c>
      <c r="AS561" s="225">
        <f>SUM(AJ562:AJ572)</f>
        <v>0</v>
      </c>
      <c r="AT561" s="225">
        <f>SUM(AK562:AK572)</f>
        <v>0</v>
      </c>
      <c r="AU561" s="225">
        <f>SUM(AL562:AL572)</f>
        <v>0</v>
      </c>
    </row>
    <row r="562" spans="1:75" ht="13.5" customHeight="1">
      <c r="A562" s="207" t="s">
        <v>1093</v>
      </c>
      <c r="B562" s="208" t="s">
        <v>1059</v>
      </c>
      <c r="C562" s="208" t="s">
        <v>394</v>
      </c>
      <c r="D562" s="268" t="s">
        <v>395</v>
      </c>
      <c r="E562" s="260"/>
      <c r="F562" s="208" t="s">
        <v>68</v>
      </c>
      <c r="G562" s="243">
        <v>4</v>
      </c>
      <c r="H562" s="244">
        <v>0</v>
      </c>
      <c r="I562" s="244">
        <f t="shared" ref="I562:I572" si="680">G562*H562</f>
        <v>0</v>
      </c>
      <c r="K562" s="231"/>
      <c r="Z562" s="243">
        <f t="shared" ref="Z562:Z572" si="681">IF(AQ562="5",BJ562,0)</f>
        <v>0</v>
      </c>
      <c r="AB562" s="243">
        <f t="shared" ref="AB562:AB572" si="682">IF(AQ562="1",BH562,0)</f>
        <v>0</v>
      </c>
      <c r="AC562" s="243">
        <f t="shared" ref="AC562:AC572" si="683">IF(AQ562="1",BI562,0)</f>
        <v>0</v>
      </c>
      <c r="AD562" s="243">
        <f t="shared" ref="AD562:AD572" si="684">IF(AQ562="7",BH562,0)</f>
        <v>0</v>
      </c>
      <c r="AE562" s="243">
        <f t="shared" ref="AE562:AE572" si="685">IF(AQ562="7",BI562,0)</f>
        <v>0</v>
      </c>
      <c r="AF562" s="243">
        <f t="shared" ref="AF562:AF572" si="686">IF(AQ562="2",BH562,0)</f>
        <v>0</v>
      </c>
      <c r="AG562" s="243">
        <f t="shared" ref="AG562:AG572" si="687">IF(AQ562="2",BI562,0)</f>
        <v>0</v>
      </c>
      <c r="AH562" s="243">
        <f t="shared" ref="AH562:AH572" si="688">IF(AQ562="0",BJ562,0)</f>
        <v>0</v>
      </c>
      <c r="AI562" s="232" t="s">
        <v>1059</v>
      </c>
      <c r="AJ562" s="243">
        <f t="shared" ref="AJ562:AJ572" si="689">IF(AN562=0,I562,0)</f>
        <v>0</v>
      </c>
      <c r="AK562" s="243">
        <f t="shared" ref="AK562:AK572" si="690">IF(AN562=12,I562,0)</f>
        <v>0</v>
      </c>
      <c r="AL562" s="243">
        <f t="shared" ref="AL562:AL572" si="691">IF(AN562=21,I562,0)</f>
        <v>0</v>
      </c>
      <c r="AN562" s="243">
        <v>21</v>
      </c>
      <c r="AO562" s="243">
        <f>H562*0.620309050772627</f>
        <v>0</v>
      </c>
      <c r="AP562" s="243">
        <f>H562*(1-0.620309050772627)</f>
        <v>0</v>
      </c>
      <c r="AQ562" s="245" t="s">
        <v>567</v>
      </c>
      <c r="AV562" s="243">
        <f t="shared" ref="AV562:AV572" si="692">AW562+AX562</f>
        <v>0</v>
      </c>
      <c r="AW562" s="243">
        <f t="shared" ref="AW562:AW572" si="693">G562*AO562</f>
        <v>0</v>
      </c>
      <c r="AX562" s="243">
        <f t="shared" ref="AX562:AX572" si="694">G562*AP562</f>
        <v>0</v>
      </c>
      <c r="AY562" s="245" t="s">
        <v>588</v>
      </c>
      <c r="AZ562" s="245" t="s">
        <v>1091</v>
      </c>
      <c r="BA562" s="232" t="s">
        <v>1062</v>
      </c>
      <c r="BC562" s="243">
        <f t="shared" ref="BC562:BC572" si="695">AW562+AX562</f>
        <v>0</v>
      </c>
      <c r="BD562" s="243">
        <f t="shared" ref="BD562:BD572" si="696">H562/(100-BE562)*100</f>
        <v>0</v>
      </c>
      <c r="BE562" s="243">
        <v>0</v>
      </c>
      <c r="BF562" s="243">
        <f>562</f>
        <v>562</v>
      </c>
      <c r="BH562" s="243">
        <f t="shared" ref="BH562:BH572" si="697">G562*AO562</f>
        <v>0</v>
      </c>
      <c r="BI562" s="243">
        <f t="shared" ref="BI562:BI572" si="698">G562*AP562</f>
        <v>0</v>
      </c>
      <c r="BJ562" s="243">
        <f t="shared" ref="BJ562:BJ572" si="699">G562*H562</f>
        <v>0</v>
      </c>
      <c r="BK562" s="243"/>
      <c r="BL562" s="243">
        <v>733</v>
      </c>
      <c r="BW562" s="243">
        <v>21</v>
      </c>
    </row>
    <row r="563" spans="1:75" ht="13.5" customHeight="1">
      <c r="A563" s="207" t="s">
        <v>1094</v>
      </c>
      <c r="B563" s="208" t="s">
        <v>1059</v>
      </c>
      <c r="C563" s="208" t="s">
        <v>396</v>
      </c>
      <c r="D563" s="268" t="s">
        <v>397</v>
      </c>
      <c r="E563" s="260"/>
      <c r="F563" s="208" t="s">
        <v>68</v>
      </c>
      <c r="G563" s="243">
        <v>4</v>
      </c>
      <c r="H563" s="244">
        <v>0</v>
      </c>
      <c r="I563" s="244">
        <f t="shared" si="680"/>
        <v>0</v>
      </c>
      <c r="K563" s="231"/>
      <c r="Z563" s="243">
        <f t="shared" si="681"/>
        <v>0</v>
      </c>
      <c r="AB563" s="243">
        <f t="shared" si="682"/>
        <v>0</v>
      </c>
      <c r="AC563" s="243">
        <f t="shared" si="683"/>
        <v>0</v>
      </c>
      <c r="AD563" s="243">
        <f t="shared" si="684"/>
        <v>0</v>
      </c>
      <c r="AE563" s="243">
        <f t="shared" si="685"/>
        <v>0</v>
      </c>
      <c r="AF563" s="243">
        <f t="shared" si="686"/>
        <v>0</v>
      </c>
      <c r="AG563" s="243">
        <f t="shared" si="687"/>
        <v>0</v>
      </c>
      <c r="AH563" s="243">
        <f t="shared" si="688"/>
        <v>0</v>
      </c>
      <c r="AI563" s="232" t="s">
        <v>1059</v>
      </c>
      <c r="AJ563" s="243">
        <f t="shared" si="689"/>
        <v>0</v>
      </c>
      <c r="AK563" s="243">
        <f t="shared" si="690"/>
        <v>0</v>
      </c>
      <c r="AL563" s="243">
        <f t="shared" si="691"/>
        <v>0</v>
      </c>
      <c r="AN563" s="243">
        <v>21</v>
      </c>
      <c r="AO563" s="243">
        <f>H563*0.259191290824261</f>
        <v>0</v>
      </c>
      <c r="AP563" s="243">
        <f>H563*(1-0.259191290824261)</f>
        <v>0</v>
      </c>
      <c r="AQ563" s="245" t="s">
        <v>567</v>
      </c>
      <c r="AV563" s="243">
        <f t="shared" si="692"/>
        <v>0</v>
      </c>
      <c r="AW563" s="243">
        <f t="shared" si="693"/>
        <v>0</v>
      </c>
      <c r="AX563" s="243">
        <f t="shared" si="694"/>
        <v>0</v>
      </c>
      <c r="AY563" s="245" t="s">
        <v>588</v>
      </c>
      <c r="AZ563" s="245" t="s">
        <v>1091</v>
      </c>
      <c r="BA563" s="232" t="s">
        <v>1062</v>
      </c>
      <c r="BC563" s="243">
        <f t="shared" si="695"/>
        <v>0</v>
      </c>
      <c r="BD563" s="243">
        <f t="shared" si="696"/>
        <v>0</v>
      </c>
      <c r="BE563" s="243">
        <v>0</v>
      </c>
      <c r="BF563" s="243">
        <f>563</f>
        <v>563</v>
      </c>
      <c r="BH563" s="243">
        <f t="shared" si="697"/>
        <v>0</v>
      </c>
      <c r="BI563" s="243">
        <f t="shared" si="698"/>
        <v>0</v>
      </c>
      <c r="BJ563" s="243">
        <f t="shared" si="699"/>
        <v>0</v>
      </c>
      <c r="BK563" s="243"/>
      <c r="BL563" s="243">
        <v>733</v>
      </c>
      <c r="BW563" s="243">
        <v>21</v>
      </c>
    </row>
    <row r="564" spans="1:75" ht="13.5" customHeight="1">
      <c r="A564" s="207" t="s">
        <v>1095</v>
      </c>
      <c r="B564" s="208" t="s">
        <v>1059</v>
      </c>
      <c r="C564" s="208" t="s">
        <v>398</v>
      </c>
      <c r="D564" s="268" t="s">
        <v>399</v>
      </c>
      <c r="E564" s="260"/>
      <c r="F564" s="208" t="s">
        <v>68</v>
      </c>
      <c r="G564" s="243">
        <v>2</v>
      </c>
      <c r="H564" s="244">
        <v>0</v>
      </c>
      <c r="I564" s="244">
        <f t="shared" si="680"/>
        <v>0</v>
      </c>
      <c r="K564" s="231"/>
      <c r="Z564" s="243">
        <f t="shared" si="681"/>
        <v>0</v>
      </c>
      <c r="AB564" s="243">
        <f t="shared" si="682"/>
        <v>0</v>
      </c>
      <c r="AC564" s="243">
        <f t="shared" si="683"/>
        <v>0</v>
      </c>
      <c r="AD564" s="243">
        <f t="shared" si="684"/>
        <v>0</v>
      </c>
      <c r="AE564" s="243">
        <f t="shared" si="685"/>
        <v>0</v>
      </c>
      <c r="AF564" s="243">
        <f t="shared" si="686"/>
        <v>0</v>
      </c>
      <c r="AG564" s="243">
        <f t="shared" si="687"/>
        <v>0</v>
      </c>
      <c r="AH564" s="243">
        <f t="shared" si="688"/>
        <v>0</v>
      </c>
      <c r="AI564" s="232" t="s">
        <v>1059</v>
      </c>
      <c r="AJ564" s="243">
        <f t="shared" si="689"/>
        <v>0</v>
      </c>
      <c r="AK564" s="243">
        <f t="shared" si="690"/>
        <v>0</v>
      </c>
      <c r="AL564" s="243">
        <f t="shared" si="691"/>
        <v>0</v>
      </c>
      <c r="AN564" s="243">
        <v>21</v>
      </c>
      <c r="AO564" s="243">
        <f>H564*0.345851428571429</f>
        <v>0</v>
      </c>
      <c r="AP564" s="243">
        <f>H564*(1-0.345851428571429)</f>
        <v>0</v>
      </c>
      <c r="AQ564" s="245" t="s">
        <v>567</v>
      </c>
      <c r="AV564" s="243">
        <f t="shared" si="692"/>
        <v>0</v>
      </c>
      <c r="AW564" s="243">
        <f t="shared" si="693"/>
        <v>0</v>
      </c>
      <c r="AX564" s="243">
        <f t="shared" si="694"/>
        <v>0</v>
      </c>
      <c r="AY564" s="245" t="s">
        <v>588</v>
      </c>
      <c r="AZ564" s="245" t="s">
        <v>1091</v>
      </c>
      <c r="BA564" s="232" t="s">
        <v>1062</v>
      </c>
      <c r="BC564" s="243">
        <f t="shared" si="695"/>
        <v>0</v>
      </c>
      <c r="BD564" s="243">
        <f t="shared" si="696"/>
        <v>0</v>
      </c>
      <c r="BE564" s="243">
        <v>0</v>
      </c>
      <c r="BF564" s="243">
        <f>564</f>
        <v>564</v>
      </c>
      <c r="BH564" s="243">
        <f t="shared" si="697"/>
        <v>0</v>
      </c>
      <c r="BI564" s="243">
        <f t="shared" si="698"/>
        <v>0</v>
      </c>
      <c r="BJ564" s="243">
        <f t="shared" si="699"/>
        <v>0</v>
      </c>
      <c r="BK564" s="243"/>
      <c r="BL564" s="243">
        <v>733</v>
      </c>
      <c r="BW564" s="243">
        <v>21</v>
      </c>
    </row>
    <row r="565" spans="1:75" ht="13.5" customHeight="1">
      <c r="A565" s="207" t="s">
        <v>1096</v>
      </c>
      <c r="B565" s="208" t="s">
        <v>1059</v>
      </c>
      <c r="C565" s="208" t="s">
        <v>400</v>
      </c>
      <c r="D565" s="268" t="s">
        <v>401</v>
      </c>
      <c r="E565" s="260"/>
      <c r="F565" s="208" t="s">
        <v>63</v>
      </c>
      <c r="G565" s="243">
        <v>12</v>
      </c>
      <c r="H565" s="244">
        <v>0</v>
      </c>
      <c r="I565" s="244">
        <f t="shared" si="680"/>
        <v>0</v>
      </c>
      <c r="K565" s="231"/>
      <c r="Z565" s="243">
        <f t="shared" si="681"/>
        <v>0</v>
      </c>
      <c r="AB565" s="243">
        <f t="shared" si="682"/>
        <v>0</v>
      </c>
      <c r="AC565" s="243">
        <f t="shared" si="683"/>
        <v>0</v>
      </c>
      <c r="AD565" s="243">
        <f t="shared" si="684"/>
        <v>0</v>
      </c>
      <c r="AE565" s="243">
        <f t="shared" si="685"/>
        <v>0</v>
      </c>
      <c r="AF565" s="243">
        <f t="shared" si="686"/>
        <v>0</v>
      </c>
      <c r="AG565" s="243">
        <f t="shared" si="687"/>
        <v>0</v>
      </c>
      <c r="AH565" s="243">
        <f t="shared" si="688"/>
        <v>0</v>
      </c>
      <c r="AI565" s="232" t="s">
        <v>1059</v>
      </c>
      <c r="AJ565" s="243">
        <f t="shared" si="689"/>
        <v>0</v>
      </c>
      <c r="AK565" s="243">
        <f t="shared" si="690"/>
        <v>0</v>
      </c>
      <c r="AL565" s="243">
        <f t="shared" si="691"/>
        <v>0</v>
      </c>
      <c r="AN565" s="243">
        <v>21</v>
      </c>
      <c r="AO565" s="243">
        <f>H565*0.212764227642276</f>
        <v>0</v>
      </c>
      <c r="AP565" s="243">
        <f>H565*(1-0.212764227642276)</f>
        <v>0</v>
      </c>
      <c r="AQ565" s="245" t="s">
        <v>567</v>
      </c>
      <c r="AV565" s="243">
        <f t="shared" si="692"/>
        <v>0</v>
      </c>
      <c r="AW565" s="243">
        <f t="shared" si="693"/>
        <v>0</v>
      </c>
      <c r="AX565" s="243">
        <f t="shared" si="694"/>
        <v>0</v>
      </c>
      <c r="AY565" s="245" t="s">
        <v>588</v>
      </c>
      <c r="AZ565" s="245" t="s">
        <v>1091</v>
      </c>
      <c r="BA565" s="232" t="s">
        <v>1062</v>
      </c>
      <c r="BC565" s="243">
        <f t="shared" si="695"/>
        <v>0</v>
      </c>
      <c r="BD565" s="243">
        <f t="shared" si="696"/>
        <v>0</v>
      </c>
      <c r="BE565" s="243">
        <v>0</v>
      </c>
      <c r="BF565" s="243">
        <f>565</f>
        <v>565</v>
      </c>
      <c r="BH565" s="243">
        <f t="shared" si="697"/>
        <v>0</v>
      </c>
      <c r="BI565" s="243">
        <f t="shared" si="698"/>
        <v>0</v>
      </c>
      <c r="BJ565" s="243">
        <f t="shared" si="699"/>
        <v>0</v>
      </c>
      <c r="BK565" s="243"/>
      <c r="BL565" s="243">
        <v>733</v>
      </c>
      <c r="BW565" s="243">
        <v>21</v>
      </c>
    </row>
    <row r="566" spans="1:75" ht="13.5" customHeight="1">
      <c r="A566" s="207" t="s">
        <v>1097</v>
      </c>
      <c r="B566" s="208" t="s">
        <v>1059</v>
      </c>
      <c r="C566" s="208" t="s">
        <v>402</v>
      </c>
      <c r="D566" s="268" t="s">
        <v>403</v>
      </c>
      <c r="E566" s="260"/>
      <c r="F566" s="208" t="s">
        <v>63</v>
      </c>
      <c r="G566" s="243">
        <v>6</v>
      </c>
      <c r="H566" s="244">
        <v>0</v>
      </c>
      <c r="I566" s="244">
        <f t="shared" si="680"/>
        <v>0</v>
      </c>
      <c r="K566" s="231"/>
      <c r="Z566" s="243">
        <f t="shared" si="681"/>
        <v>0</v>
      </c>
      <c r="AB566" s="243">
        <f t="shared" si="682"/>
        <v>0</v>
      </c>
      <c r="AC566" s="243">
        <f t="shared" si="683"/>
        <v>0</v>
      </c>
      <c r="AD566" s="243">
        <f t="shared" si="684"/>
        <v>0</v>
      </c>
      <c r="AE566" s="243">
        <f t="shared" si="685"/>
        <v>0</v>
      </c>
      <c r="AF566" s="243">
        <f t="shared" si="686"/>
        <v>0</v>
      </c>
      <c r="AG566" s="243">
        <f t="shared" si="687"/>
        <v>0</v>
      </c>
      <c r="AH566" s="243">
        <f t="shared" si="688"/>
        <v>0</v>
      </c>
      <c r="AI566" s="232" t="s">
        <v>1059</v>
      </c>
      <c r="AJ566" s="243">
        <f t="shared" si="689"/>
        <v>0</v>
      </c>
      <c r="AK566" s="243">
        <f t="shared" si="690"/>
        <v>0</v>
      </c>
      <c r="AL566" s="243">
        <f t="shared" si="691"/>
        <v>0</v>
      </c>
      <c r="AN566" s="243">
        <v>21</v>
      </c>
      <c r="AO566" s="243">
        <f>H566*0.58344860710855</f>
        <v>0</v>
      </c>
      <c r="AP566" s="243">
        <f>H566*(1-0.58344860710855)</f>
        <v>0</v>
      </c>
      <c r="AQ566" s="245" t="s">
        <v>567</v>
      </c>
      <c r="AV566" s="243">
        <f t="shared" si="692"/>
        <v>0</v>
      </c>
      <c r="AW566" s="243">
        <f t="shared" si="693"/>
        <v>0</v>
      </c>
      <c r="AX566" s="243">
        <f t="shared" si="694"/>
        <v>0</v>
      </c>
      <c r="AY566" s="245" t="s">
        <v>588</v>
      </c>
      <c r="AZ566" s="245" t="s">
        <v>1091</v>
      </c>
      <c r="BA566" s="232" t="s">
        <v>1062</v>
      </c>
      <c r="BC566" s="243">
        <f t="shared" si="695"/>
        <v>0</v>
      </c>
      <c r="BD566" s="243">
        <f t="shared" si="696"/>
        <v>0</v>
      </c>
      <c r="BE566" s="243">
        <v>0</v>
      </c>
      <c r="BF566" s="243">
        <f>566</f>
        <v>566</v>
      </c>
      <c r="BH566" s="243">
        <f t="shared" si="697"/>
        <v>0</v>
      </c>
      <c r="BI566" s="243">
        <f t="shared" si="698"/>
        <v>0</v>
      </c>
      <c r="BJ566" s="243">
        <f t="shared" si="699"/>
        <v>0</v>
      </c>
      <c r="BK566" s="243"/>
      <c r="BL566" s="243">
        <v>733</v>
      </c>
      <c r="BW566" s="243">
        <v>21</v>
      </c>
    </row>
    <row r="567" spans="1:75" ht="13.5" customHeight="1">
      <c r="A567" s="207" t="s">
        <v>1098</v>
      </c>
      <c r="B567" s="208" t="s">
        <v>1059</v>
      </c>
      <c r="C567" s="208" t="s">
        <v>404</v>
      </c>
      <c r="D567" s="268" t="s">
        <v>405</v>
      </c>
      <c r="E567" s="260"/>
      <c r="F567" s="208" t="s">
        <v>63</v>
      </c>
      <c r="G567" s="243">
        <v>8</v>
      </c>
      <c r="H567" s="244">
        <v>0</v>
      </c>
      <c r="I567" s="244">
        <f t="shared" si="680"/>
        <v>0</v>
      </c>
      <c r="K567" s="231"/>
      <c r="Z567" s="243">
        <f t="shared" si="681"/>
        <v>0</v>
      </c>
      <c r="AB567" s="243">
        <f t="shared" si="682"/>
        <v>0</v>
      </c>
      <c r="AC567" s="243">
        <f t="shared" si="683"/>
        <v>0</v>
      </c>
      <c r="AD567" s="243">
        <f t="shared" si="684"/>
        <v>0</v>
      </c>
      <c r="AE567" s="243">
        <f t="shared" si="685"/>
        <v>0</v>
      </c>
      <c r="AF567" s="243">
        <f t="shared" si="686"/>
        <v>0</v>
      </c>
      <c r="AG567" s="243">
        <f t="shared" si="687"/>
        <v>0</v>
      </c>
      <c r="AH567" s="243">
        <f t="shared" si="688"/>
        <v>0</v>
      </c>
      <c r="AI567" s="232" t="s">
        <v>1059</v>
      </c>
      <c r="AJ567" s="243">
        <f t="shared" si="689"/>
        <v>0</v>
      </c>
      <c r="AK567" s="243">
        <f t="shared" si="690"/>
        <v>0</v>
      </c>
      <c r="AL567" s="243">
        <f t="shared" si="691"/>
        <v>0</v>
      </c>
      <c r="AN567" s="243">
        <v>21</v>
      </c>
      <c r="AO567" s="243">
        <f>H567*0.144233333333333</f>
        <v>0</v>
      </c>
      <c r="AP567" s="243">
        <f>H567*(1-0.144233333333333)</f>
        <v>0</v>
      </c>
      <c r="AQ567" s="245" t="s">
        <v>567</v>
      </c>
      <c r="AV567" s="243">
        <f t="shared" si="692"/>
        <v>0</v>
      </c>
      <c r="AW567" s="243">
        <f t="shared" si="693"/>
        <v>0</v>
      </c>
      <c r="AX567" s="243">
        <f t="shared" si="694"/>
        <v>0</v>
      </c>
      <c r="AY567" s="245" t="s">
        <v>588</v>
      </c>
      <c r="AZ567" s="245" t="s">
        <v>1091</v>
      </c>
      <c r="BA567" s="232" t="s">
        <v>1062</v>
      </c>
      <c r="BC567" s="243">
        <f t="shared" si="695"/>
        <v>0</v>
      </c>
      <c r="BD567" s="243">
        <f t="shared" si="696"/>
        <v>0</v>
      </c>
      <c r="BE567" s="243">
        <v>0</v>
      </c>
      <c r="BF567" s="243">
        <f>567</f>
        <v>567</v>
      </c>
      <c r="BH567" s="243">
        <f t="shared" si="697"/>
        <v>0</v>
      </c>
      <c r="BI567" s="243">
        <f t="shared" si="698"/>
        <v>0</v>
      </c>
      <c r="BJ567" s="243">
        <f t="shared" si="699"/>
        <v>0</v>
      </c>
      <c r="BK567" s="243"/>
      <c r="BL567" s="243">
        <v>733</v>
      </c>
      <c r="BW567" s="243">
        <v>21</v>
      </c>
    </row>
    <row r="568" spans="1:75" ht="13.5" customHeight="1">
      <c r="A568" s="207" t="s">
        <v>1099</v>
      </c>
      <c r="B568" s="208" t="s">
        <v>1059</v>
      </c>
      <c r="C568" s="208" t="s">
        <v>406</v>
      </c>
      <c r="D568" s="268" t="s">
        <v>407</v>
      </c>
      <c r="E568" s="260"/>
      <c r="F568" s="208" t="s">
        <v>63</v>
      </c>
      <c r="G568" s="243">
        <v>0.5</v>
      </c>
      <c r="H568" s="244">
        <v>0</v>
      </c>
      <c r="I568" s="244">
        <f t="shared" si="680"/>
        <v>0</v>
      </c>
      <c r="K568" s="231"/>
      <c r="Z568" s="243">
        <f t="shared" si="681"/>
        <v>0</v>
      </c>
      <c r="AB568" s="243">
        <f t="shared" si="682"/>
        <v>0</v>
      </c>
      <c r="AC568" s="243">
        <f t="shared" si="683"/>
        <v>0</v>
      </c>
      <c r="AD568" s="243">
        <f t="shared" si="684"/>
        <v>0</v>
      </c>
      <c r="AE568" s="243">
        <f t="shared" si="685"/>
        <v>0</v>
      </c>
      <c r="AF568" s="243">
        <f t="shared" si="686"/>
        <v>0</v>
      </c>
      <c r="AG568" s="243">
        <f t="shared" si="687"/>
        <v>0</v>
      </c>
      <c r="AH568" s="243">
        <f t="shared" si="688"/>
        <v>0</v>
      </c>
      <c r="AI568" s="232" t="s">
        <v>1059</v>
      </c>
      <c r="AJ568" s="243">
        <f t="shared" si="689"/>
        <v>0</v>
      </c>
      <c r="AK568" s="243">
        <f t="shared" si="690"/>
        <v>0</v>
      </c>
      <c r="AL568" s="243">
        <f t="shared" si="691"/>
        <v>0</v>
      </c>
      <c r="AN568" s="243">
        <v>21</v>
      </c>
      <c r="AO568" s="243">
        <f>H568*0.0775828460038986</f>
        <v>0</v>
      </c>
      <c r="AP568" s="243">
        <f>H568*(1-0.0775828460038986)</f>
        <v>0</v>
      </c>
      <c r="AQ568" s="245" t="s">
        <v>567</v>
      </c>
      <c r="AV568" s="243">
        <f t="shared" si="692"/>
        <v>0</v>
      </c>
      <c r="AW568" s="243">
        <f t="shared" si="693"/>
        <v>0</v>
      </c>
      <c r="AX568" s="243">
        <f t="shared" si="694"/>
        <v>0</v>
      </c>
      <c r="AY568" s="245" t="s">
        <v>588</v>
      </c>
      <c r="AZ568" s="245" t="s">
        <v>1091</v>
      </c>
      <c r="BA568" s="232" t="s">
        <v>1062</v>
      </c>
      <c r="BC568" s="243">
        <f t="shared" si="695"/>
        <v>0</v>
      </c>
      <c r="BD568" s="243">
        <f t="shared" si="696"/>
        <v>0</v>
      </c>
      <c r="BE568" s="243">
        <v>0</v>
      </c>
      <c r="BF568" s="243">
        <f>568</f>
        <v>568</v>
      </c>
      <c r="BH568" s="243">
        <f t="shared" si="697"/>
        <v>0</v>
      </c>
      <c r="BI568" s="243">
        <f t="shared" si="698"/>
        <v>0</v>
      </c>
      <c r="BJ568" s="243">
        <f t="shared" si="699"/>
        <v>0</v>
      </c>
      <c r="BK568" s="243"/>
      <c r="BL568" s="243">
        <v>733</v>
      </c>
      <c r="BW568" s="243">
        <v>21</v>
      </c>
    </row>
    <row r="569" spans="1:75" ht="13.5" customHeight="1">
      <c r="A569" s="207" t="s">
        <v>1100</v>
      </c>
      <c r="B569" s="208" t="s">
        <v>1059</v>
      </c>
      <c r="C569" s="208" t="s">
        <v>189</v>
      </c>
      <c r="D569" s="268" t="s">
        <v>190</v>
      </c>
      <c r="E569" s="260"/>
      <c r="F569" s="208" t="s">
        <v>63</v>
      </c>
      <c r="G569" s="243">
        <v>14.5</v>
      </c>
      <c r="H569" s="244">
        <v>0</v>
      </c>
      <c r="I569" s="244">
        <f t="shared" si="680"/>
        <v>0</v>
      </c>
      <c r="K569" s="231"/>
      <c r="Z569" s="243">
        <f t="shared" si="681"/>
        <v>0</v>
      </c>
      <c r="AB569" s="243">
        <f t="shared" si="682"/>
        <v>0</v>
      </c>
      <c r="AC569" s="243">
        <f t="shared" si="683"/>
        <v>0</v>
      </c>
      <c r="AD569" s="243">
        <f t="shared" si="684"/>
        <v>0</v>
      </c>
      <c r="AE569" s="243">
        <f t="shared" si="685"/>
        <v>0</v>
      </c>
      <c r="AF569" s="243">
        <f t="shared" si="686"/>
        <v>0</v>
      </c>
      <c r="AG569" s="243">
        <f t="shared" si="687"/>
        <v>0</v>
      </c>
      <c r="AH569" s="243">
        <f t="shared" si="688"/>
        <v>0</v>
      </c>
      <c r="AI569" s="232" t="s">
        <v>1059</v>
      </c>
      <c r="AJ569" s="243">
        <f t="shared" si="689"/>
        <v>0</v>
      </c>
      <c r="AK569" s="243">
        <f t="shared" si="690"/>
        <v>0</v>
      </c>
      <c r="AL569" s="243">
        <f t="shared" si="691"/>
        <v>0</v>
      </c>
      <c r="AN569" s="243">
        <v>21</v>
      </c>
      <c r="AO569" s="243">
        <f>H569*0</f>
        <v>0</v>
      </c>
      <c r="AP569" s="243">
        <f>H569*(1-0)</f>
        <v>0</v>
      </c>
      <c r="AQ569" s="245" t="s">
        <v>567</v>
      </c>
      <c r="AV569" s="243">
        <f t="shared" si="692"/>
        <v>0</v>
      </c>
      <c r="AW569" s="243">
        <f t="shared" si="693"/>
        <v>0</v>
      </c>
      <c r="AX569" s="243">
        <f t="shared" si="694"/>
        <v>0</v>
      </c>
      <c r="AY569" s="245" t="s">
        <v>588</v>
      </c>
      <c r="AZ569" s="245" t="s">
        <v>1091</v>
      </c>
      <c r="BA569" s="232" t="s">
        <v>1062</v>
      </c>
      <c r="BC569" s="243">
        <f t="shared" si="695"/>
        <v>0</v>
      </c>
      <c r="BD569" s="243">
        <f t="shared" si="696"/>
        <v>0</v>
      </c>
      <c r="BE569" s="243">
        <v>0</v>
      </c>
      <c r="BF569" s="243">
        <f>569</f>
        <v>569</v>
      </c>
      <c r="BH569" s="243">
        <f t="shared" si="697"/>
        <v>0</v>
      </c>
      <c r="BI569" s="243">
        <f t="shared" si="698"/>
        <v>0</v>
      </c>
      <c r="BJ569" s="243">
        <f t="shared" si="699"/>
        <v>0</v>
      </c>
      <c r="BK569" s="243"/>
      <c r="BL569" s="243">
        <v>733</v>
      </c>
      <c r="BW569" s="243">
        <v>21</v>
      </c>
    </row>
    <row r="570" spans="1:75" ht="13.5" customHeight="1">
      <c r="A570" s="207" t="s">
        <v>1101</v>
      </c>
      <c r="B570" s="208" t="s">
        <v>1059</v>
      </c>
      <c r="C570" s="208" t="s">
        <v>408</v>
      </c>
      <c r="D570" s="268" t="s">
        <v>1351</v>
      </c>
      <c r="E570" s="260"/>
      <c r="F570" s="208" t="s">
        <v>63</v>
      </c>
      <c r="G570" s="243">
        <v>6</v>
      </c>
      <c r="H570" s="244">
        <v>0</v>
      </c>
      <c r="I570" s="244">
        <f t="shared" si="680"/>
        <v>0</v>
      </c>
      <c r="K570" s="231"/>
      <c r="Z570" s="243">
        <f t="shared" si="681"/>
        <v>0</v>
      </c>
      <c r="AB570" s="243">
        <f t="shared" si="682"/>
        <v>0</v>
      </c>
      <c r="AC570" s="243">
        <f t="shared" si="683"/>
        <v>0</v>
      </c>
      <c r="AD570" s="243">
        <f t="shared" si="684"/>
        <v>0</v>
      </c>
      <c r="AE570" s="243">
        <f t="shared" si="685"/>
        <v>0</v>
      </c>
      <c r="AF570" s="243">
        <f t="shared" si="686"/>
        <v>0</v>
      </c>
      <c r="AG570" s="243">
        <f t="shared" si="687"/>
        <v>0</v>
      </c>
      <c r="AH570" s="243">
        <f t="shared" si="688"/>
        <v>0</v>
      </c>
      <c r="AI570" s="232" t="s">
        <v>1059</v>
      </c>
      <c r="AJ570" s="243">
        <f t="shared" si="689"/>
        <v>0</v>
      </c>
      <c r="AK570" s="243">
        <f t="shared" si="690"/>
        <v>0</v>
      </c>
      <c r="AL570" s="243">
        <f t="shared" si="691"/>
        <v>0</v>
      </c>
      <c r="AN570" s="243">
        <v>21</v>
      </c>
      <c r="AO570" s="243">
        <f>H570*1</f>
        <v>0</v>
      </c>
      <c r="AP570" s="243">
        <f>H570*(1-1)</f>
        <v>0</v>
      </c>
      <c r="AQ570" s="245" t="s">
        <v>567</v>
      </c>
      <c r="AV570" s="243">
        <f t="shared" si="692"/>
        <v>0</v>
      </c>
      <c r="AW570" s="243">
        <f t="shared" si="693"/>
        <v>0</v>
      </c>
      <c r="AX570" s="243">
        <f t="shared" si="694"/>
        <v>0</v>
      </c>
      <c r="AY570" s="245" t="s">
        <v>588</v>
      </c>
      <c r="AZ570" s="245" t="s">
        <v>1091</v>
      </c>
      <c r="BA570" s="232" t="s">
        <v>1062</v>
      </c>
      <c r="BC570" s="243">
        <f t="shared" si="695"/>
        <v>0</v>
      </c>
      <c r="BD570" s="243">
        <f t="shared" si="696"/>
        <v>0</v>
      </c>
      <c r="BE570" s="243">
        <v>0</v>
      </c>
      <c r="BF570" s="243">
        <f>570</f>
        <v>570</v>
      </c>
      <c r="BH570" s="243">
        <f t="shared" si="697"/>
        <v>0</v>
      </c>
      <c r="BI570" s="243">
        <f t="shared" si="698"/>
        <v>0</v>
      </c>
      <c r="BJ570" s="243">
        <f t="shared" si="699"/>
        <v>0</v>
      </c>
      <c r="BK570" s="243"/>
      <c r="BL570" s="243">
        <v>733</v>
      </c>
      <c r="BW570" s="243">
        <v>21</v>
      </c>
    </row>
    <row r="571" spans="1:75" ht="13.5" customHeight="1">
      <c r="A571" s="207" t="s">
        <v>1102</v>
      </c>
      <c r="B571" s="208" t="s">
        <v>1059</v>
      </c>
      <c r="C571" s="208" t="s">
        <v>410</v>
      </c>
      <c r="D571" s="268" t="s">
        <v>1352</v>
      </c>
      <c r="E571" s="260"/>
      <c r="F571" s="208" t="s">
        <v>63</v>
      </c>
      <c r="G571" s="243">
        <v>8</v>
      </c>
      <c r="H571" s="244">
        <v>0</v>
      </c>
      <c r="I571" s="244">
        <f t="shared" si="680"/>
        <v>0</v>
      </c>
      <c r="K571" s="231"/>
      <c r="Z571" s="243">
        <f t="shared" si="681"/>
        <v>0</v>
      </c>
      <c r="AB571" s="243">
        <f t="shared" si="682"/>
        <v>0</v>
      </c>
      <c r="AC571" s="243">
        <f t="shared" si="683"/>
        <v>0</v>
      </c>
      <c r="AD571" s="243">
        <f t="shared" si="684"/>
        <v>0</v>
      </c>
      <c r="AE571" s="243">
        <f t="shared" si="685"/>
        <v>0</v>
      </c>
      <c r="AF571" s="243">
        <f t="shared" si="686"/>
        <v>0</v>
      </c>
      <c r="AG571" s="243">
        <f t="shared" si="687"/>
        <v>0</v>
      </c>
      <c r="AH571" s="243">
        <f t="shared" si="688"/>
        <v>0</v>
      </c>
      <c r="AI571" s="232" t="s">
        <v>1059</v>
      </c>
      <c r="AJ571" s="243">
        <f t="shared" si="689"/>
        <v>0</v>
      </c>
      <c r="AK571" s="243">
        <f t="shared" si="690"/>
        <v>0</v>
      </c>
      <c r="AL571" s="243">
        <f t="shared" si="691"/>
        <v>0</v>
      </c>
      <c r="AN571" s="243">
        <v>21</v>
      </c>
      <c r="AO571" s="243">
        <f>H571*1</f>
        <v>0</v>
      </c>
      <c r="AP571" s="243">
        <f>H571*(1-1)</f>
        <v>0</v>
      </c>
      <c r="AQ571" s="245" t="s">
        <v>567</v>
      </c>
      <c r="AV571" s="243">
        <f t="shared" si="692"/>
        <v>0</v>
      </c>
      <c r="AW571" s="243">
        <f t="shared" si="693"/>
        <v>0</v>
      </c>
      <c r="AX571" s="243">
        <f t="shared" si="694"/>
        <v>0</v>
      </c>
      <c r="AY571" s="245" t="s">
        <v>588</v>
      </c>
      <c r="AZ571" s="245" t="s">
        <v>1091</v>
      </c>
      <c r="BA571" s="232" t="s">
        <v>1062</v>
      </c>
      <c r="BC571" s="243">
        <f t="shared" si="695"/>
        <v>0</v>
      </c>
      <c r="BD571" s="243">
        <f t="shared" si="696"/>
        <v>0</v>
      </c>
      <c r="BE571" s="243">
        <v>0</v>
      </c>
      <c r="BF571" s="243">
        <f>571</f>
        <v>571</v>
      </c>
      <c r="BH571" s="243">
        <f t="shared" si="697"/>
        <v>0</v>
      </c>
      <c r="BI571" s="243">
        <f t="shared" si="698"/>
        <v>0</v>
      </c>
      <c r="BJ571" s="243">
        <f t="shared" si="699"/>
        <v>0</v>
      </c>
      <c r="BK571" s="243"/>
      <c r="BL571" s="243">
        <v>733</v>
      </c>
      <c r="BW571" s="243">
        <v>21</v>
      </c>
    </row>
    <row r="572" spans="1:75" ht="13.5" customHeight="1">
      <c r="A572" s="207" t="s">
        <v>1103</v>
      </c>
      <c r="B572" s="208" t="s">
        <v>1059</v>
      </c>
      <c r="C572" s="208" t="s">
        <v>412</v>
      </c>
      <c r="D572" s="268" t="s">
        <v>1353</v>
      </c>
      <c r="E572" s="260"/>
      <c r="F572" s="208" t="s">
        <v>63</v>
      </c>
      <c r="G572" s="243">
        <v>0.5</v>
      </c>
      <c r="H572" s="244">
        <v>0</v>
      </c>
      <c r="I572" s="244">
        <f t="shared" si="680"/>
        <v>0</v>
      </c>
      <c r="K572" s="231"/>
      <c r="Z572" s="243">
        <f t="shared" si="681"/>
        <v>0</v>
      </c>
      <c r="AB572" s="243">
        <f t="shared" si="682"/>
        <v>0</v>
      </c>
      <c r="AC572" s="243">
        <f t="shared" si="683"/>
        <v>0</v>
      </c>
      <c r="AD572" s="243">
        <f t="shared" si="684"/>
        <v>0</v>
      </c>
      <c r="AE572" s="243">
        <f t="shared" si="685"/>
        <v>0</v>
      </c>
      <c r="AF572" s="243">
        <f t="shared" si="686"/>
        <v>0</v>
      </c>
      <c r="AG572" s="243">
        <f t="shared" si="687"/>
        <v>0</v>
      </c>
      <c r="AH572" s="243">
        <f t="shared" si="688"/>
        <v>0</v>
      </c>
      <c r="AI572" s="232" t="s">
        <v>1059</v>
      </c>
      <c r="AJ572" s="243">
        <f t="shared" si="689"/>
        <v>0</v>
      </c>
      <c r="AK572" s="243">
        <f t="shared" si="690"/>
        <v>0</v>
      </c>
      <c r="AL572" s="243">
        <f t="shared" si="691"/>
        <v>0</v>
      </c>
      <c r="AN572" s="243">
        <v>21</v>
      </c>
      <c r="AO572" s="243">
        <f>H572*1</f>
        <v>0</v>
      </c>
      <c r="AP572" s="243">
        <f>H572*(1-1)</f>
        <v>0</v>
      </c>
      <c r="AQ572" s="245" t="s">
        <v>567</v>
      </c>
      <c r="AV572" s="243">
        <f t="shared" si="692"/>
        <v>0</v>
      </c>
      <c r="AW572" s="243">
        <f t="shared" si="693"/>
        <v>0</v>
      </c>
      <c r="AX572" s="243">
        <f t="shared" si="694"/>
        <v>0</v>
      </c>
      <c r="AY572" s="245" t="s">
        <v>588</v>
      </c>
      <c r="AZ572" s="245" t="s">
        <v>1091</v>
      </c>
      <c r="BA572" s="232" t="s">
        <v>1062</v>
      </c>
      <c r="BC572" s="243">
        <f t="shared" si="695"/>
        <v>0</v>
      </c>
      <c r="BD572" s="243">
        <f t="shared" si="696"/>
        <v>0</v>
      </c>
      <c r="BE572" s="243">
        <v>0</v>
      </c>
      <c r="BF572" s="243">
        <f>572</f>
        <v>572</v>
      </c>
      <c r="BH572" s="243">
        <f t="shared" si="697"/>
        <v>0</v>
      </c>
      <c r="BI572" s="243">
        <f t="shared" si="698"/>
        <v>0</v>
      </c>
      <c r="BJ572" s="243">
        <f t="shared" si="699"/>
        <v>0</v>
      </c>
      <c r="BK572" s="243"/>
      <c r="BL572" s="243">
        <v>733</v>
      </c>
      <c r="BW572" s="243">
        <v>21</v>
      </c>
    </row>
    <row r="573" spans="1:75" ht="15" customHeight="1">
      <c r="A573" s="238" t="s">
        <v>21</v>
      </c>
      <c r="B573" s="239" t="s">
        <v>1059</v>
      </c>
      <c r="C573" s="239" t="s">
        <v>95</v>
      </c>
      <c r="D573" s="309" t="s">
        <v>96</v>
      </c>
      <c r="E573" s="310"/>
      <c r="F573" s="240" t="s">
        <v>20</v>
      </c>
      <c r="G573" s="240" t="s">
        <v>20</v>
      </c>
      <c r="H573" s="241" t="s">
        <v>20</v>
      </c>
      <c r="I573" s="242">
        <f>SUM(I574:I588)</f>
        <v>0</v>
      </c>
      <c r="K573" s="231"/>
      <c r="AI573" s="232" t="s">
        <v>1059</v>
      </c>
      <c r="AS573" s="225">
        <f>SUM(AJ574:AJ588)</f>
        <v>0</v>
      </c>
      <c r="AT573" s="225">
        <f>SUM(AK574:AK588)</f>
        <v>0</v>
      </c>
      <c r="AU573" s="225">
        <f>SUM(AL574:AL588)</f>
        <v>0</v>
      </c>
    </row>
    <row r="574" spans="1:75" ht="13.5" customHeight="1">
      <c r="A574" s="207" t="s">
        <v>1104</v>
      </c>
      <c r="B574" s="208" t="s">
        <v>1059</v>
      </c>
      <c r="C574" s="208" t="s">
        <v>99</v>
      </c>
      <c r="D574" s="268" t="s">
        <v>100</v>
      </c>
      <c r="E574" s="260"/>
      <c r="F574" s="208" t="s">
        <v>68</v>
      </c>
      <c r="G574" s="243">
        <v>6</v>
      </c>
      <c r="H574" s="244">
        <v>0</v>
      </c>
      <c r="I574" s="244">
        <f t="shared" ref="I574:I588" si="700">G574*H574</f>
        <v>0</v>
      </c>
      <c r="K574" s="231"/>
      <c r="Z574" s="243">
        <f t="shared" ref="Z574:Z588" si="701">IF(AQ574="5",BJ574,0)</f>
        <v>0</v>
      </c>
      <c r="AB574" s="243">
        <f t="shared" ref="AB574:AB588" si="702">IF(AQ574="1",BH574,0)</f>
        <v>0</v>
      </c>
      <c r="AC574" s="243">
        <f t="shared" ref="AC574:AC588" si="703">IF(AQ574="1",BI574,0)</f>
        <v>0</v>
      </c>
      <c r="AD574" s="243">
        <f t="shared" ref="AD574:AD588" si="704">IF(AQ574="7",BH574,0)</f>
        <v>0</v>
      </c>
      <c r="AE574" s="243">
        <f t="shared" ref="AE574:AE588" si="705">IF(AQ574="7",BI574,0)</f>
        <v>0</v>
      </c>
      <c r="AF574" s="243">
        <f t="shared" ref="AF574:AF588" si="706">IF(AQ574="2",BH574,0)</f>
        <v>0</v>
      </c>
      <c r="AG574" s="243">
        <f t="shared" ref="AG574:AG588" si="707">IF(AQ574="2",BI574,0)</f>
        <v>0</v>
      </c>
      <c r="AH574" s="243">
        <f t="shared" ref="AH574:AH588" si="708">IF(AQ574="0",BJ574,0)</f>
        <v>0</v>
      </c>
      <c r="AI574" s="232" t="s">
        <v>1059</v>
      </c>
      <c r="AJ574" s="243">
        <f t="shared" ref="AJ574:AJ588" si="709">IF(AN574=0,I574,0)</f>
        <v>0</v>
      </c>
      <c r="AK574" s="243">
        <f t="shared" ref="AK574:AK588" si="710">IF(AN574=12,I574,0)</f>
        <v>0</v>
      </c>
      <c r="AL574" s="243">
        <f t="shared" ref="AL574:AL588" si="711">IF(AN574=21,I574,0)</f>
        <v>0</v>
      </c>
      <c r="AN574" s="243">
        <v>21</v>
      </c>
      <c r="AO574" s="243">
        <f>H574*0.289347179920003</f>
        <v>0</v>
      </c>
      <c r="AP574" s="243">
        <f>H574*(1-0.289347179920003)</f>
        <v>0</v>
      </c>
      <c r="AQ574" s="245" t="s">
        <v>567</v>
      </c>
      <c r="AV574" s="243">
        <f t="shared" ref="AV574:AV588" si="712">AW574+AX574</f>
        <v>0</v>
      </c>
      <c r="AW574" s="243">
        <f t="shared" ref="AW574:AW588" si="713">G574*AO574</f>
        <v>0</v>
      </c>
      <c r="AX574" s="243">
        <f t="shared" ref="AX574:AX588" si="714">G574*AP574</f>
        <v>0</v>
      </c>
      <c r="AY574" s="245" t="s">
        <v>593</v>
      </c>
      <c r="AZ574" s="245" t="s">
        <v>1091</v>
      </c>
      <c r="BA574" s="232" t="s">
        <v>1062</v>
      </c>
      <c r="BC574" s="243">
        <f t="shared" ref="BC574:BC588" si="715">AW574+AX574</f>
        <v>0</v>
      </c>
      <c r="BD574" s="243">
        <f t="shared" ref="BD574:BD588" si="716">H574/(100-BE574)*100</f>
        <v>0</v>
      </c>
      <c r="BE574" s="243">
        <v>0</v>
      </c>
      <c r="BF574" s="243">
        <f>574</f>
        <v>574</v>
      </c>
      <c r="BH574" s="243">
        <f t="shared" ref="BH574:BH588" si="717">G574*AO574</f>
        <v>0</v>
      </c>
      <c r="BI574" s="243">
        <f t="shared" ref="BI574:BI588" si="718">G574*AP574</f>
        <v>0</v>
      </c>
      <c r="BJ574" s="243">
        <f t="shared" ref="BJ574:BJ588" si="719">G574*H574</f>
        <v>0</v>
      </c>
      <c r="BK574" s="243"/>
      <c r="BL574" s="243">
        <v>734</v>
      </c>
      <c r="BW574" s="243">
        <v>21</v>
      </c>
    </row>
    <row r="575" spans="1:75" ht="13.5" customHeight="1">
      <c r="A575" s="207" t="s">
        <v>1105</v>
      </c>
      <c r="B575" s="208" t="s">
        <v>1059</v>
      </c>
      <c r="C575" s="208" t="s">
        <v>97</v>
      </c>
      <c r="D575" s="268" t="s">
        <v>98</v>
      </c>
      <c r="E575" s="260"/>
      <c r="F575" s="208" t="s">
        <v>68</v>
      </c>
      <c r="G575" s="243">
        <v>4</v>
      </c>
      <c r="H575" s="244">
        <v>0</v>
      </c>
      <c r="I575" s="244">
        <f t="shared" si="700"/>
        <v>0</v>
      </c>
      <c r="K575" s="231"/>
      <c r="Z575" s="243">
        <f t="shared" si="701"/>
        <v>0</v>
      </c>
      <c r="AB575" s="243">
        <f t="shared" si="702"/>
        <v>0</v>
      </c>
      <c r="AC575" s="243">
        <f t="shared" si="703"/>
        <v>0</v>
      </c>
      <c r="AD575" s="243">
        <f t="shared" si="704"/>
        <v>0</v>
      </c>
      <c r="AE575" s="243">
        <f t="shared" si="705"/>
        <v>0</v>
      </c>
      <c r="AF575" s="243">
        <f t="shared" si="706"/>
        <v>0</v>
      </c>
      <c r="AG575" s="243">
        <f t="shared" si="707"/>
        <v>0</v>
      </c>
      <c r="AH575" s="243">
        <f t="shared" si="708"/>
        <v>0</v>
      </c>
      <c r="AI575" s="232" t="s">
        <v>1059</v>
      </c>
      <c r="AJ575" s="243">
        <f t="shared" si="709"/>
        <v>0</v>
      </c>
      <c r="AK575" s="243">
        <f t="shared" si="710"/>
        <v>0</v>
      </c>
      <c r="AL575" s="243">
        <f t="shared" si="711"/>
        <v>0</v>
      </c>
      <c r="AN575" s="243">
        <v>21</v>
      </c>
      <c r="AO575" s="243">
        <f>H575*0.0054421768707483</f>
        <v>0</v>
      </c>
      <c r="AP575" s="243">
        <f>H575*(1-0.0054421768707483)</f>
        <v>0</v>
      </c>
      <c r="AQ575" s="245" t="s">
        <v>567</v>
      </c>
      <c r="AV575" s="243">
        <f t="shared" si="712"/>
        <v>0</v>
      </c>
      <c r="AW575" s="243">
        <f t="shared" si="713"/>
        <v>0</v>
      </c>
      <c r="AX575" s="243">
        <f t="shared" si="714"/>
        <v>0</v>
      </c>
      <c r="AY575" s="245" t="s">
        <v>593</v>
      </c>
      <c r="AZ575" s="245" t="s">
        <v>1091</v>
      </c>
      <c r="BA575" s="232" t="s">
        <v>1062</v>
      </c>
      <c r="BC575" s="243">
        <f t="shared" si="715"/>
        <v>0</v>
      </c>
      <c r="BD575" s="243">
        <f t="shared" si="716"/>
        <v>0</v>
      </c>
      <c r="BE575" s="243">
        <v>0</v>
      </c>
      <c r="BF575" s="243">
        <f>575</f>
        <v>575</v>
      </c>
      <c r="BH575" s="243">
        <f t="shared" si="717"/>
        <v>0</v>
      </c>
      <c r="BI575" s="243">
        <f t="shared" si="718"/>
        <v>0</v>
      </c>
      <c r="BJ575" s="243">
        <f t="shared" si="719"/>
        <v>0</v>
      </c>
      <c r="BK575" s="243"/>
      <c r="BL575" s="243">
        <v>734</v>
      </c>
      <c r="BW575" s="243">
        <v>21</v>
      </c>
    </row>
    <row r="576" spans="1:75" ht="13.5" customHeight="1">
      <c r="A576" s="207" t="s">
        <v>1106</v>
      </c>
      <c r="B576" s="208" t="s">
        <v>1059</v>
      </c>
      <c r="C576" s="208" t="s">
        <v>414</v>
      </c>
      <c r="D576" s="268" t="s">
        <v>1354</v>
      </c>
      <c r="E576" s="260"/>
      <c r="F576" s="208" t="s">
        <v>68</v>
      </c>
      <c r="G576" s="243">
        <v>2</v>
      </c>
      <c r="H576" s="244">
        <v>0</v>
      </c>
      <c r="I576" s="244">
        <f t="shared" si="700"/>
        <v>0</v>
      </c>
      <c r="K576" s="231"/>
      <c r="Z576" s="243">
        <f t="shared" si="701"/>
        <v>0</v>
      </c>
      <c r="AB576" s="243">
        <f t="shared" si="702"/>
        <v>0</v>
      </c>
      <c r="AC576" s="243">
        <f t="shared" si="703"/>
        <v>0</v>
      </c>
      <c r="AD576" s="243">
        <f t="shared" si="704"/>
        <v>0</v>
      </c>
      <c r="AE576" s="243">
        <f t="shared" si="705"/>
        <v>0</v>
      </c>
      <c r="AF576" s="243">
        <f t="shared" si="706"/>
        <v>0</v>
      </c>
      <c r="AG576" s="243">
        <f t="shared" si="707"/>
        <v>0</v>
      </c>
      <c r="AH576" s="243">
        <f t="shared" si="708"/>
        <v>0</v>
      </c>
      <c r="AI576" s="232" t="s">
        <v>1059</v>
      </c>
      <c r="AJ576" s="243">
        <f t="shared" si="709"/>
        <v>0</v>
      </c>
      <c r="AK576" s="243">
        <f t="shared" si="710"/>
        <v>0</v>
      </c>
      <c r="AL576" s="243">
        <f t="shared" si="711"/>
        <v>0</v>
      </c>
      <c r="AN576" s="243">
        <v>21</v>
      </c>
      <c r="AO576" s="243">
        <f>H576*0.925843353557639</f>
        <v>0</v>
      </c>
      <c r="AP576" s="243">
        <f>H576*(1-0.925843353557639)</f>
        <v>0</v>
      </c>
      <c r="AQ576" s="245" t="s">
        <v>567</v>
      </c>
      <c r="AV576" s="243">
        <f t="shared" si="712"/>
        <v>0</v>
      </c>
      <c r="AW576" s="243">
        <f t="shared" si="713"/>
        <v>0</v>
      </c>
      <c r="AX576" s="243">
        <f t="shared" si="714"/>
        <v>0</v>
      </c>
      <c r="AY576" s="245" t="s">
        <v>593</v>
      </c>
      <c r="AZ576" s="245" t="s">
        <v>1091</v>
      </c>
      <c r="BA576" s="232" t="s">
        <v>1062</v>
      </c>
      <c r="BC576" s="243">
        <f t="shared" si="715"/>
        <v>0</v>
      </c>
      <c r="BD576" s="243">
        <f t="shared" si="716"/>
        <v>0</v>
      </c>
      <c r="BE576" s="243">
        <v>0</v>
      </c>
      <c r="BF576" s="243">
        <f>576</f>
        <v>576</v>
      </c>
      <c r="BH576" s="243">
        <f t="shared" si="717"/>
        <v>0</v>
      </c>
      <c r="BI576" s="243">
        <f t="shared" si="718"/>
        <v>0</v>
      </c>
      <c r="BJ576" s="243">
        <f t="shared" si="719"/>
        <v>0</v>
      </c>
      <c r="BK576" s="243"/>
      <c r="BL576" s="243">
        <v>734</v>
      </c>
      <c r="BW576" s="243">
        <v>21</v>
      </c>
    </row>
    <row r="577" spans="1:75" ht="13.5" customHeight="1">
      <c r="A577" s="207" t="s">
        <v>1107</v>
      </c>
      <c r="B577" s="208" t="s">
        <v>1059</v>
      </c>
      <c r="C577" s="208" t="s">
        <v>416</v>
      </c>
      <c r="D577" s="268" t="s">
        <v>417</v>
      </c>
      <c r="E577" s="260"/>
      <c r="F577" s="208" t="s">
        <v>68</v>
      </c>
      <c r="G577" s="243">
        <v>6</v>
      </c>
      <c r="H577" s="244">
        <v>0</v>
      </c>
      <c r="I577" s="244">
        <f t="shared" si="700"/>
        <v>0</v>
      </c>
      <c r="K577" s="231"/>
      <c r="Z577" s="243">
        <f t="shared" si="701"/>
        <v>0</v>
      </c>
      <c r="AB577" s="243">
        <f t="shared" si="702"/>
        <v>0</v>
      </c>
      <c r="AC577" s="243">
        <f t="shared" si="703"/>
        <v>0</v>
      </c>
      <c r="AD577" s="243">
        <f t="shared" si="704"/>
        <v>0</v>
      </c>
      <c r="AE577" s="243">
        <f t="shared" si="705"/>
        <v>0</v>
      </c>
      <c r="AF577" s="243">
        <f t="shared" si="706"/>
        <v>0</v>
      </c>
      <c r="AG577" s="243">
        <f t="shared" si="707"/>
        <v>0</v>
      </c>
      <c r="AH577" s="243">
        <f t="shared" si="708"/>
        <v>0</v>
      </c>
      <c r="AI577" s="232" t="s">
        <v>1059</v>
      </c>
      <c r="AJ577" s="243">
        <f t="shared" si="709"/>
        <v>0</v>
      </c>
      <c r="AK577" s="243">
        <f t="shared" si="710"/>
        <v>0</v>
      </c>
      <c r="AL577" s="243">
        <f t="shared" si="711"/>
        <v>0</v>
      </c>
      <c r="AN577" s="243">
        <v>21</v>
      </c>
      <c r="AO577" s="243">
        <f>H577*0.711852348993289</f>
        <v>0</v>
      </c>
      <c r="AP577" s="243">
        <f>H577*(1-0.711852348993289)</f>
        <v>0</v>
      </c>
      <c r="AQ577" s="245" t="s">
        <v>567</v>
      </c>
      <c r="AV577" s="243">
        <f t="shared" si="712"/>
        <v>0</v>
      </c>
      <c r="AW577" s="243">
        <f t="shared" si="713"/>
        <v>0</v>
      </c>
      <c r="AX577" s="243">
        <f t="shared" si="714"/>
        <v>0</v>
      </c>
      <c r="AY577" s="245" t="s">
        <v>593</v>
      </c>
      <c r="AZ577" s="245" t="s">
        <v>1091</v>
      </c>
      <c r="BA577" s="232" t="s">
        <v>1062</v>
      </c>
      <c r="BC577" s="243">
        <f t="shared" si="715"/>
        <v>0</v>
      </c>
      <c r="BD577" s="243">
        <f t="shared" si="716"/>
        <v>0</v>
      </c>
      <c r="BE577" s="243">
        <v>0</v>
      </c>
      <c r="BF577" s="243">
        <f>577</f>
        <v>577</v>
      </c>
      <c r="BH577" s="243">
        <f t="shared" si="717"/>
        <v>0</v>
      </c>
      <c r="BI577" s="243">
        <f t="shared" si="718"/>
        <v>0</v>
      </c>
      <c r="BJ577" s="243">
        <f t="shared" si="719"/>
        <v>0</v>
      </c>
      <c r="BK577" s="243"/>
      <c r="BL577" s="243">
        <v>734</v>
      </c>
      <c r="BW577" s="243">
        <v>21</v>
      </c>
    </row>
    <row r="578" spans="1:75" ht="13.5" customHeight="1">
      <c r="A578" s="207" t="s">
        <v>1108</v>
      </c>
      <c r="B578" s="208" t="s">
        <v>1059</v>
      </c>
      <c r="C578" s="208" t="s">
        <v>418</v>
      </c>
      <c r="D578" s="268" t="s">
        <v>419</v>
      </c>
      <c r="E578" s="260"/>
      <c r="F578" s="208" t="s">
        <v>68</v>
      </c>
      <c r="G578" s="243">
        <v>3</v>
      </c>
      <c r="H578" s="244">
        <v>0</v>
      </c>
      <c r="I578" s="244">
        <f t="shared" si="700"/>
        <v>0</v>
      </c>
      <c r="K578" s="231"/>
      <c r="Z578" s="243">
        <f t="shared" si="701"/>
        <v>0</v>
      </c>
      <c r="AB578" s="243">
        <f t="shared" si="702"/>
        <v>0</v>
      </c>
      <c r="AC578" s="243">
        <f t="shared" si="703"/>
        <v>0</v>
      </c>
      <c r="AD578" s="243">
        <f t="shared" si="704"/>
        <v>0</v>
      </c>
      <c r="AE578" s="243">
        <f t="shared" si="705"/>
        <v>0</v>
      </c>
      <c r="AF578" s="243">
        <f t="shared" si="706"/>
        <v>0</v>
      </c>
      <c r="AG578" s="243">
        <f t="shared" si="707"/>
        <v>0</v>
      </c>
      <c r="AH578" s="243">
        <f t="shared" si="708"/>
        <v>0</v>
      </c>
      <c r="AI578" s="232" t="s">
        <v>1059</v>
      </c>
      <c r="AJ578" s="243">
        <f t="shared" si="709"/>
        <v>0</v>
      </c>
      <c r="AK578" s="243">
        <f t="shared" si="710"/>
        <v>0</v>
      </c>
      <c r="AL578" s="243">
        <f t="shared" si="711"/>
        <v>0</v>
      </c>
      <c r="AN578" s="243">
        <v>21</v>
      </c>
      <c r="AO578" s="243">
        <f>H578*0.893467248908297</f>
        <v>0</v>
      </c>
      <c r="AP578" s="243">
        <f>H578*(1-0.893467248908297)</f>
        <v>0</v>
      </c>
      <c r="AQ578" s="245" t="s">
        <v>567</v>
      </c>
      <c r="AV578" s="243">
        <f t="shared" si="712"/>
        <v>0</v>
      </c>
      <c r="AW578" s="243">
        <f t="shared" si="713"/>
        <v>0</v>
      </c>
      <c r="AX578" s="243">
        <f t="shared" si="714"/>
        <v>0</v>
      </c>
      <c r="AY578" s="245" t="s">
        <v>593</v>
      </c>
      <c r="AZ578" s="245" t="s">
        <v>1091</v>
      </c>
      <c r="BA578" s="232" t="s">
        <v>1062</v>
      </c>
      <c r="BC578" s="243">
        <f t="shared" si="715"/>
        <v>0</v>
      </c>
      <c r="BD578" s="243">
        <f t="shared" si="716"/>
        <v>0</v>
      </c>
      <c r="BE578" s="243">
        <v>0</v>
      </c>
      <c r="BF578" s="243">
        <f>578</f>
        <v>578</v>
      </c>
      <c r="BH578" s="243">
        <f t="shared" si="717"/>
        <v>0</v>
      </c>
      <c r="BI578" s="243">
        <f t="shared" si="718"/>
        <v>0</v>
      </c>
      <c r="BJ578" s="243">
        <f t="shared" si="719"/>
        <v>0</v>
      </c>
      <c r="BK578" s="243"/>
      <c r="BL578" s="243">
        <v>734</v>
      </c>
      <c r="BW578" s="243">
        <v>21</v>
      </c>
    </row>
    <row r="579" spans="1:75" ht="13.5" customHeight="1">
      <c r="A579" s="207" t="s">
        <v>1109</v>
      </c>
      <c r="B579" s="208" t="s">
        <v>1059</v>
      </c>
      <c r="C579" s="208" t="s">
        <v>420</v>
      </c>
      <c r="D579" s="268" t="s">
        <v>421</v>
      </c>
      <c r="E579" s="260"/>
      <c r="F579" s="208" t="s">
        <v>68</v>
      </c>
      <c r="G579" s="243">
        <v>1</v>
      </c>
      <c r="H579" s="244">
        <v>0</v>
      </c>
      <c r="I579" s="244">
        <f t="shared" si="700"/>
        <v>0</v>
      </c>
      <c r="K579" s="231"/>
      <c r="Z579" s="243">
        <f t="shared" si="701"/>
        <v>0</v>
      </c>
      <c r="AB579" s="243">
        <f t="shared" si="702"/>
        <v>0</v>
      </c>
      <c r="AC579" s="243">
        <f t="shared" si="703"/>
        <v>0</v>
      </c>
      <c r="AD579" s="243">
        <f t="shared" si="704"/>
        <v>0</v>
      </c>
      <c r="AE579" s="243">
        <f t="shared" si="705"/>
        <v>0</v>
      </c>
      <c r="AF579" s="243">
        <f t="shared" si="706"/>
        <v>0</v>
      </c>
      <c r="AG579" s="243">
        <f t="shared" si="707"/>
        <v>0</v>
      </c>
      <c r="AH579" s="243">
        <f t="shared" si="708"/>
        <v>0</v>
      </c>
      <c r="AI579" s="232" t="s">
        <v>1059</v>
      </c>
      <c r="AJ579" s="243">
        <f t="shared" si="709"/>
        <v>0</v>
      </c>
      <c r="AK579" s="243">
        <f t="shared" si="710"/>
        <v>0</v>
      </c>
      <c r="AL579" s="243">
        <f t="shared" si="711"/>
        <v>0</v>
      </c>
      <c r="AN579" s="243">
        <v>21</v>
      </c>
      <c r="AO579" s="243">
        <f>H579*0.945546104928458</f>
        <v>0</v>
      </c>
      <c r="AP579" s="243">
        <f>H579*(1-0.945546104928458)</f>
        <v>0</v>
      </c>
      <c r="AQ579" s="245" t="s">
        <v>567</v>
      </c>
      <c r="AV579" s="243">
        <f t="shared" si="712"/>
        <v>0</v>
      </c>
      <c r="AW579" s="243">
        <f t="shared" si="713"/>
        <v>0</v>
      </c>
      <c r="AX579" s="243">
        <f t="shared" si="714"/>
        <v>0</v>
      </c>
      <c r="AY579" s="245" t="s">
        <v>593</v>
      </c>
      <c r="AZ579" s="245" t="s">
        <v>1091</v>
      </c>
      <c r="BA579" s="232" t="s">
        <v>1062</v>
      </c>
      <c r="BC579" s="243">
        <f t="shared" si="715"/>
        <v>0</v>
      </c>
      <c r="BD579" s="243">
        <f t="shared" si="716"/>
        <v>0</v>
      </c>
      <c r="BE579" s="243">
        <v>0</v>
      </c>
      <c r="BF579" s="243">
        <f>579</f>
        <v>579</v>
      </c>
      <c r="BH579" s="243">
        <f t="shared" si="717"/>
        <v>0</v>
      </c>
      <c r="BI579" s="243">
        <f t="shared" si="718"/>
        <v>0</v>
      </c>
      <c r="BJ579" s="243">
        <f t="shared" si="719"/>
        <v>0</v>
      </c>
      <c r="BK579" s="243"/>
      <c r="BL579" s="243">
        <v>734</v>
      </c>
      <c r="BW579" s="243">
        <v>21</v>
      </c>
    </row>
    <row r="580" spans="1:75" ht="13.5" customHeight="1">
      <c r="A580" s="207" t="s">
        <v>1110</v>
      </c>
      <c r="B580" s="208" t="s">
        <v>1059</v>
      </c>
      <c r="C580" s="208" t="s">
        <v>422</v>
      </c>
      <c r="D580" s="268" t="s">
        <v>423</v>
      </c>
      <c r="E580" s="260"/>
      <c r="F580" s="208" t="s">
        <v>68</v>
      </c>
      <c r="G580" s="243">
        <v>1</v>
      </c>
      <c r="H580" s="244">
        <v>0</v>
      </c>
      <c r="I580" s="244">
        <f t="shared" si="700"/>
        <v>0</v>
      </c>
      <c r="K580" s="231"/>
      <c r="Z580" s="243">
        <f t="shared" si="701"/>
        <v>0</v>
      </c>
      <c r="AB580" s="243">
        <f t="shared" si="702"/>
        <v>0</v>
      </c>
      <c r="AC580" s="243">
        <f t="shared" si="703"/>
        <v>0</v>
      </c>
      <c r="AD580" s="243">
        <f t="shared" si="704"/>
        <v>0</v>
      </c>
      <c r="AE580" s="243">
        <f t="shared" si="705"/>
        <v>0</v>
      </c>
      <c r="AF580" s="243">
        <f t="shared" si="706"/>
        <v>0</v>
      </c>
      <c r="AG580" s="243">
        <f t="shared" si="707"/>
        <v>0</v>
      </c>
      <c r="AH580" s="243">
        <f t="shared" si="708"/>
        <v>0</v>
      </c>
      <c r="AI580" s="232" t="s">
        <v>1059</v>
      </c>
      <c r="AJ580" s="243">
        <f t="shared" si="709"/>
        <v>0</v>
      </c>
      <c r="AK580" s="243">
        <f t="shared" si="710"/>
        <v>0</v>
      </c>
      <c r="AL580" s="243">
        <f t="shared" si="711"/>
        <v>0</v>
      </c>
      <c r="AN580" s="243">
        <v>21</v>
      </c>
      <c r="AO580" s="243">
        <f>H580*0.913686165273909</f>
        <v>0</v>
      </c>
      <c r="AP580" s="243">
        <f>H580*(1-0.913686165273909)</f>
        <v>0</v>
      </c>
      <c r="AQ580" s="245" t="s">
        <v>567</v>
      </c>
      <c r="AV580" s="243">
        <f t="shared" si="712"/>
        <v>0</v>
      </c>
      <c r="AW580" s="243">
        <f t="shared" si="713"/>
        <v>0</v>
      </c>
      <c r="AX580" s="243">
        <f t="shared" si="714"/>
        <v>0</v>
      </c>
      <c r="AY580" s="245" t="s">
        <v>593</v>
      </c>
      <c r="AZ580" s="245" t="s">
        <v>1091</v>
      </c>
      <c r="BA580" s="232" t="s">
        <v>1062</v>
      </c>
      <c r="BC580" s="243">
        <f t="shared" si="715"/>
        <v>0</v>
      </c>
      <c r="BD580" s="243">
        <f t="shared" si="716"/>
        <v>0</v>
      </c>
      <c r="BE580" s="243">
        <v>0</v>
      </c>
      <c r="BF580" s="243">
        <f>580</f>
        <v>580</v>
      </c>
      <c r="BH580" s="243">
        <f t="shared" si="717"/>
        <v>0</v>
      </c>
      <c r="BI580" s="243">
        <f t="shared" si="718"/>
        <v>0</v>
      </c>
      <c r="BJ580" s="243">
        <f t="shared" si="719"/>
        <v>0</v>
      </c>
      <c r="BK580" s="243"/>
      <c r="BL580" s="243">
        <v>734</v>
      </c>
      <c r="BW580" s="243">
        <v>21</v>
      </c>
    </row>
    <row r="581" spans="1:75" ht="13.5" customHeight="1">
      <c r="A581" s="207" t="s">
        <v>1111</v>
      </c>
      <c r="B581" s="208" t="s">
        <v>1059</v>
      </c>
      <c r="C581" s="208" t="s">
        <v>424</v>
      </c>
      <c r="D581" s="268" t="s">
        <v>1355</v>
      </c>
      <c r="E581" s="260"/>
      <c r="F581" s="208" t="s">
        <v>68</v>
      </c>
      <c r="G581" s="243">
        <v>2</v>
      </c>
      <c r="H581" s="244">
        <v>0</v>
      </c>
      <c r="I581" s="244">
        <f t="shared" si="700"/>
        <v>0</v>
      </c>
      <c r="K581" s="231"/>
      <c r="Z581" s="243">
        <f t="shared" si="701"/>
        <v>0</v>
      </c>
      <c r="AB581" s="243">
        <f t="shared" si="702"/>
        <v>0</v>
      </c>
      <c r="AC581" s="243">
        <f t="shared" si="703"/>
        <v>0</v>
      </c>
      <c r="AD581" s="243">
        <f t="shared" si="704"/>
        <v>0</v>
      </c>
      <c r="AE581" s="243">
        <f t="shared" si="705"/>
        <v>0</v>
      </c>
      <c r="AF581" s="243">
        <f t="shared" si="706"/>
        <v>0</v>
      </c>
      <c r="AG581" s="243">
        <f t="shared" si="707"/>
        <v>0</v>
      </c>
      <c r="AH581" s="243">
        <f t="shared" si="708"/>
        <v>0</v>
      </c>
      <c r="AI581" s="232" t="s">
        <v>1059</v>
      </c>
      <c r="AJ581" s="243">
        <f t="shared" si="709"/>
        <v>0</v>
      </c>
      <c r="AK581" s="243">
        <f t="shared" si="710"/>
        <v>0</v>
      </c>
      <c r="AL581" s="243">
        <f t="shared" si="711"/>
        <v>0</v>
      </c>
      <c r="AN581" s="243">
        <v>21</v>
      </c>
      <c r="AO581" s="243">
        <f>H581*0.869366700715015</f>
        <v>0</v>
      </c>
      <c r="AP581" s="243">
        <f>H581*(1-0.869366700715015)</f>
        <v>0</v>
      </c>
      <c r="AQ581" s="245" t="s">
        <v>567</v>
      </c>
      <c r="AV581" s="243">
        <f t="shared" si="712"/>
        <v>0</v>
      </c>
      <c r="AW581" s="243">
        <f t="shared" si="713"/>
        <v>0</v>
      </c>
      <c r="AX581" s="243">
        <f t="shared" si="714"/>
        <v>0</v>
      </c>
      <c r="AY581" s="245" t="s">
        <v>593</v>
      </c>
      <c r="AZ581" s="245" t="s">
        <v>1091</v>
      </c>
      <c r="BA581" s="232" t="s">
        <v>1062</v>
      </c>
      <c r="BC581" s="243">
        <f t="shared" si="715"/>
        <v>0</v>
      </c>
      <c r="BD581" s="243">
        <f t="shared" si="716"/>
        <v>0</v>
      </c>
      <c r="BE581" s="243">
        <v>0</v>
      </c>
      <c r="BF581" s="243">
        <f>581</f>
        <v>581</v>
      </c>
      <c r="BH581" s="243">
        <f t="shared" si="717"/>
        <v>0</v>
      </c>
      <c r="BI581" s="243">
        <f t="shared" si="718"/>
        <v>0</v>
      </c>
      <c r="BJ581" s="243">
        <f t="shared" si="719"/>
        <v>0</v>
      </c>
      <c r="BK581" s="243"/>
      <c r="BL581" s="243">
        <v>734</v>
      </c>
      <c r="BW581" s="243">
        <v>21</v>
      </c>
    </row>
    <row r="582" spans="1:75" ht="13.5" customHeight="1">
      <c r="A582" s="207" t="s">
        <v>1112</v>
      </c>
      <c r="B582" s="208" t="s">
        <v>1059</v>
      </c>
      <c r="C582" s="208" t="s">
        <v>426</v>
      </c>
      <c r="D582" s="268" t="s">
        <v>1356</v>
      </c>
      <c r="E582" s="260"/>
      <c r="F582" s="208" t="s">
        <v>68</v>
      </c>
      <c r="G582" s="243">
        <v>1</v>
      </c>
      <c r="H582" s="244">
        <v>0</v>
      </c>
      <c r="I582" s="244">
        <f t="shared" si="700"/>
        <v>0</v>
      </c>
      <c r="K582" s="231"/>
      <c r="Z582" s="243">
        <f t="shared" si="701"/>
        <v>0</v>
      </c>
      <c r="AB582" s="243">
        <f t="shared" si="702"/>
        <v>0</v>
      </c>
      <c r="AC582" s="243">
        <f t="shared" si="703"/>
        <v>0</v>
      </c>
      <c r="AD582" s="243">
        <f t="shared" si="704"/>
        <v>0</v>
      </c>
      <c r="AE582" s="243">
        <f t="shared" si="705"/>
        <v>0</v>
      </c>
      <c r="AF582" s="243">
        <f t="shared" si="706"/>
        <v>0</v>
      </c>
      <c r="AG582" s="243">
        <f t="shared" si="707"/>
        <v>0</v>
      </c>
      <c r="AH582" s="243">
        <f t="shared" si="708"/>
        <v>0</v>
      </c>
      <c r="AI582" s="232" t="s">
        <v>1059</v>
      </c>
      <c r="AJ582" s="243">
        <f t="shared" si="709"/>
        <v>0</v>
      </c>
      <c r="AK582" s="243">
        <f t="shared" si="710"/>
        <v>0</v>
      </c>
      <c r="AL582" s="243">
        <f t="shared" si="711"/>
        <v>0</v>
      </c>
      <c r="AN582" s="243">
        <v>21</v>
      </c>
      <c r="AO582" s="243">
        <f>H582*0.929993168165776</f>
        <v>0</v>
      </c>
      <c r="AP582" s="243">
        <f>H582*(1-0.929993168165776)</f>
        <v>0</v>
      </c>
      <c r="AQ582" s="245" t="s">
        <v>567</v>
      </c>
      <c r="AV582" s="243">
        <f t="shared" si="712"/>
        <v>0</v>
      </c>
      <c r="AW582" s="243">
        <f t="shared" si="713"/>
        <v>0</v>
      </c>
      <c r="AX582" s="243">
        <f t="shared" si="714"/>
        <v>0</v>
      </c>
      <c r="AY582" s="245" t="s">
        <v>593</v>
      </c>
      <c r="AZ582" s="245" t="s">
        <v>1091</v>
      </c>
      <c r="BA582" s="232" t="s">
        <v>1062</v>
      </c>
      <c r="BC582" s="243">
        <f t="shared" si="715"/>
        <v>0</v>
      </c>
      <c r="BD582" s="243">
        <f t="shared" si="716"/>
        <v>0</v>
      </c>
      <c r="BE582" s="243">
        <v>0</v>
      </c>
      <c r="BF582" s="243">
        <f>582</f>
        <v>582</v>
      </c>
      <c r="BH582" s="243">
        <f t="shared" si="717"/>
        <v>0</v>
      </c>
      <c r="BI582" s="243">
        <f t="shared" si="718"/>
        <v>0</v>
      </c>
      <c r="BJ582" s="243">
        <f t="shared" si="719"/>
        <v>0</v>
      </c>
      <c r="BK582" s="243"/>
      <c r="BL582" s="243">
        <v>734</v>
      </c>
      <c r="BW582" s="243">
        <v>21</v>
      </c>
    </row>
    <row r="583" spans="1:75" ht="13.5" customHeight="1">
      <c r="A583" s="207" t="s">
        <v>1113</v>
      </c>
      <c r="B583" s="208" t="s">
        <v>1059</v>
      </c>
      <c r="C583" s="208" t="s">
        <v>428</v>
      </c>
      <c r="D583" s="268" t="s">
        <v>1357</v>
      </c>
      <c r="E583" s="260"/>
      <c r="F583" s="208" t="s">
        <v>68</v>
      </c>
      <c r="G583" s="243">
        <v>1</v>
      </c>
      <c r="H583" s="244">
        <v>0</v>
      </c>
      <c r="I583" s="244">
        <f t="shared" si="700"/>
        <v>0</v>
      </c>
      <c r="K583" s="231"/>
      <c r="Z583" s="243">
        <f t="shared" si="701"/>
        <v>0</v>
      </c>
      <c r="AB583" s="243">
        <f t="shared" si="702"/>
        <v>0</v>
      </c>
      <c r="AC583" s="243">
        <f t="shared" si="703"/>
        <v>0</v>
      </c>
      <c r="AD583" s="243">
        <f t="shared" si="704"/>
        <v>0</v>
      </c>
      <c r="AE583" s="243">
        <f t="shared" si="705"/>
        <v>0</v>
      </c>
      <c r="AF583" s="243">
        <f t="shared" si="706"/>
        <v>0</v>
      </c>
      <c r="AG583" s="243">
        <f t="shared" si="707"/>
        <v>0</v>
      </c>
      <c r="AH583" s="243">
        <f t="shared" si="708"/>
        <v>0</v>
      </c>
      <c r="AI583" s="232" t="s">
        <v>1059</v>
      </c>
      <c r="AJ583" s="243">
        <f t="shared" si="709"/>
        <v>0</v>
      </c>
      <c r="AK583" s="243">
        <f t="shared" si="710"/>
        <v>0</v>
      </c>
      <c r="AL583" s="243">
        <f t="shared" si="711"/>
        <v>0</v>
      </c>
      <c r="AN583" s="243">
        <v>21</v>
      </c>
      <c r="AO583" s="243">
        <f>H583*0.76990099009901</f>
        <v>0</v>
      </c>
      <c r="AP583" s="243">
        <f>H583*(1-0.76990099009901)</f>
        <v>0</v>
      </c>
      <c r="AQ583" s="245" t="s">
        <v>567</v>
      </c>
      <c r="AV583" s="243">
        <f t="shared" si="712"/>
        <v>0</v>
      </c>
      <c r="AW583" s="243">
        <f t="shared" si="713"/>
        <v>0</v>
      </c>
      <c r="AX583" s="243">
        <f t="shared" si="714"/>
        <v>0</v>
      </c>
      <c r="AY583" s="245" t="s">
        <v>593</v>
      </c>
      <c r="AZ583" s="245" t="s">
        <v>1091</v>
      </c>
      <c r="BA583" s="232" t="s">
        <v>1062</v>
      </c>
      <c r="BC583" s="243">
        <f t="shared" si="715"/>
        <v>0</v>
      </c>
      <c r="BD583" s="243">
        <f t="shared" si="716"/>
        <v>0</v>
      </c>
      <c r="BE583" s="243">
        <v>0</v>
      </c>
      <c r="BF583" s="243">
        <f>583</f>
        <v>583</v>
      </c>
      <c r="BH583" s="243">
        <f t="shared" si="717"/>
        <v>0</v>
      </c>
      <c r="BI583" s="243">
        <f t="shared" si="718"/>
        <v>0</v>
      </c>
      <c r="BJ583" s="243">
        <f t="shared" si="719"/>
        <v>0</v>
      </c>
      <c r="BK583" s="243"/>
      <c r="BL583" s="243">
        <v>734</v>
      </c>
      <c r="BW583" s="243">
        <v>21</v>
      </c>
    </row>
    <row r="584" spans="1:75" ht="13.5" customHeight="1">
      <c r="A584" s="207" t="s">
        <v>1114</v>
      </c>
      <c r="B584" s="208" t="s">
        <v>1059</v>
      </c>
      <c r="C584" s="208" t="s">
        <v>430</v>
      </c>
      <c r="D584" s="268" t="s">
        <v>1364</v>
      </c>
      <c r="E584" s="260"/>
      <c r="F584" s="208" t="s">
        <v>68</v>
      </c>
      <c r="G584" s="243">
        <v>1</v>
      </c>
      <c r="H584" s="244">
        <v>0</v>
      </c>
      <c r="I584" s="244">
        <f t="shared" si="700"/>
        <v>0</v>
      </c>
      <c r="K584" s="231"/>
      <c r="Z584" s="243">
        <f t="shared" si="701"/>
        <v>0</v>
      </c>
      <c r="AB584" s="243">
        <f t="shared" si="702"/>
        <v>0</v>
      </c>
      <c r="AC584" s="243">
        <f t="shared" si="703"/>
        <v>0</v>
      </c>
      <c r="AD584" s="243">
        <f t="shared" si="704"/>
        <v>0</v>
      </c>
      <c r="AE584" s="243">
        <f t="shared" si="705"/>
        <v>0</v>
      </c>
      <c r="AF584" s="243">
        <f t="shared" si="706"/>
        <v>0</v>
      </c>
      <c r="AG584" s="243">
        <f t="shared" si="707"/>
        <v>0</v>
      </c>
      <c r="AH584" s="243">
        <f t="shared" si="708"/>
        <v>0</v>
      </c>
      <c r="AI584" s="232" t="s">
        <v>1059</v>
      </c>
      <c r="AJ584" s="243">
        <f t="shared" si="709"/>
        <v>0</v>
      </c>
      <c r="AK584" s="243">
        <f t="shared" si="710"/>
        <v>0</v>
      </c>
      <c r="AL584" s="243">
        <f t="shared" si="711"/>
        <v>0</v>
      </c>
      <c r="AN584" s="243">
        <v>21</v>
      </c>
      <c r="AO584" s="243">
        <f>H584*0.872981818181818</f>
        <v>0</v>
      </c>
      <c r="AP584" s="243">
        <f>H584*(1-0.872981818181818)</f>
        <v>0</v>
      </c>
      <c r="AQ584" s="245" t="s">
        <v>567</v>
      </c>
      <c r="AV584" s="243">
        <f t="shared" si="712"/>
        <v>0</v>
      </c>
      <c r="AW584" s="243">
        <f t="shared" si="713"/>
        <v>0</v>
      </c>
      <c r="AX584" s="243">
        <f t="shared" si="714"/>
        <v>0</v>
      </c>
      <c r="AY584" s="245" t="s">
        <v>593</v>
      </c>
      <c r="AZ584" s="245" t="s">
        <v>1091</v>
      </c>
      <c r="BA584" s="232" t="s">
        <v>1062</v>
      </c>
      <c r="BC584" s="243">
        <f t="shared" si="715"/>
        <v>0</v>
      </c>
      <c r="BD584" s="243">
        <f t="shared" si="716"/>
        <v>0</v>
      </c>
      <c r="BE584" s="243">
        <v>0</v>
      </c>
      <c r="BF584" s="243">
        <f>584</f>
        <v>584</v>
      </c>
      <c r="BH584" s="243">
        <f t="shared" si="717"/>
        <v>0</v>
      </c>
      <c r="BI584" s="243">
        <f t="shared" si="718"/>
        <v>0</v>
      </c>
      <c r="BJ584" s="243">
        <f t="shared" si="719"/>
        <v>0</v>
      </c>
      <c r="BK584" s="243"/>
      <c r="BL584" s="243">
        <v>734</v>
      </c>
      <c r="BW584" s="243">
        <v>21</v>
      </c>
    </row>
    <row r="585" spans="1:75" ht="13.5" customHeight="1">
      <c r="A585" s="207" t="s">
        <v>1115</v>
      </c>
      <c r="B585" s="208" t="s">
        <v>1059</v>
      </c>
      <c r="C585" s="208" t="s">
        <v>432</v>
      </c>
      <c r="D585" s="268" t="s">
        <v>433</v>
      </c>
      <c r="E585" s="260"/>
      <c r="F585" s="208" t="s">
        <v>58</v>
      </c>
      <c r="G585" s="243">
        <v>1</v>
      </c>
      <c r="H585" s="244">
        <v>0</v>
      </c>
      <c r="I585" s="244">
        <f t="shared" si="700"/>
        <v>0</v>
      </c>
      <c r="K585" s="231"/>
      <c r="Z585" s="243">
        <f t="shared" si="701"/>
        <v>0</v>
      </c>
      <c r="AB585" s="243">
        <f t="shared" si="702"/>
        <v>0</v>
      </c>
      <c r="AC585" s="243">
        <f t="shared" si="703"/>
        <v>0</v>
      </c>
      <c r="AD585" s="243">
        <f t="shared" si="704"/>
        <v>0</v>
      </c>
      <c r="AE585" s="243">
        <f t="shared" si="705"/>
        <v>0</v>
      </c>
      <c r="AF585" s="243">
        <f t="shared" si="706"/>
        <v>0</v>
      </c>
      <c r="AG585" s="243">
        <f t="shared" si="707"/>
        <v>0</v>
      </c>
      <c r="AH585" s="243">
        <f t="shared" si="708"/>
        <v>0</v>
      </c>
      <c r="AI585" s="232" t="s">
        <v>1059</v>
      </c>
      <c r="AJ585" s="243">
        <f t="shared" si="709"/>
        <v>0</v>
      </c>
      <c r="AK585" s="243">
        <f t="shared" si="710"/>
        <v>0</v>
      </c>
      <c r="AL585" s="243">
        <f t="shared" si="711"/>
        <v>0</v>
      </c>
      <c r="AN585" s="243">
        <v>21</v>
      </c>
      <c r="AO585" s="243">
        <f>H585*0.924761904761905</f>
        <v>0</v>
      </c>
      <c r="AP585" s="243">
        <f>H585*(1-0.924761904761905)</f>
        <v>0</v>
      </c>
      <c r="AQ585" s="245" t="s">
        <v>567</v>
      </c>
      <c r="AV585" s="243">
        <f t="shared" si="712"/>
        <v>0</v>
      </c>
      <c r="AW585" s="243">
        <f t="shared" si="713"/>
        <v>0</v>
      </c>
      <c r="AX585" s="243">
        <f t="shared" si="714"/>
        <v>0</v>
      </c>
      <c r="AY585" s="245" t="s">
        <v>593</v>
      </c>
      <c r="AZ585" s="245" t="s">
        <v>1091</v>
      </c>
      <c r="BA585" s="232" t="s">
        <v>1062</v>
      </c>
      <c r="BC585" s="243">
        <f t="shared" si="715"/>
        <v>0</v>
      </c>
      <c r="BD585" s="243">
        <f t="shared" si="716"/>
        <v>0</v>
      </c>
      <c r="BE585" s="243">
        <v>0</v>
      </c>
      <c r="BF585" s="243">
        <f>585</f>
        <v>585</v>
      </c>
      <c r="BH585" s="243">
        <f t="shared" si="717"/>
        <v>0</v>
      </c>
      <c r="BI585" s="243">
        <f t="shared" si="718"/>
        <v>0</v>
      </c>
      <c r="BJ585" s="243">
        <f t="shared" si="719"/>
        <v>0</v>
      </c>
      <c r="BK585" s="243"/>
      <c r="BL585" s="243">
        <v>734</v>
      </c>
      <c r="BW585" s="243">
        <v>21</v>
      </c>
    </row>
    <row r="586" spans="1:75" ht="13.5" customHeight="1">
      <c r="A586" s="207" t="s">
        <v>1116</v>
      </c>
      <c r="B586" s="208" t="s">
        <v>1059</v>
      </c>
      <c r="C586" s="208" t="s">
        <v>434</v>
      </c>
      <c r="D586" s="268" t="s">
        <v>435</v>
      </c>
      <c r="E586" s="260"/>
      <c r="F586" s="208" t="s">
        <v>68</v>
      </c>
      <c r="G586" s="243">
        <v>1</v>
      </c>
      <c r="H586" s="244">
        <v>0</v>
      </c>
      <c r="I586" s="244">
        <f t="shared" si="700"/>
        <v>0</v>
      </c>
      <c r="K586" s="231"/>
      <c r="Z586" s="243">
        <f t="shared" si="701"/>
        <v>0</v>
      </c>
      <c r="AB586" s="243">
        <f t="shared" si="702"/>
        <v>0</v>
      </c>
      <c r="AC586" s="243">
        <f t="shared" si="703"/>
        <v>0</v>
      </c>
      <c r="AD586" s="243">
        <f t="shared" si="704"/>
        <v>0</v>
      </c>
      <c r="AE586" s="243">
        <f t="shared" si="705"/>
        <v>0</v>
      </c>
      <c r="AF586" s="243">
        <f t="shared" si="706"/>
        <v>0</v>
      </c>
      <c r="AG586" s="243">
        <f t="shared" si="707"/>
        <v>0</v>
      </c>
      <c r="AH586" s="243">
        <f t="shared" si="708"/>
        <v>0</v>
      </c>
      <c r="AI586" s="232" t="s">
        <v>1059</v>
      </c>
      <c r="AJ586" s="243">
        <f t="shared" si="709"/>
        <v>0</v>
      </c>
      <c r="AK586" s="243">
        <f t="shared" si="710"/>
        <v>0</v>
      </c>
      <c r="AL586" s="243">
        <f t="shared" si="711"/>
        <v>0</v>
      </c>
      <c r="AN586" s="243">
        <v>21</v>
      </c>
      <c r="AO586" s="243">
        <f>H586*0.698084842146545</f>
        <v>0</v>
      </c>
      <c r="AP586" s="243">
        <f>H586*(1-0.698084842146545)</f>
        <v>0</v>
      </c>
      <c r="AQ586" s="245" t="s">
        <v>567</v>
      </c>
      <c r="AV586" s="243">
        <f t="shared" si="712"/>
        <v>0</v>
      </c>
      <c r="AW586" s="243">
        <f t="shared" si="713"/>
        <v>0</v>
      </c>
      <c r="AX586" s="243">
        <f t="shared" si="714"/>
        <v>0</v>
      </c>
      <c r="AY586" s="245" t="s">
        <v>593</v>
      </c>
      <c r="AZ586" s="245" t="s">
        <v>1091</v>
      </c>
      <c r="BA586" s="232" t="s">
        <v>1062</v>
      </c>
      <c r="BC586" s="243">
        <f t="shared" si="715"/>
        <v>0</v>
      </c>
      <c r="BD586" s="243">
        <f t="shared" si="716"/>
        <v>0</v>
      </c>
      <c r="BE586" s="243">
        <v>0</v>
      </c>
      <c r="BF586" s="243">
        <f>586</f>
        <v>586</v>
      </c>
      <c r="BH586" s="243">
        <f t="shared" si="717"/>
        <v>0</v>
      </c>
      <c r="BI586" s="243">
        <f t="shared" si="718"/>
        <v>0</v>
      </c>
      <c r="BJ586" s="243">
        <f t="shared" si="719"/>
        <v>0</v>
      </c>
      <c r="BK586" s="243"/>
      <c r="BL586" s="243">
        <v>734</v>
      </c>
      <c r="BW586" s="243">
        <v>21</v>
      </c>
    </row>
    <row r="587" spans="1:75" ht="13.5" customHeight="1">
      <c r="A587" s="207" t="s">
        <v>1117</v>
      </c>
      <c r="B587" s="208" t="s">
        <v>1059</v>
      </c>
      <c r="C587" s="208" t="s">
        <v>436</v>
      </c>
      <c r="D587" s="268" t="s">
        <v>1359</v>
      </c>
      <c r="E587" s="260"/>
      <c r="F587" s="208" t="s">
        <v>68</v>
      </c>
      <c r="G587" s="243">
        <v>1</v>
      </c>
      <c r="H587" s="244">
        <v>0</v>
      </c>
      <c r="I587" s="244">
        <f t="shared" si="700"/>
        <v>0</v>
      </c>
      <c r="K587" s="231"/>
      <c r="Z587" s="243">
        <f t="shared" si="701"/>
        <v>0</v>
      </c>
      <c r="AB587" s="243">
        <f t="shared" si="702"/>
        <v>0</v>
      </c>
      <c r="AC587" s="243">
        <f t="shared" si="703"/>
        <v>0</v>
      </c>
      <c r="AD587" s="243">
        <f t="shared" si="704"/>
        <v>0</v>
      </c>
      <c r="AE587" s="243">
        <f t="shared" si="705"/>
        <v>0</v>
      </c>
      <c r="AF587" s="243">
        <f t="shared" si="706"/>
        <v>0</v>
      </c>
      <c r="AG587" s="243">
        <f t="shared" si="707"/>
        <v>0</v>
      </c>
      <c r="AH587" s="243">
        <f t="shared" si="708"/>
        <v>0</v>
      </c>
      <c r="AI587" s="232" t="s">
        <v>1059</v>
      </c>
      <c r="AJ587" s="243">
        <f t="shared" si="709"/>
        <v>0</v>
      </c>
      <c r="AK587" s="243">
        <f t="shared" si="710"/>
        <v>0</v>
      </c>
      <c r="AL587" s="243">
        <f t="shared" si="711"/>
        <v>0</v>
      </c>
      <c r="AN587" s="243">
        <v>21</v>
      </c>
      <c r="AO587" s="243">
        <f>H587*0.796243845047714</f>
        <v>0</v>
      </c>
      <c r="AP587" s="243">
        <f>H587*(1-0.796243845047714)</f>
        <v>0</v>
      </c>
      <c r="AQ587" s="245" t="s">
        <v>567</v>
      </c>
      <c r="AV587" s="243">
        <f t="shared" si="712"/>
        <v>0</v>
      </c>
      <c r="AW587" s="243">
        <f t="shared" si="713"/>
        <v>0</v>
      </c>
      <c r="AX587" s="243">
        <f t="shared" si="714"/>
        <v>0</v>
      </c>
      <c r="AY587" s="245" t="s">
        <v>593</v>
      </c>
      <c r="AZ587" s="245" t="s">
        <v>1091</v>
      </c>
      <c r="BA587" s="232" t="s">
        <v>1062</v>
      </c>
      <c r="BC587" s="243">
        <f t="shared" si="715"/>
        <v>0</v>
      </c>
      <c r="BD587" s="243">
        <f t="shared" si="716"/>
        <v>0</v>
      </c>
      <c r="BE587" s="243">
        <v>0</v>
      </c>
      <c r="BF587" s="243">
        <f>587</f>
        <v>587</v>
      </c>
      <c r="BH587" s="243">
        <f t="shared" si="717"/>
        <v>0</v>
      </c>
      <c r="BI587" s="243">
        <f t="shared" si="718"/>
        <v>0</v>
      </c>
      <c r="BJ587" s="243">
        <f t="shared" si="719"/>
        <v>0</v>
      </c>
      <c r="BK587" s="243"/>
      <c r="BL587" s="243">
        <v>734</v>
      </c>
      <c r="BW587" s="243">
        <v>21</v>
      </c>
    </row>
    <row r="588" spans="1:75" ht="13.5" customHeight="1">
      <c r="A588" s="207" t="s">
        <v>1118</v>
      </c>
      <c r="B588" s="208" t="s">
        <v>1059</v>
      </c>
      <c r="C588" s="208" t="s">
        <v>438</v>
      </c>
      <c r="D588" s="268" t="s">
        <v>1387</v>
      </c>
      <c r="E588" s="260"/>
      <c r="F588" s="208" t="s">
        <v>68</v>
      </c>
      <c r="G588" s="243">
        <v>3</v>
      </c>
      <c r="H588" s="244">
        <v>0</v>
      </c>
      <c r="I588" s="244">
        <f t="shared" si="700"/>
        <v>0</v>
      </c>
      <c r="K588" s="231"/>
      <c r="Z588" s="243">
        <f t="shared" si="701"/>
        <v>0</v>
      </c>
      <c r="AB588" s="243">
        <f t="shared" si="702"/>
        <v>0</v>
      </c>
      <c r="AC588" s="243">
        <f t="shared" si="703"/>
        <v>0</v>
      </c>
      <c r="AD588" s="243">
        <f t="shared" si="704"/>
        <v>0</v>
      </c>
      <c r="AE588" s="243">
        <f t="shared" si="705"/>
        <v>0</v>
      </c>
      <c r="AF588" s="243">
        <f t="shared" si="706"/>
        <v>0</v>
      </c>
      <c r="AG588" s="243">
        <f t="shared" si="707"/>
        <v>0</v>
      </c>
      <c r="AH588" s="243">
        <f t="shared" si="708"/>
        <v>0</v>
      </c>
      <c r="AI588" s="232" t="s">
        <v>1059</v>
      </c>
      <c r="AJ588" s="243">
        <f t="shared" si="709"/>
        <v>0</v>
      </c>
      <c r="AK588" s="243">
        <f t="shared" si="710"/>
        <v>0</v>
      </c>
      <c r="AL588" s="243">
        <f t="shared" si="711"/>
        <v>0</v>
      </c>
      <c r="AN588" s="243">
        <v>21</v>
      </c>
      <c r="AO588" s="243">
        <f>H588*0.893386019482375</f>
        <v>0</v>
      </c>
      <c r="AP588" s="243">
        <f>H588*(1-0.893386019482375)</f>
        <v>0</v>
      </c>
      <c r="AQ588" s="245" t="s">
        <v>567</v>
      </c>
      <c r="AV588" s="243">
        <f t="shared" si="712"/>
        <v>0</v>
      </c>
      <c r="AW588" s="243">
        <f t="shared" si="713"/>
        <v>0</v>
      </c>
      <c r="AX588" s="243">
        <f t="shared" si="714"/>
        <v>0</v>
      </c>
      <c r="AY588" s="245" t="s">
        <v>593</v>
      </c>
      <c r="AZ588" s="245" t="s">
        <v>1091</v>
      </c>
      <c r="BA588" s="232" t="s">
        <v>1062</v>
      </c>
      <c r="BC588" s="243">
        <f t="shared" si="715"/>
        <v>0</v>
      </c>
      <c r="BD588" s="243">
        <f t="shared" si="716"/>
        <v>0</v>
      </c>
      <c r="BE588" s="243">
        <v>0</v>
      </c>
      <c r="BF588" s="243">
        <f>588</f>
        <v>588</v>
      </c>
      <c r="BH588" s="243">
        <f t="shared" si="717"/>
        <v>0</v>
      </c>
      <c r="BI588" s="243">
        <f t="shared" si="718"/>
        <v>0</v>
      </c>
      <c r="BJ588" s="243">
        <f t="shared" si="719"/>
        <v>0</v>
      </c>
      <c r="BK588" s="243"/>
      <c r="BL588" s="243">
        <v>734</v>
      </c>
      <c r="BW588" s="243">
        <v>21</v>
      </c>
    </row>
    <row r="589" spans="1:75" ht="15" customHeight="1">
      <c r="A589" s="238" t="s">
        <v>21</v>
      </c>
      <c r="B589" s="239" t="s">
        <v>1059</v>
      </c>
      <c r="C589" s="239" t="s">
        <v>101</v>
      </c>
      <c r="D589" s="309" t="s">
        <v>102</v>
      </c>
      <c r="E589" s="310"/>
      <c r="F589" s="240" t="s">
        <v>20</v>
      </c>
      <c r="G589" s="240" t="s">
        <v>20</v>
      </c>
      <c r="H589" s="241" t="s">
        <v>20</v>
      </c>
      <c r="I589" s="242">
        <f>SUM(I590:I591)</f>
        <v>0</v>
      </c>
      <c r="K589" s="231"/>
      <c r="AI589" s="232" t="s">
        <v>1059</v>
      </c>
      <c r="AS589" s="225">
        <f>SUM(AJ590:AJ591)</f>
        <v>0</v>
      </c>
      <c r="AT589" s="225">
        <f>SUM(AK590:AK591)</f>
        <v>0</v>
      </c>
      <c r="AU589" s="225">
        <f>SUM(AL590:AL591)</f>
        <v>0</v>
      </c>
    </row>
    <row r="590" spans="1:75" ht="13.5" customHeight="1">
      <c r="A590" s="207" t="s">
        <v>1119</v>
      </c>
      <c r="B590" s="208" t="s">
        <v>1059</v>
      </c>
      <c r="C590" s="208" t="s">
        <v>440</v>
      </c>
      <c r="D590" s="268" t="s">
        <v>441</v>
      </c>
      <c r="E590" s="260"/>
      <c r="F590" s="208" t="s">
        <v>105</v>
      </c>
      <c r="G590" s="243">
        <v>50</v>
      </c>
      <c r="H590" s="244">
        <v>0</v>
      </c>
      <c r="I590" s="244">
        <f>G590*H590</f>
        <v>0</v>
      </c>
      <c r="K590" s="231"/>
      <c r="Z590" s="243">
        <f>IF(AQ590="5",BJ590,0)</f>
        <v>0</v>
      </c>
      <c r="AB590" s="243">
        <f>IF(AQ590="1",BH590,0)</f>
        <v>0</v>
      </c>
      <c r="AC590" s="243">
        <f>IF(AQ590="1",BI590,0)</f>
        <v>0</v>
      </c>
      <c r="AD590" s="243">
        <f>IF(AQ590="7",BH590,0)</f>
        <v>0</v>
      </c>
      <c r="AE590" s="243">
        <f>IF(AQ590="7",BI590,0)</f>
        <v>0</v>
      </c>
      <c r="AF590" s="243">
        <f>IF(AQ590="2",BH590,0)</f>
        <v>0</v>
      </c>
      <c r="AG590" s="243">
        <f>IF(AQ590="2",BI590,0)</f>
        <v>0</v>
      </c>
      <c r="AH590" s="243">
        <f>IF(AQ590="0",BJ590,0)</f>
        <v>0</v>
      </c>
      <c r="AI590" s="232" t="s">
        <v>1059</v>
      </c>
      <c r="AJ590" s="243">
        <f>IF(AN590=0,I590,0)</f>
        <v>0</v>
      </c>
      <c r="AK590" s="243">
        <f>IF(AN590=12,I590,0)</f>
        <v>0</v>
      </c>
      <c r="AL590" s="243">
        <f>IF(AN590=21,I590,0)</f>
        <v>0</v>
      </c>
      <c r="AN590" s="243">
        <v>21</v>
      </c>
      <c r="AO590" s="243">
        <f>H590*0.166280991735537</f>
        <v>0</v>
      </c>
      <c r="AP590" s="243">
        <f>H590*(1-0.166280991735537)</f>
        <v>0</v>
      </c>
      <c r="AQ590" s="245" t="s">
        <v>567</v>
      </c>
      <c r="AV590" s="243">
        <f>AW590+AX590</f>
        <v>0</v>
      </c>
      <c r="AW590" s="243">
        <f>G590*AO590</f>
        <v>0</v>
      </c>
      <c r="AX590" s="243">
        <f>G590*AP590</f>
        <v>0</v>
      </c>
      <c r="AY590" s="245" t="s">
        <v>596</v>
      </c>
      <c r="AZ590" s="245" t="s">
        <v>1126</v>
      </c>
      <c r="BA590" s="232" t="s">
        <v>1062</v>
      </c>
      <c r="BC590" s="243">
        <f>AW590+AX590</f>
        <v>0</v>
      </c>
      <c r="BD590" s="243">
        <f>H590/(100-BE590)*100</f>
        <v>0</v>
      </c>
      <c r="BE590" s="243">
        <v>0</v>
      </c>
      <c r="BF590" s="243">
        <f>590</f>
        <v>590</v>
      </c>
      <c r="BH590" s="243">
        <f>G590*AO590</f>
        <v>0</v>
      </c>
      <c r="BI590" s="243">
        <f>G590*AP590</f>
        <v>0</v>
      </c>
      <c r="BJ590" s="243">
        <f>G590*H590</f>
        <v>0</v>
      </c>
      <c r="BK590" s="243"/>
      <c r="BL590" s="243">
        <v>767</v>
      </c>
      <c r="BW590" s="243">
        <v>21</v>
      </c>
    </row>
    <row r="591" spans="1:75" ht="13.5" customHeight="1">
      <c r="A591" s="209" t="s">
        <v>1120</v>
      </c>
      <c r="B591" s="210" t="s">
        <v>1059</v>
      </c>
      <c r="C591" s="210" t="s">
        <v>442</v>
      </c>
      <c r="D591" s="311" t="s">
        <v>443</v>
      </c>
      <c r="E591" s="273"/>
      <c r="F591" s="210" t="s">
        <v>105</v>
      </c>
      <c r="G591" s="246">
        <v>60</v>
      </c>
      <c r="H591" s="247">
        <v>0</v>
      </c>
      <c r="I591" s="247">
        <f>G591*H591</f>
        <v>0</v>
      </c>
      <c r="J591" s="248"/>
      <c r="K591" s="249"/>
      <c r="Z591" s="243">
        <f>IF(AQ591="5",BJ591,0)</f>
        <v>0</v>
      </c>
      <c r="AB591" s="243">
        <f>IF(AQ591="1",BH591,0)</f>
        <v>0</v>
      </c>
      <c r="AC591" s="243">
        <f>IF(AQ591="1",BI591,0)</f>
        <v>0</v>
      </c>
      <c r="AD591" s="243">
        <f>IF(AQ591="7",BH591,0)</f>
        <v>0</v>
      </c>
      <c r="AE591" s="243">
        <f>IF(AQ591="7",BI591,0)</f>
        <v>0</v>
      </c>
      <c r="AF591" s="243">
        <f>IF(AQ591="2",BH591,0)</f>
        <v>0</v>
      </c>
      <c r="AG591" s="243">
        <f>IF(AQ591="2",BI591,0)</f>
        <v>0</v>
      </c>
      <c r="AH591" s="243">
        <f>IF(AQ591="0",BJ591,0)</f>
        <v>0</v>
      </c>
      <c r="AI591" s="232" t="s">
        <v>1059</v>
      </c>
      <c r="AJ591" s="243">
        <f>IF(AN591=0,I591,0)</f>
        <v>0</v>
      </c>
      <c r="AK591" s="243">
        <f>IF(AN591=12,I591,0)</f>
        <v>0</v>
      </c>
      <c r="AL591" s="243">
        <f>IF(AN591=21,I591,0)</f>
        <v>0</v>
      </c>
      <c r="AN591" s="243">
        <v>21</v>
      </c>
      <c r="AO591" s="243">
        <f>H591*0.329041487839771</f>
        <v>0</v>
      </c>
      <c r="AP591" s="243">
        <f>H591*(1-0.329041487839771)</f>
        <v>0</v>
      </c>
      <c r="AQ591" s="245" t="s">
        <v>567</v>
      </c>
      <c r="AV591" s="243">
        <f>AW591+AX591</f>
        <v>0</v>
      </c>
      <c r="AW591" s="243">
        <f>G591*AO591</f>
        <v>0</v>
      </c>
      <c r="AX591" s="243">
        <f>G591*AP591</f>
        <v>0</v>
      </c>
      <c r="AY591" s="245" t="s">
        <v>596</v>
      </c>
      <c r="AZ591" s="245" t="s">
        <v>1126</v>
      </c>
      <c r="BA591" s="232" t="s">
        <v>1062</v>
      </c>
      <c r="BC591" s="243">
        <f>AW591+AX591</f>
        <v>0</v>
      </c>
      <c r="BD591" s="243">
        <f>H591/(100-BE591)*100</f>
        <v>0</v>
      </c>
      <c r="BE591" s="243">
        <v>0</v>
      </c>
      <c r="BF591" s="243">
        <f>591</f>
        <v>591</v>
      </c>
      <c r="BH591" s="243">
        <f>G591*AO591</f>
        <v>0</v>
      </c>
      <c r="BI591" s="243">
        <f>G591*AP591</f>
        <v>0</v>
      </c>
      <c r="BJ591" s="243">
        <f>G591*H591</f>
        <v>0</v>
      </c>
      <c r="BK591" s="243"/>
      <c r="BL591" s="243">
        <v>767</v>
      </c>
      <c r="BW591" s="243">
        <v>21</v>
      </c>
    </row>
    <row r="592" spans="1:75" ht="15" customHeight="1">
      <c r="H592" s="250"/>
      <c r="I592" s="251">
        <f>I14+I17+I21+I23+I26+I29+I31+I33+I43+I48+I51+I54+I62+I85+I87+I90+I97+I118+I121+I127+I130+I134+I136+I138+I140+I156+I160+I166+I170+I180+I182+I198+I200+I208+I220+I236+I240+I250+I252+I265+I267+I275+I287+I303+I307+I310+I320+I322+I335+I337+I345+I357+I373+I377+I380+I390+I392+I405+I407+I415+I427+I443+I447+I450+I460+I462+I475+I477+I485+I497+I513+I517+I520+I530+I532+I551+I553+I561+I573+I589</f>
        <v>0</v>
      </c>
    </row>
    <row r="593" spans="1:11" ht="15" customHeight="1">
      <c r="A593" s="224" t="s">
        <v>503</v>
      </c>
    </row>
    <row r="594" spans="1:11" ht="12.75" customHeight="1">
      <c r="A594" s="268" t="s">
        <v>21</v>
      </c>
      <c r="B594" s="260"/>
      <c r="C594" s="260"/>
      <c r="D594" s="260"/>
      <c r="E594" s="260"/>
      <c r="F594" s="260"/>
      <c r="G594" s="260"/>
      <c r="H594" s="260"/>
      <c r="I594" s="260"/>
      <c r="J594" s="260"/>
      <c r="K594" s="260"/>
    </row>
  </sheetData>
  <sheetProtection password="C7F1" sheet="1"/>
  <mergeCells count="608">
    <mergeCell ref="A594:K594"/>
    <mergeCell ref="D586:E586"/>
    <mergeCell ref="D587:E587"/>
    <mergeCell ref="D588:E588"/>
    <mergeCell ref="D589:E589"/>
    <mergeCell ref="D590:E590"/>
    <mergeCell ref="D591:E591"/>
    <mergeCell ref="D580:E580"/>
    <mergeCell ref="D581:E581"/>
    <mergeCell ref="D582:E582"/>
    <mergeCell ref="D583:E583"/>
    <mergeCell ref="D584:E584"/>
    <mergeCell ref="D585:E585"/>
    <mergeCell ref="D574:E574"/>
    <mergeCell ref="D575:E575"/>
    <mergeCell ref="D576:E576"/>
    <mergeCell ref="D577:E577"/>
    <mergeCell ref="D578:E578"/>
    <mergeCell ref="D579:E579"/>
    <mergeCell ref="D568:E568"/>
    <mergeCell ref="D569:E569"/>
    <mergeCell ref="D570:E570"/>
    <mergeCell ref="D571:E571"/>
    <mergeCell ref="D572:E572"/>
    <mergeCell ref="D573:E573"/>
    <mergeCell ref="D562:E562"/>
    <mergeCell ref="D563:E563"/>
    <mergeCell ref="D564:E564"/>
    <mergeCell ref="D565:E565"/>
    <mergeCell ref="D566:E566"/>
    <mergeCell ref="D567:E567"/>
    <mergeCell ref="D556:E556"/>
    <mergeCell ref="D557:E557"/>
    <mergeCell ref="D558:E558"/>
    <mergeCell ref="D559:E559"/>
    <mergeCell ref="D560:E560"/>
    <mergeCell ref="D561:E561"/>
    <mergeCell ref="D550:E550"/>
    <mergeCell ref="D551:E551"/>
    <mergeCell ref="D552:E552"/>
    <mergeCell ref="D553:E553"/>
    <mergeCell ref="D554:E554"/>
    <mergeCell ref="D555:E555"/>
    <mergeCell ref="D544:E544"/>
    <mergeCell ref="D545:E545"/>
    <mergeCell ref="D546:E546"/>
    <mergeCell ref="D547:E547"/>
    <mergeCell ref="D548:E548"/>
    <mergeCell ref="D549:E549"/>
    <mergeCell ref="D538:E538"/>
    <mergeCell ref="D539:E539"/>
    <mergeCell ref="D540:E540"/>
    <mergeCell ref="D541:E541"/>
    <mergeCell ref="D542:E542"/>
    <mergeCell ref="D543:E543"/>
    <mergeCell ref="D532:E532"/>
    <mergeCell ref="D533:E533"/>
    <mergeCell ref="D534:E534"/>
    <mergeCell ref="D535:E535"/>
    <mergeCell ref="D536:E536"/>
    <mergeCell ref="D537:E537"/>
    <mergeCell ref="D526:E526"/>
    <mergeCell ref="D527:E527"/>
    <mergeCell ref="D528:E528"/>
    <mergeCell ref="D529:E529"/>
    <mergeCell ref="D530:E530"/>
    <mergeCell ref="D531:E531"/>
    <mergeCell ref="D520:E520"/>
    <mergeCell ref="D521:E521"/>
    <mergeCell ref="D522:E522"/>
    <mergeCell ref="D523:E523"/>
    <mergeCell ref="D524:E524"/>
    <mergeCell ref="D525:E525"/>
    <mergeCell ref="D514:E514"/>
    <mergeCell ref="D515:E515"/>
    <mergeCell ref="D516:E516"/>
    <mergeCell ref="D517:E517"/>
    <mergeCell ref="D518:E518"/>
    <mergeCell ref="D519:E519"/>
    <mergeCell ref="D508:E508"/>
    <mergeCell ref="D509:E509"/>
    <mergeCell ref="D510:E510"/>
    <mergeCell ref="D511:E511"/>
    <mergeCell ref="D512:E512"/>
    <mergeCell ref="D513:E513"/>
    <mergeCell ref="D502:E502"/>
    <mergeCell ref="D503:E503"/>
    <mergeCell ref="D504:E504"/>
    <mergeCell ref="D505:E505"/>
    <mergeCell ref="D506:E506"/>
    <mergeCell ref="D507:E507"/>
    <mergeCell ref="D496:E496"/>
    <mergeCell ref="D497:E497"/>
    <mergeCell ref="D498:E498"/>
    <mergeCell ref="D499:E499"/>
    <mergeCell ref="D500:E500"/>
    <mergeCell ref="D501:E501"/>
    <mergeCell ref="D490:E490"/>
    <mergeCell ref="D491:E491"/>
    <mergeCell ref="D492:E492"/>
    <mergeCell ref="D493:E493"/>
    <mergeCell ref="D494:E494"/>
    <mergeCell ref="D495:E495"/>
    <mergeCell ref="D484:E484"/>
    <mergeCell ref="D485:E485"/>
    <mergeCell ref="D486:E486"/>
    <mergeCell ref="D487:E487"/>
    <mergeCell ref="D488:E488"/>
    <mergeCell ref="D489:E489"/>
    <mergeCell ref="D478:E478"/>
    <mergeCell ref="D479:E479"/>
    <mergeCell ref="D480:E480"/>
    <mergeCell ref="D481:E481"/>
    <mergeCell ref="D482:E482"/>
    <mergeCell ref="D483:E483"/>
    <mergeCell ref="D472:E472"/>
    <mergeCell ref="D473:E473"/>
    <mergeCell ref="D474:E474"/>
    <mergeCell ref="D475:E475"/>
    <mergeCell ref="D476:E476"/>
    <mergeCell ref="D477:E477"/>
    <mergeCell ref="D466:E466"/>
    <mergeCell ref="D467:E467"/>
    <mergeCell ref="D468:E468"/>
    <mergeCell ref="D469:E469"/>
    <mergeCell ref="D470:E470"/>
    <mergeCell ref="D471:E471"/>
    <mergeCell ref="D460:E460"/>
    <mergeCell ref="D461:E461"/>
    <mergeCell ref="D462:E462"/>
    <mergeCell ref="D463:E463"/>
    <mergeCell ref="D464:E464"/>
    <mergeCell ref="D465:E465"/>
    <mergeCell ref="D454:E454"/>
    <mergeCell ref="D455:E455"/>
    <mergeCell ref="D456:E456"/>
    <mergeCell ref="D457:E457"/>
    <mergeCell ref="D458:E458"/>
    <mergeCell ref="D459:E459"/>
    <mergeCell ref="D448:E448"/>
    <mergeCell ref="D449:E449"/>
    <mergeCell ref="D450:E450"/>
    <mergeCell ref="D451:E451"/>
    <mergeCell ref="D452:E452"/>
    <mergeCell ref="D453:E453"/>
    <mergeCell ref="D442:E442"/>
    <mergeCell ref="D443:E443"/>
    <mergeCell ref="D444:E444"/>
    <mergeCell ref="D445:E445"/>
    <mergeCell ref="D446:E446"/>
    <mergeCell ref="D447:E447"/>
    <mergeCell ref="D436:E436"/>
    <mergeCell ref="D437:E437"/>
    <mergeCell ref="D438:E438"/>
    <mergeCell ref="D439:E439"/>
    <mergeCell ref="D440:E440"/>
    <mergeCell ref="D441:E441"/>
    <mergeCell ref="D430:E430"/>
    <mergeCell ref="D431:E431"/>
    <mergeCell ref="D432:E432"/>
    <mergeCell ref="D433:E433"/>
    <mergeCell ref="D434:E434"/>
    <mergeCell ref="D435:E435"/>
    <mergeCell ref="D424:E424"/>
    <mergeCell ref="D425:E425"/>
    <mergeCell ref="D426:E426"/>
    <mergeCell ref="D427:E427"/>
    <mergeCell ref="D428:E428"/>
    <mergeCell ref="D429:E429"/>
    <mergeCell ref="D418:E418"/>
    <mergeCell ref="D419:E419"/>
    <mergeCell ref="D420:E420"/>
    <mergeCell ref="D421:E421"/>
    <mergeCell ref="D422:E422"/>
    <mergeCell ref="D423:E423"/>
    <mergeCell ref="D412:E412"/>
    <mergeCell ref="D413:E413"/>
    <mergeCell ref="D414:E414"/>
    <mergeCell ref="D415:E415"/>
    <mergeCell ref="D416:E416"/>
    <mergeCell ref="D417:E417"/>
    <mergeCell ref="D406:E406"/>
    <mergeCell ref="D407:E407"/>
    <mergeCell ref="D408:E408"/>
    <mergeCell ref="D409:E409"/>
    <mergeCell ref="D410:E410"/>
    <mergeCell ref="D411:E411"/>
    <mergeCell ref="D400:E400"/>
    <mergeCell ref="D401:E401"/>
    <mergeCell ref="D402:E402"/>
    <mergeCell ref="D403:E403"/>
    <mergeCell ref="D404:E404"/>
    <mergeCell ref="D405:E405"/>
    <mergeCell ref="D394:E394"/>
    <mergeCell ref="D395:E395"/>
    <mergeCell ref="D396:E396"/>
    <mergeCell ref="D397:E397"/>
    <mergeCell ref="D398:E398"/>
    <mergeCell ref="D399:E399"/>
    <mergeCell ref="D388:E388"/>
    <mergeCell ref="D389:E389"/>
    <mergeCell ref="D390:E390"/>
    <mergeCell ref="D391:E391"/>
    <mergeCell ref="D392:E392"/>
    <mergeCell ref="D393:E393"/>
    <mergeCell ref="D382:E382"/>
    <mergeCell ref="D383:E383"/>
    <mergeCell ref="D384:E384"/>
    <mergeCell ref="D385:E385"/>
    <mergeCell ref="D386:E386"/>
    <mergeCell ref="D387:E387"/>
    <mergeCell ref="D376:E376"/>
    <mergeCell ref="D377:E377"/>
    <mergeCell ref="D378:E378"/>
    <mergeCell ref="D379:E379"/>
    <mergeCell ref="D380:E380"/>
    <mergeCell ref="D381:E381"/>
    <mergeCell ref="D370:E370"/>
    <mergeCell ref="D371:E371"/>
    <mergeCell ref="D372:E372"/>
    <mergeCell ref="D373:E373"/>
    <mergeCell ref="D374:E374"/>
    <mergeCell ref="D375:E375"/>
    <mergeCell ref="D364:E364"/>
    <mergeCell ref="D365:E365"/>
    <mergeCell ref="D366:E366"/>
    <mergeCell ref="D367:E367"/>
    <mergeCell ref="D368:E368"/>
    <mergeCell ref="D369:E369"/>
    <mergeCell ref="D358:E358"/>
    <mergeCell ref="D359:E359"/>
    <mergeCell ref="D360:E360"/>
    <mergeCell ref="D361:E361"/>
    <mergeCell ref="D362:E362"/>
    <mergeCell ref="D363:E363"/>
    <mergeCell ref="D352:E352"/>
    <mergeCell ref="D353:E353"/>
    <mergeCell ref="D354:E354"/>
    <mergeCell ref="D355:E355"/>
    <mergeCell ref="D356:E356"/>
    <mergeCell ref="D357:E357"/>
    <mergeCell ref="D346:E346"/>
    <mergeCell ref="D347:E347"/>
    <mergeCell ref="D348:E348"/>
    <mergeCell ref="D349:E349"/>
    <mergeCell ref="D350:E350"/>
    <mergeCell ref="D351:E351"/>
    <mergeCell ref="D340:E340"/>
    <mergeCell ref="D341:E341"/>
    <mergeCell ref="D342:E342"/>
    <mergeCell ref="D343:E343"/>
    <mergeCell ref="D344:E344"/>
    <mergeCell ref="D345:E345"/>
    <mergeCell ref="D334:E334"/>
    <mergeCell ref="D335:E335"/>
    <mergeCell ref="D336:E336"/>
    <mergeCell ref="D337:E337"/>
    <mergeCell ref="D338:E338"/>
    <mergeCell ref="D339:E339"/>
    <mergeCell ref="D328:E328"/>
    <mergeCell ref="D329:E329"/>
    <mergeCell ref="D330:E330"/>
    <mergeCell ref="D331:E331"/>
    <mergeCell ref="D332:E332"/>
    <mergeCell ref="D333:E333"/>
    <mergeCell ref="D322:E322"/>
    <mergeCell ref="D323:E323"/>
    <mergeCell ref="D324:E324"/>
    <mergeCell ref="D325:E325"/>
    <mergeCell ref="D326:E326"/>
    <mergeCell ref="D327:E327"/>
    <mergeCell ref="D316:E316"/>
    <mergeCell ref="D317:E317"/>
    <mergeCell ref="D318:E318"/>
    <mergeCell ref="D319:E319"/>
    <mergeCell ref="D320:E320"/>
    <mergeCell ref="D321:E321"/>
    <mergeCell ref="D310:E310"/>
    <mergeCell ref="D311:E311"/>
    <mergeCell ref="D312:E312"/>
    <mergeCell ref="D313:E313"/>
    <mergeCell ref="D314:E314"/>
    <mergeCell ref="D315:E315"/>
    <mergeCell ref="D304:E304"/>
    <mergeCell ref="D305:E305"/>
    <mergeCell ref="D306:E306"/>
    <mergeCell ref="D307:E307"/>
    <mergeCell ref="D308:E308"/>
    <mergeCell ref="D309:E309"/>
    <mergeCell ref="D298:E298"/>
    <mergeCell ref="D299:E299"/>
    <mergeCell ref="D300:E300"/>
    <mergeCell ref="D301:E301"/>
    <mergeCell ref="D302:E302"/>
    <mergeCell ref="D303:E303"/>
    <mergeCell ref="D292:E292"/>
    <mergeCell ref="D293:E293"/>
    <mergeCell ref="D294:E294"/>
    <mergeCell ref="D295:E295"/>
    <mergeCell ref="D296:E296"/>
    <mergeCell ref="D297:E297"/>
    <mergeCell ref="D286:E286"/>
    <mergeCell ref="D287:E287"/>
    <mergeCell ref="D288:E288"/>
    <mergeCell ref="D289:E289"/>
    <mergeCell ref="D290:E290"/>
    <mergeCell ref="D291:E291"/>
    <mergeCell ref="D280:E280"/>
    <mergeCell ref="D281:E281"/>
    <mergeCell ref="D282:E282"/>
    <mergeCell ref="D283:E283"/>
    <mergeCell ref="D284:E284"/>
    <mergeCell ref="D285:E285"/>
    <mergeCell ref="D274:E274"/>
    <mergeCell ref="D275:E275"/>
    <mergeCell ref="D276:E276"/>
    <mergeCell ref="D277:E277"/>
    <mergeCell ref="D278:E278"/>
    <mergeCell ref="D279:E279"/>
    <mergeCell ref="D268:E268"/>
    <mergeCell ref="D269:E269"/>
    <mergeCell ref="D270:E270"/>
    <mergeCell ref="D271:E271"/>
    <mergeCell ref="D272:E272"/>
    <mergeCell ref="D273:E273"/>
    <mergeCell ref="D262:E262"/>
    <mergeCell ref="D263:E263"/>
    <mergeCell ref="D264:E264"/>
    <mergeCell ref="D265:E265"/>
    <mergeCell ref="D266:E266"/>
    <mergeCell ref="D267:E267"/>
    <mergeCell ref="D256:E256"/>
    <mergeCell ref="D257:E257"/>
    <mergeCell ref="D258:E258"/>
    <mergeCell ref="D259:E259"/>
    <mergeCell ref="D260:E260"/>
    <mergeCell ref="D261:E261"/>
    <mergeCell ref="D250:E250"/>
    <mergeCell ref="D251:E251"/>
    <mergeCell ref="D252:E252"/>
    <mergeCell ref="D253:E253"/>
    <mergeCell ref="D254:E254"/>
    <mergeCell ref="D255:E255"/>
    <mergeCell ref="D244:E244"/>
    <mergeCell ref="D245:E245"/>
    <mergeCell ref="D246:E246"/>
    <mergeCell ref="D247:E247"/>
    <mergeCell ref="D248:E248"/>
    <mergeCell ref="D249:E249"/>
    <mergeCell ref="D238:E238"/>
    <mergeCell ref="D239:E239"/>
    <mergeCell ref="D240:E240"/>
    <mergeCell ref="D241:E241"/>
    <mergeCell ref="D242:E242"/>
    <mergeCell ref="D243:E243"/>
    <mergeCell ref="D232:E232"/>
    <mergeCell ref="D233:E233"/>
    <mergeCell ref="D234:E234"/>
    <mergeCell ref="D235:E235"/>
    <mergeCell ref="D236:E236"/>
    <mergeCell ref="D237:E237"/>
    <mergeCell ref="D226:E226"/>
    <mergeCell ref="D227:E227"/>
    <mergeCell ref="D228:E228"/>
    <mergeCell ref="D229:E229"/>
    <mergeCell ref="D230:E230"/>
    <mergeCell ref="D231:E231"/>
    <mergeCell ref="D220:E220"/>
    <mergeCell ref="D221:E221"/>
    <mergeCell ref="D222:E222"/>
    <mergeCell ref="D223:E223"/>
    <mergeCell ref="D224:E224"/>
    <mergeCell ref="D225:E225"/>
    <mergeCell ref="D214:E214"/>
    <mergeCell ref="D215:E215"/>
    <mergeCell ref="D216:E216"/>
    <mergeCell ref="D217:E217"/>
    <mergeCell ref="D218:E218"/>
    <mergeCell ref="D219:E219"/>
    <mergeCell ref="D208:E208"/>
    <mergeCell ref="D209:E209"/>
    <mergeCell ref="D210:E210"/>
    <mergeCell ref="D211:E211"/>
    <mergeCell ref="D212:E212"/>
    <mergeCell ref="D213:E213"/>
    <mergeCell ref="D202:E202"/>
    <mergeCell ref="D203:E203"/>
    <mergeCell ref="D204:E204"/>
    <mergeCell ref="D205:E205"/>
    <mergeCell ref="D206:E206"/>
    <mergeCell ref="D207:E207"/>
    <mergeCell ref="D196:E196"/>
    <mergeCell ref="D197:E197"/>
    <mergeCell ref="D198:E198"/>
    <mergeCell ref="D199:E199"/>
    <mergeCell ref="D200:E200"/>
    <mergeCell ref="D201:E201"/>
    <mergeCell ref="D190:E190"/>
    <mergeCell ref="D191:E191"/>
    <mergeCell ref="D192:E192"/>
    <mergeCell ref="D193:E193"/>
    <mergeCell ref="D194:E194"/>
    <mergeCell ref="D195:E195"/>
    <mergeCell ref="D184:E184"/>
    <mergeCell ref="D185:E185"/>
    <mergeCell ref="D186:E186"/>
    <mergeCell ref="D187:E187"/>
    <mergeCell ref="D188:E188"/>
    <mergeCell ref="D189:E189"/>
    <mergeCell ref="D178:E178"/>
    <mergeCell ref="D179:E179"/>
    <mergeCell ref="D180:E180"/>
    <mergeCell ref="D181:E181"/>
    <mergeCell ref="D182:E182"/>
    <mergeCell ref="D183:E183"/>
    <mergeCell ref="D172:E172"/>
    <mergeCell ref="D173:E173"/>
    <mergeCell ref="D174:E174"/>
    <mergeCell ref="D175:E175"/>
    <mergeCell ref="D176:E176"/>
    <mergeCell ref="D177:E177"/>
    <mergeCell ref="D166:E166"/>
    <mergeCell ref="D167:E167"/>
    <mergeCell ref="D168:E168"/>
    <mergeCell ref="D169:E169"/>
    <mergeCell ref="D170:E170"/>
    <mergeCell ref="D171:E171"/>
    <mergeCell ref="D160:E160"/>
    <mergeCell ref="D161:E161"/>
    <mergeCell ref="D162:E162"/>
    <mergeCell ref="D163:E163"/>
    <mergeCell ref="D164:E164"/>
    <mergeCell ref="D165:E165"/>
    <mergeCell ref="D154:E154"/>
    <mergeCell ref="D155:E155"/>
    <mergeCell ref="D156:E156"/>
    <mergeCell ref="D157:E157"/>
    <mergeCell ref="D158:E158"/>
    <mergeCell ref="D159:E159"/>
    <mergeCell ref="D148:E148"/>
    <mergeCell ref="D149:E149"/>
    <mergeCell ref="D150:E150"/>
    <mergeCell ref="D151:E151"/>
    <mergeCell ref="D152:E152"/>
    <mergeCell ref="D153:E153"/>
    <mergeCell ref="D142:E142"/>
    <mergeCell ref="D143:E143"/>
    <mergeCell ref="D144:E144"/>
    <mergeCell ref="D145:E145"/>
    <mergeCell ref="D146:E146"/>
    <mergeCell ref="D147:E147"/>
    <mergeCell ref="D136:E136"/>
    <mergeCell ref="D137:E137"/>
    <mergeCell ref="D138:E138"/>
    <mergeCell ref="D139:E139"/>
    <mergeCell ref="D140:E140"/>
    <mergeCell ref="D141:E141"/>
    <mergeCell ref="D130:E130"/>
    <mergeCell ref="D131:E131"/>
    <mergeCell ref="D132:E132"/>
    <mergeCell ref="D133:E133"/>
    <mergeCell ref="D134:E134"/>
    <mergeCell ref="D135:E135"/>
    <mergeCell ref="D124:E124"/>
    <mergeCell ref="D125:E125"/>
    <mergeCell ref="D126:E126"/>
    <mergeCell ref="D127:E127"/>
    <mergeCell ref="D128:E128"/>
    <mergeCell ref="D129:E129"/>
    <mergeCell ref="D118:E118"/>
    <mergeCell ref="D119:E119"/>
    <mergeCell ref="D120:E120"/>
    <mergeCell ref="D121:E121"/>
    <mergeCell ref="D122:E122"/>
    <mergeCell ref="D123:E123"/>
    <mergeCell ref="D112:E112"/>
    <mergeCell ref="D113:E113"/>
    <mergeCell ref="D114:E114"/>
    <mergeCell ref="D115:E115"/>
    <mergeCell ref="D116:E116"/>
    <mergeCell ref="D117:E117"/>
    <mergeCell ref="D106:E106"/>
    <mergeCell ref="D107:E107"/>
    <mergeCell ref="D108:E108"/>
    <mergeCell ref="D109:E109"/>
    <mergeCell ref="D110:E110"/>
    <mergeCell ref="D111:E111"/>
    <mergeCell ref="D100:E100"/>
    <mergeCell ref="D101:E101"/>
    <mergeCell ref="D102:E102"/>
    <mergeCell ref="D103:E103"/>
    <mergeCell ref="D104:E104"/>
    <mergeCell ref="D105:E105"/>
    <mergeCell ref="D94:E94"/>
    <mergeCell ref="D95:E95"/>
    <mergeCell ref="D96:E96"/>
    <mergeCell ref="D97:E97"/>
    <mergeCell ref="D98:E98"/>
    <mergeCell ref="D99:E99"/>
    <mergeCell ref="D88:E88"/>
    <mergeCell ref="D89:E89"/>
    <mergeCell ref="D90:E90"/>
    <mergeCell ref="D91:E91"/>
    <mergeCell ref="D92:E92"/>
    <mergeCell ref="D93:E93"/>
    <mergeCell ref="D82:E82"/>
    <mergeCell ref="D83:E83"/>
    <mergeCell ref="D84:E84"/>
    <mergeCell ref="D85:E85"/>
    <mergeCell ref="D86:E86"/>
    <mergeCell ref="D87:E87"/>
    <mergeCell ref="D76:E76"/>
    <mergeCell ref="D77:E77"/>
    <mergeCell ref="D78:E78"/>
    <mergeCell ref="D79:E79"/>
    <mergeCell ref="D80:E80"/>
    <mergeCell ref="D81:E81"/>
    <mergeCell ref="D70:E70"/>
    <mergeCell ref="D71:E71"/>
    <mergeCell ref="D72:E72"/>
    <mergeCell ref="D73:E73"/>
    <mergeCell ref="D74:E74"/>
    <mergeCell ref="D75:E75"/>
    <mergeCell ref="D64:E64"/>
    <mergeCell ref="D65:E65"/>
    <mergeCell ref="D66:E66"/>
    <mergeCell ref="D67:E67"/>
    <mergeCell ref="D68:E68"/>
    <mergeCell ref="D69:E69"/>
    <mergeCell ref="D58:E58"/>
    <mergeCell ref="D59:E59"/>
    <mergeCell ref="D60:E60"/>
    <mergeCell ref="D61:E61"/>
    <mergeCell ref="D62:E62"/>
    <mergeCell ref="D63:E63"/>
    <mergeCell ref="D52:E52"/>
    <mergeCell ref="D53:E53"/>
    <mergeCell ref="D54:E54"/>
    <mergeCell ref="D55:E55"/>
    <mergeCell ref="D56:E56"/>
    <mergeCell ref="D57:E57"/>
    <mergeCell ref="D46:E46"/>
    <mergeCell ref="D47:E47"/>
    <mergeCell ref="D48:E48"/>
    <mergeCell ref="D49:E49"/>
    <mergeCell ref="D50:E50"/>
    <mergeCell ref="D51:E51"/>
    <mergeCell ref="D40:E40"/>
    <mergeCell ref="D41:E41"/>
    <mergeCell ref="D42:E42"/>
    <mergeCell ref="D43:E43"/>
    <mergeCell ref="D44:E44"/>
    <mergeCell ref="D45:E45"/>
    <mergeCell ref="D34:E34"/>
    <mergeCell ref="D35:E35"/>
    <mergeCell ref="D36:E36"/>
    <mergeCell ref="D37:E37"/>
    <mergeCell ref="D38:E38"/>
    <mergeCell ref="D39:E39"/>
    <mergeCell ref="D28:E28"/>
    <mergeCell ref="D29:E29"/>
    <mergeCell ref="D30:E30"/>
    <mergeCell ref="D31:E31"/>
    <mergeCell ref="D32:E32"/>
    <mergeCell ref="D33:E33"/>
    <mergeCell ref="D22:E22"/>
    <mergeCell ref="D23:E23"/>
    <mergeCell ref="D24:E24"/>
    <mergeCell ref="D25:E25"/>
    <mergeCell ref="D26:E26"/>
    <mergeCell ref="D27:E27"/>
    <mergeCell ref="D16:E16"/>
    <mergeCell ref="D17:E17"/>
    <mergeCell ref="D18:E18"/>
    <mergeCell ref="D19:E19"/>
    <mergeCell ref="D20:E20"/>
    <mergeCell ref="D21:E21"/>
    <mergeCell ref="D10:E10"/>
    <mergeCell ref="D11:E11"/>
    <mergeCell ref="D12:E12"/>
    <mergeCell ref="D13:E13"/>
    <mergeCell ref="D14:E14"/>
    <mergeCell ref="D15:E15"/>
    <mergeCell ref="A8:C9"/>
    <mergeCell ref="D8:E9"/>
    <mergeCell ref="F8:G9"/>
    <mergeCell ref="H8:H9"/>
    <mergeCell ref="I8:I9"/>
    <mergeCell ref="J8:K9"/>
    <mergeCell ref="A6:C7"/>
    <mergeCell ref="D6:E7"/>
    <mergeCell ref="F6:G7"/>
    <mergeCell ref="H6:H7"/>
    <mergeCell ref="I6:I7"/>
    <mergeCell ref="J6:K7"/>
    <mergeCell ref="A4:C5"/>
    <mergeCell ref="D4:E5"/>
    <mergeCell ref="F4:G5"/>
    <mergeCell ref="H4:H5"/>
    <mergeCell ref="I4:I5"/>
    <mergeCell ref="J4:K5"/>
    <mergeCell ref="A1:K1"/>
    <mergeCell ref="A2:C3"/>
    <mergeCell ref="D2:E3"/>
    <mergeCell ref="F2:G3"/>
    <mergeCell ref="H2:H3"/>
    <mergeCell ref="I2:I3"/>
    <mergeCell ref="J2:K3"/>
  </mergeCells>
  <pageMargins left="0.39400000000000002" right="0.39400000000000002" top="0.59099999999999997" bottom="0.59099999999999997" header="0" footer="0"/>
  <pageSetup paperSize="0" firstPageNumber="0" fitToHeight="0" orientation="landscape" useFirstPageNumber="1" horizontalDpi="0" verticalDpi="0" copies="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
  <sheetViews>
    <sheetView zoomScaleNormal="100" workbookViewId="0">
      <pane ySplit="6" topLeftCell="A7" activePane="bottomLeft" state="frozen"/>
      <selection pane="bottomLeft"/>
    </sheetView>
  </sheetViews>
  <sheetFormatPr defaultRowHeight="15"/>
  <cols>
    <col min="1" max="1" width="5" style="66" customWidth="1"/>
    <col min="2" max="2" width="11.5703125" style="66" customWidth="1"/>
    <col min="3" max="3" width="17.7109375" style="66" customWidth="1"/>
    <col min="4" max="4" width="65.7109375" style="66" customWidth="1"/>
    <col min="5" max="5" width="5" style="66" customWidth="1"/>
    <col min="6" max="6" width="5.7109375" style="66" customWidth="1"/>
    <col min="7" max="7" width="10" style="66" customWidth="1"/>
    <col min="8" max="8" width="10.5703125" style="68" customWidth="1"/>
    <col min="9" max="9" width="11.140625" style="66" customWidth="1"/>
    <col min="10" max="10" width="9.5703125" style="68" customWidth="1"/>
    <col min="11" max="11" width="9.28515625" style="66" customWidth="1"/>
    <col min="12" max="16384" width="9.140625" style="66"/>
  </cols>
  <sheetData>
    <row r="1" spans="1:11">
      <c r="C1" s="67" t="s">
        <v>1134</v>
      </c>
    </row>
    <row r="2" spans="1:11" ht="15" customHeight="1">
      <c r="C2" s="67" t="s">
        <v>1135</v>
      </c>
      <c r="D2" s="312" t="s">
        <v>1136</v>
      </c>
      <c r="E2" s="313"/>
      <c r="F2" s="313"/>
      <c r="G2" s="313"/>
      <c r="H2" s="313"/>
      <c r="I2" s="313"/>
      <c r="J2" s="313"/>
      <c r="K2" s="313"/>
    </row>
    <row r="3" spans="1:11" ht="15" customHeight="1">
      <c r="C3" s="67" t="s">
        <v>1137</v>
      </c>
      <c r="D3" s="312" t="s">
        <v>1138</v>
      </c>
      <c r="E3" s="313"/>
      <c r="F3" s="313"/>
      <c r="G3" s="313"/>
      <c r="H3" s="313"/>
      <c r="I3" s="313"/>
      <c r="J3" s="313"/>
      <c r="K3" s="313"/>
    </row>
    <row r="4" spans="1:11" ht="15" customHeight="1">
      <c r="C4" s="67" t="s">
        <v>1139</v>
      </c>
      <c r="D4" s="71" t="s">
        <v>1140</v>
      </c>
      <c r="E4" s="70"/>
      <c r="F4" s="70"/>
      <c r="G4" s="70"/>
      <c r="H4" s="70"/>
      <c r="I4" s="70"/>
      <c r="J4" s="70"/>
      <c r="K4" s="70"/>
    </row>
    <row r="5" spans="1:11" ht="15.75" thickBot="1">
      <c r="D5" s="69"/>
    </row>
    <row r="6" spans="1:11" ht="30.6" customHeight="1" thickBot="1">
      <c r="A6" s="72" t="s">
        <v>1141</v>
      </c>
      <c r="B6" s="72" t="s">
        <v>1142</v>
      </c>
      <c r="C6" s="73" t="s">
        <v>1143</v>
      </c>
      <c r="D6" s="73" t="s">
        <v>1133</v>
      </c>
      <c r="E6" s="74" t="s">
        <v>1144</v>
      </c>
      <c r="F6" s="74" t="s">
        <v>1145</v>
      </c>
      <c r="G6" s="75" t="s">
        <v>1146</v>
      </c>
      <c r="H6" s="76" t="s">
        <v>1147</v>
      </c>
      <c r="I6" s="77" t="s">
        <v>1148</v>
      </c>
      <c r="J6" s="78" t="s">
        <v>1149</v>
      </c>
      <c r="K6" s="79" t="s">
        <v>1150</v>
      </c>
    </row>
    <row r="7" spans="1:11" ht="15" customHeight="1" thickBot="1">
      <c r="A7" s="80">
        <v>1</v>
      </c>
      <c r="B7" s="81"/>
      <c r="C7" s="82" t="s">
        <v>1151</v>
      </c>
      <c r="D7" s="83"/>
      <c r="E7" s="83"/>
      <c r="F7" s="83"/>
      <c r="G7" s="83"/>
      <c r="H7" s="84"/>
      <c r="I7" s="83"/>
      <c r="J7" s="84"/>
      <c r="K7" s="85"/>
    </row>
    <row r="8" spans="1:11" ht="15" customHeight="1">
      <c r="A8" s="86">
        <v>2</v>
      </c>
      <c r="B8" s="87"/>
      <c r="C8" s="88"/>
      <c r="D8" s="88" t="s">
        <v>1152</v>
      </c>
      <c r="E8" s="89"/>
      <c r="F8" s="89"/>
      <c r="G8" s="90"/>
      <c r="H8" s="91"/>
      <c r="I8" s="89"/>
      <c r="J8" s="92"/>
      <c r="K8" s="93"/>
    </row>
    <row r="9" spans="1:11" ht="30" customHeight="1">
      <c r="A9" s="94">
        <v>3</v>
      </c>
      <c r="B9" s="95" t="s">
        <v>1153</v>
      </c>
      <c r="C9" s="96"/>
      <c r="D9" s="97" t="s">
        <v>1154</v>
      </c>
      <c r="E9" s="98" t="s">
        <v>1155</v>
      </c>
      <c r="F9" s="99">
        <v>5</v>
      </c>
      <c r="G9" s="100"/>
      <c r="H9" s="101"/>
      <c r="I9" s="99">
        <v>0</v>
      </c>
      <c r="J9" s="102">
        <f>PRODUCT(F9,I9)</f>
        <v>0</v>
      </c>
      <c r="K9" s="93" t="s">
        <v>1156</v>
      </c>
    </row>
    <row r="10" spans="1:11" ht="15" customHeight="1">
      <c r="A10" s="94">
        <v>4</v>
      </c>
      <c r="B10" s="95" t="s">
        <v>1157</v>
      </c>
      <c r="C10" s="96"/>
      <c r="D10" s="97" t="s">
        <v>1154</v>
      </c>
      <c r="E10" s="98" t="s">
        <v>1155</v>
      </c>
      <c r="F10" s="99">
        <v>2</v>
      </c>
      <c r="G10" s="100">
        <v>0</v>
      </c>
      <c r="H10" s="101">
        <f>PRODUCT(F10,G10)</f>
        <v>0</v>
      </c>
      <c r="I10" s="99">
        <v>0</v>
      </c>
      <c r="J10" s="102">
        <f>PRODUCT(F10,I10)</f>
        <v>0</v>
      </c>
      <c r="K10" s="93" t="s">
        <v>1158</v>
      </c>
    </row>
    <row r="11" spans="1:11" ht="15" customHeight="1">
      <c r="A11" s="94">
        <v>5</v>
      </c>
      <c r="B11" s="95" t="s">
        <v>1159</v>
      </c>
      <c r="C11" s="96"/>
      <c r="D11" s="97" t="s">
        <v>1160</v>
      </c>
      <c r="E11" s="98" t="s">
        <v>1155</v>
      </c>
      <c r="F11" s="99">
        <v>1</v>
      </c>
      <c r="G11" s="100"/>
      <c r="H11" s="101"/>
      <c r="I11" s="99">
        <v>0</v>
      </c>
      <c r="J11" s="102">
        <f t="shared" ref="J11:J19" si="0">PRODUCT(F11,I11)</f>
        <v>0</v>
      </c>
      <c r="K11" s="93" t="s">
        <v>1156</v>
      </c>
    </row>
    <row r="12" spans="1:11" ht="15" customHeight="1">
      <c r="A12" s="94">
        <v>6</v>
      </c>
      <c r="B12" s="95" t="s">
        <v>1161</v>
      </c>
      <c r="C12" s="96"/>
      <c r="D12" s="103" t="s">
        <v>1162</v>
      </c>
      <c r="E12" s="98" t="s">
        <v>1155</v>
      </c>
      <c r="F12" s="99">
        <v>1</v>
      </c>
      <c r="G12" s="100"/>
      <c r="H12" s="101"/>
      <c r="I12" s="99">
        <v>0</v>
      </c>
      <c r="J12" s="102">
        <f t="shared" si="0"/>
        <v>0</v>
      </c>
      <c r="K12" s="93" t="s">
        <v>1156</v>
      </c>
    </row>
    <row r="13" spans="1:11" ht="15" customHeight="1">
      <c r="A13" s="94">
        <v>7</v>
      </c>
      <c r="B13" s="95" t="s">
        <v>1163</v>
      </c>
      <c r="C13" s="96"/>
      <c r="D13" s="103" t="s">
        <v>1164</v>
      </c>
      <c r="E13" s="98" t="s">
        <v>1155</v>
      </c>
      <c r="F13" s="99">
        <v>2</v>
      </c>
      <c r="G13" s="100"/>
      <c r="H13" s="101"/>
      <c r="I13" s="99">
        <v>0</v>
      </c>
      <c r="J13" s="102">
        <f t="shared" si="0"/>
        <v>0</v>
      </c>
      <c r="K13" s="93" t="s">
        <v>1156</v>
      </c>
    </row>
    <row r="14" spans="1:11" ht="15" customHeight="1">
      <c r="A14" s="94">
        <v>8</v>
      </c>
      <c r="B14" s="95" t="s">
        <v>1165</v>
      </c>
      <c r="C14" s="96"/>
      <c r="D14" s="104" t="s">
        <v>1166</v>
      </c>
      <c r="E14" s="98" t="s">
        <v>1155</v>
      </c>
      <c r="F14" s="99">
        <v>2</v>
      </c>
      <c r="G14" s="100"/>
      <c r="H14" s="101"/>
      <c r="I14" s="99">
        <v>0</v>
      </c>
      <c r="J14" s="102">
        <f t="shared" si="0"/>
        <v>0</v>
      </c>
      <c r="K14" s="93" t="s">
        <v>1156</v>
      </c>
    </row>
    <row r="15" spans="1:11" ht="15" customHeight="1">
      <c r="A15" s="94">
        <v>9</v>
      </c>
      <c r="B15" s="95" t="s">
        <v>1167</v>
      </c>
      <c r="C15" s="96"/>
      <c r="D15" s="104" t="s">
        <v>1168</v>
      </c>
      <c r="E15" s="98" t="s">
        <v>1155</v>
      </c>
      <c r="F15" s="99">
        <v>1</v>
      </c>
      <c r="G15" s="100"/>
      <c r="H15" s="101"/>
      <c r="I15" s="99">
        <v>0</v>
      </c>
      <c r="J15" s="102">
        <f t="shared" si="0"/>
        <v>0</v>
      </c>
      <c r="K15" s="93" t="s">
        <v>1156</v>
      </c>
    </row>
    <row r="16" spans="1:11" ht="15" customHeight="1">
      <c r="A16" s="94">
        <v>10</v>
      </c>
      <c r="B16" s="95" t="s">
        <v>1169</v>
      </c>
      <c r="C16" s="96"/>
      <c r="D16" s="95" t="s">
        <v>1170</v>
      </c>
      <c r="E16" s="98" t="s">
        <v>1155</v>
      </c>
      <c r="F16" s="99">
        <v>1</v>
      </c>
      <c r="G16" s="100"/>
      <c r="H16" s="101"/>
      <c r="I16" s="99">
        <v>0</v>
      </c>
      <c r="J16" s="102">
        <f t="shared" si="0"/>
        <v>0</v>
      </c>
      <c r="K16" s="93" t="s">
        <v>1156</v>
      </c>
    </row>
    <row r="17" spans="1:11" ht="15" customHeight="1">
      <c r="A17" s="94">
        <v>11</v>
      </c>
      <c r="B17" s="95" t="s">
        <v>1171</v>
      </c>
      <c r="C17" s="96"/>
      <c r="D17" s="95" t="s">
        <v>1172</v>
      </c>
      <c r="E17" s="98" t="s">
        <v>1155</v>
      </c>
      <c r="F17" s="99">
        <v>1</v>
      </c>
      <c r="G17" s="100"/>
      <c r="H17" s="101"/>
      <c r="I17" s="99">
        <v>0</v>
      </c>
      <c r="J17" s="102">
        <f t="shared" si="0"/>
        <v>0</v>
      </c>
      <c r="K17" s="93" t="s">
        <v>1156</v>
      </c>
    </row>
    <row r="18" spans="1:11" ht="15" customHeight="1">
      <c r="A18" s="94">
        <v>12</v>
      </c>
      <c r="B18" s="95" t="s">
        <v>1173</v>
      </c>
      <c r="C18" s="96"/>
      <c r="D18" s="95" t="s">
        <v>1172</v>
      </c>
      <c r="E18" s="98" t="s">
        <v>1155</v>
      </c>
      <c r="F18" s="99">
        <v>1</v>
      </c>
      <c r="G18" s="100"/>
      <c r="H18" s="101"/>
      <c r="I18" s="99">
        <v>0</v>
      </c>
      <c r="J18" s="102">
        <f t="shared" si="0"/>
        <v>0</v>
      </c>
      <c r="K18" s="93" t="s">
        <v>1156</v>
      </c>
    </row>
    <row r="19" spans="1:11" ht="15" customHeight="1">
      <c r="A19" s="94">
        <v>13</v>
      </c>
      <c r="B19" s="95" t="s">
        <v>1174</v>
      </c>
      <c r="C19" s="96"/>
      <c r="D19" s="97" t="s">
        <v>1175</v>
      </c>
      <c r="E19" s="105" t="s">
        <v>1155</v>
      </c>
      <c r="F19" s="105">
        <v>2</v>
      </c>
      <c r="G19" s="106"/>
      <c r="H19" s="101"/>
      <c r="I19" s="99">
        <v>0</v>
      </c>
      <c r="J19" s="102">
        <f t="shared" si="0"/>
        <v>0</v>
      </c>
      <c r="K19" s="93" t="s">
        <v>1156</v>
      </c>
    </row>
    <row r="20" spans="1:11" ht="15" customHeight="1">
      <c r="A20" s="94">
        <v>14</v>
      </c>
      <c r="B20" s="95"/>
      <c r="C20" s="96"/>
      <c r="D20" s="97" t="s">
        <v>1176</v>
      </c>
      <c r="E20" s="105" t="s">
        <v>1155</v>
      </c>
      <c r="F20" s="105">
        <v>2</v>
      </c>
      <c r="G20" s="106"/>
      <c r="H20" s="101"/>
      <c r="I20" s="105"/>
      <c r="J20" s="102"/>
      <c r="K20" s="107"/>
    </row>
    <row r="21" spans="1:11" ht="15" customHeight="1">
      <c r="A21" s="94">
        <v>15</v>
      </c>
      <c r="B21" s="95" t="s">
        <v>1177</v>
      </c>
      <c r="C21" s="96"/>
      <c r="D21" s="97" t="s">
        <v>1178</v>
      </c>
      <c r="E21" s="105" t="s">
        <v>1155</v>
      </c>
      <c r="F21" s="105">
        <v>4</v>
      </c>
      <c r="G21" s="314" t="s">
        <v>1179</v>
      </c>
      <c r="H21" s="101"/>
      <c r="I21" s="99">
        <v>0</v>
      </c>
      <c r="J21" s="102">
        <f t="shared" ref="J21:J27" si="1">PRODUCT(F21,I21)</f>
        <v>0</v>
      </c>
      <c r="K21" s="93" t="s">
        <v>1156</v>
      </c>
    </row>
    <row r="22" spans="1:11" ht="15" customHeight="1">
      <c r="A22" s="94">
        <v>16</v>
      </c>
      <c r="B22" s="95" t="s">
        <v>1180</v>
      </c>
      <c r="C22" s="96"/>
      <c r="D22" s="96" t="s">
        <v>1181</v>
      </c>
      <c r="E22" s="98" t="s">
        <v>1155</v>
      </c>
      <c r="F22" s="99">
        <v>5</v>
      </c>
      <c r="G22" s="315"/>
      <c r="H22" s="101"/>
      <c r="I22" s="99">
        <v>0</v>
      </c>
      <c r="J22" s="102">
        <f t="shared" si="1"/>
        <v>0</v>
      </c>
      <c r="K22" s="93" t="s">
        <v>1158</v>
      </c>
    </row>
    <row r="23" spans="1:11" ht="15" customHeight="1">
      <c r="A23" s="94">
        <v>17</v>
      </c>
      <c r="B23" s="95" t="s">
        <v>1182</v>
      </c>
      <c r="C23" s="96"/>
      <c r="D23" s="96" t="s">
        <v>1181</v>
      </c>
      <c r="E23" s="98" t="s">
        <v>1155</v>
      </c>
      <c r="F23" s="99">
        <v>5</v>
      </c>
      <c r="G23" s="315"/>
      <c r="H23" s="101"/>
      <c r="I23" s="99">
        <v>0</v>
      </c>
      <c r="J23" s="102">
        <f t="shared" si="1"/>
        <v>0</v>
      </c>
      <c r="K23" s="93" t="s">
        <v>1158</v>
      </c>
    </row>
    <row r="24" spans="1:11" ht="15" customHeight="1">
      <c r="A24" s="94">
        <v>18</v>
      </c>
      <c r="B24" s="95" t="s">
        <v>1183</v>
      </c>
      <c r="C24" s="96"/>
      <c r="D24" s="95" t="s">
        <v>1184</v>
      </c>
      <c r="E24" s="98" t="s">
        <v>1155</v>
      </c>
      <c r="F24" s="99">
        <v>3</v>
      </c>
      <c r="G24" s="315"/>
      <c r="H24" s="101"/>
      <c r="I24" s="99">
        <v>0</v>
      </c>
      <c r="J24" s="102">
        <f t="shared" si="1"/>
        <v>0</v>
      </c>
      <c r="K24" s="93" t="s">
        <v>1158</v>
      </c>
    </row>
    <row r="25" spans="1:11" ht="15" customHeight="1">
      <c r="A25" s="94">
        <v>19</v>
      </c>
      <c r="B25" s="95" t="s">
        <v>1185</v>
      </c>
      <c r="C25" s="96"/>
      <c r="D25" s="95" t="s">
        <v>1186</v>
      </c>
      <c r="E25" s="98"/>
      <c r="F25" s="99">
        <v>3</v>
      </c>
      <c r="G25" s="315"/>
      <c r="H25" s="101"/>
      <c r="I25" s="99"/>
      <c r="J25" s="102"/>
      <c r="K25" s="93" t="s">
        <v>1158</v>
      </c>
    </row>
    <row r="26" spans="1:11" ht="15" customHeight="1">
      <c r="A26" s="94">
        <v>20</v>
      </c>
      <c r="B26" s="95" t="s">
        <v>1185</v>
      </c>
      <c r="C26" s="96"/>
      <c r="D26" s="95" t="s">
        <v>1187</v>
      </c>
      <c r="E26" s="98" t="s">
        <v>1155</v>
      </c>
      <c r="F26" s="99">
        <v>3</v>
      </c>
      <c r="G26" s="315"/>
      <c r="H26" s="101"/>
      <c r="I26" s="99">
        <v>0</v>
      </c>
      <c r="J26" s="102">
        <f t="shared" si="1"/>
        <v>0</v>
      </c>
      <c r="K26" s="93" t="s">
        <v>1158</v>
      </c>
    </row>
    <row r="27" spans="1:11" ht="15" customHeight="1">
      <c r="A27" s="94">
        <v>21</v>
      </c>
      <c r="B27" s="95"/>
      <c r="C27" s="96"/>
      <c r="D27" s="103" t="s">
        <v>1188</v>
      </c>
      <c r="E27" s="105" t="s">
        <v>1189</v>
      </c>
      <c r="F27" s="103">
        <v>12</v>
      </c>
      <c r="G27" s="100"/>
      <c r="H27" s="101"/>
      <c r="I27" s="99">
        <v>0</v>
      </c>
      <c r="J27" s="102">
        <f t="shared" si="1"/>
        <v>0</v>
      </c>
      <c r="K27" s="93" t="s">
        <v>1158</v>
      </c>
    </row>
    <row r="28" spans="1:11" ht="15" customHeight="1">
      <c r="A28" s="94">
        <v>22</v>
      </c>
      <c r="B28" s="95"/>
      <c r="C28" s="96"/>
      <c r="D28" s="103"/>
      <c r="E28" s="98"/>
      <c r="F28" s="99"/>
      <c r="G28" s="100"/>
      <c r="H28" s="101"/>
      <c r="I28" s="99"/>
      <c r="J28" s="102"/>
      <c r="K28" s="93"/>
    </row>
    <row r="29" spans="1:11" ht="15" customHeight="1">
      <c r="A29" s="94">
        <v>23</v>
      </c>
      <c r="B29" s="95"/>
      <c r="C29" s="98"/>
      <c r="D29" s="108" t="s">
        <v>1190</v>
      </c>
      <c r="E29" s="98"/>
      <c r="F29" s="99"/>
      <c r="G29" s="100"/>
      <c r="H29" s="101"/>
      <c r="I29" s="99"/>
      <c r="J29" s="102"/>
      <c r="K29" s="93" t="s">
        <v>1156</v>
      </c>
    </row>
    <row r="30" spans="1:11" ht="15" customHeight="1">
      <c r="A30" s="94">
        <v>24</v>
      </c>
      <c r="B30" s="97" t="s">
        <v>1191</v>
      </c>
      <c r="C30" s="96"/>
      <c r="D30" s="103" t="s">
        <v>1192</v>
      </c>
      <c r="E30" s="99" t="s">
        <v>1155</v>
      </c>
      <c r="F30" s="99">
        <v>1</v>
      </c>
      <c r="G30" s="316" t="s">
        <v>1193</v>
      </c>
      <c r="H30" s="101"/>
      <c r="I30" s="319" t="s">
        <v>1194</v>
      </c>
      <c r="J30" s="102"/>
      <c r="K30" s="93" t="s">
        <v>1156</v>
      </c>
    </row>
    <row r="31" spans="1:11" ht="15" customHeight="1">
      <c r="A31" s="94">
        <v>25</v>
      </c>
      <c r="B31" s="97" t="s">
        <v>1195</v>
      </c>
      <c r="C31" s="96"/>
      <c r="D31" s="103" t="s">
        <v>1196</v>
      </c>
      <c r="E31" s="99" t="s">
        <v>1155</v>
      </c>
      <c r="F31" s="99">
        <v>1</v>
      </c>
      <c r="G31" s="317"/>
      <c r="H31" s="101"/>
      <c r="I31" s="320"/>
      <c r="J31" s="102"/>
      <c r="K31" s="93" t="s">
        <v>1156</v>
      </c>
    </row>
    <row r="32" spans="1:11" ht="15" customHeight="1">
      <c r="A32" s="94">
        <v>26</v>
      </c>
      <c r="B32" s="97" t="s">
        <v>1197</v>
      </c>
      <c r="C32" s="96"/>
      <c r="D32" s="103" t="s">
        <v>1198</v>
      </c>
      <c r="E32" s="99" t="s">
        <v>1155</v>
      </c>
      <c r="F32" s="99">
        <v>1</v>
      </c>
      <c r="G32" s="317"/>
      <c r="H32" s="101"/>
      <c r="I32" s="320"/>
      <c r="J32" s="102"/>
      <c r="K32" s="93" t="s">
        <v>1156</v>
      </c>
    </row>
    <row r="33" spans="1:11" ht="15" customHeight="1">
      <c r="A33" s="94">
        <v>27</v>
      </c>
      <c r="B33" s="97" t="s">
        <v>1199</v>
      </c>
      <c r="C33" s="96"/>
      <c r="D33" s="103" t="s">
        <v>1200</v>
      </c>
      <c r="E33" s="99" t="s">
        <v>1155</v>
      </c>
      <c r="F33" s="99">
        <v>3</v>
      </c>
      <c r="G33" s="317"/>
      <c r="H33" s="101"/>
      <c r="I33" s="320"/>
      <c r="J33" s="102"/>
      <c r="K33" s="93" t="s">
        <v>1156</v>
      </c>
    </row>
    <row r="34" spans="1:11" ht="15" customHeight="1">
      <c r="A34" s="94">
        <v>28</v>
      </c>
      <c r="B34" s="97" t="s">
        <v>1201</v>
      </c>
      <c r="C34" s="96"/>
      <c r="D34" s="103" t="s">
        <v>1202</v>
      </c>
      <c r="E34" s="99" t="s">
        <v>1155</v>
      </c>
      <c r="F34" s="99">
        <v>2</v>
      </c>
      <c r="G34" s="317"/>
      <c r="H34" s="101"/>
      <c r="I34" s="320"/>
      <c r="J34" s="102"/>
      <c r="K34" s="93" t="s">
        <v>1156</v>
      </c>
    </row>
    <row r="35" spans="1:11" ht="15" customHeight="1">
      <c r="A35" s="94">
        <v>29</v>
      </c>
      <c r="B35" s="97" t="s">
        <v>1203</v>
      </c>
      <c r="C35" s="96"/>
      <c r="D35" s="103" t="s">
        <v>1204</v>
      </c>
      <c r="E35" s="99" t="s">
        <v>1155</v>
      </c>
      <c r="F35" s="99">
        <v>3</v>
      </c>
      <c r="G35" s="317"/>
      <c r="H35" s="101"/>
      <c r="I35" s="320"/>
      <c r="J35" s="102"/>
      <c r="K35" s="93" t="s">
        <v>1156</v>
      </c>
    </row>
    <row r="36" spans="1:11" ht="15" customHeight="1">
      <c r="A36" s="94">
        <v>30</v>
      </c>
      <c r="B36" s="97" t="s">
        <v>1205</v>
      </c>
      <c r="C36" s="96"/>
      <c r="D36" s="97" t="s">
        <v>1206</v>
      </c>
      <c r="E36" s="99" t="s">
        <v>1155</v>
      </c>
      <c r="F36" s="99">
        <v>1</v>
      </c>
      <c r="G36" s="317"/>
      <c r="H36" s="101"/>
      <c r="I36" s="320"/>
      <c r="J36" s="102"/>
      <c r="K36" s="93" t="s">
        <v>1156</v>
      </c>
    </row>
    <row r="37" spans="1:11" ht="15" customHeight="1">
      <c r="A37" s="94">
        <v>31</v>
      </c>
      <c r="B37" s="97"/>
      <c r="C37" s="96"/>
      <c r="D37" s="97" t="s">
        <v>1207</v>
      </c>
      <c r="E37" s="99" t="s">
        <v>1155</v>
      </c>
      <c r="F37" s="99">
        <v>1</v>
      </c>
      <c r="G37" s="317"/>
      <c r="H37" s="101"/>
      <c r="I37" s="320"/>
      <c r="J37" s="102"/>
      <c r="K37" s="93" t="s">
        <v>1156</v>
      </c>
    </row>
    <row r="38" spans="1:11" ht="15" customHeight="1">
      <c r="A38" s="94">
        <v>32</v>
      </c>
      <c r="B38" s="97"/>
      <c r="C38" s="96"/>
      <c r="D38" s="97" t="s">
        <v>1208</v>
      </c>
      <c r="E38" s="99" t="s">
        <v>1155</v>
      </c>
      <c r="F38" s="99">
        <v>1</v>
      </c>
      <c r="G38" s="317"/>
      <c r="H38" s="101"/>
      <c r="I38" s="320"/>
      <c r="J38" s="102"/>
      <c r="K38" s="93" t="s">
        <v>1156</v>
      </c>
    </row>
    <row r="39" spans="1:11" ht="15" customHeight="1">
      <c r="A39" s="94">
        <v>33</v>
      </c>
      <c r="B39" s="97" t="s">
        <v>1209</v>
      </c>
      <c r="C39" s="96"/>
      <c r="D39" s="95" t="s">
        <v>1210</v>
      </c>
      <c r="E39" s="105" t="s">
        <v>1155</v>
      </c>
      <c r="F39" s="105">
        <v>1</v>
      </c>
      <c r="G39" s="317"/>
      <c r="H39" s="101"/>
      <c r="I39" s="317"/>
      <c r="J39" s="102"/>
      <c r="K39" s="93" t="s">
        <v>1156</v>
      </c>
    </row>
    <row r="40" spans="1:11" ht="15" customHeight="1">
      <c r="A40" s="94">
        <v>34</v>
      </c>
      <c r="B40" s="97"/>
      <c r="C40" s="96"/>
      <c r="D40" s="95" t="s">
        <v>1211</v>
      </c>
      <c r="E40" s="105" t="s">
        <v>1155</v>
      </c>
      <c r="F40" s="105">
        <v>2</v>
      </c>
      <c r="G40" s="317"/>
      <c r="H40" s="101"/>
      <c r="I40" s="317"/>
      <c r="J40" s="102"/>
      <c r="K40" s="93" t="s">
        <v>1156</v>
      </c>
    </row>
    <row r="41" spans="1:11" ht="30" customHeight="1">
      <c r="A41" s="94">
        <v>35</v>
      </c>
      <c r="B41" s="97"/>
      <c r="C41" s="96"/>
      <c r="D41" s="95" t="s">
        <v>1212</v>
      </c>
      <c r="E41" s="99" t="s">
        <v>1155</v>
      </c>
      <c r="F41" s="99">
        <v>1</v>
      </c>
      <c r="G41" s="318"/>
      <c r="H41" s="101"/>
      <c r="I41" s="318"/>
      <c r="J41" s="102"/>
      <c r="K41" s="93" t="s">
        <v>1156</v>
      </c>
    </row>
    <row r="42" spans="1:11" ht="30" customHeight="1">
      <c r="A42" s="94">
        <v>36</v>
      </c>
      <c r="B42" s="97"/>
      <c r="C42" s="96"/>
      <c r="D42" s="95" t="s">
        <v>1213</v>
      </c>
      <c r="E42" s="105" t="s">
        <v>1155</v>
      </c>
      <c r="F42" s="105">
        <v>1</v>
      </c>
      <c r="G42" s="318"/>
      <c r="H42" s="101"/>
      <c r="I42" s="318"/>
      <c r="J42" s="102"/>
      <c r="K42" s="93" t="s">
        <v>1156</v>
      </c>
    </row>
    <row r="43" spans="1:11" ht="15" customHeight="1">
      <c r="A43" s="94">
        <v>37</v>
      </c>
      <c r="B43" s="109"/>
      <c r="C43" s="96"/>
      <c r="D43" s="98" t="s">
        <v>1214</v>
      </c>
      <c r="E43" s="110" t="s">
        <v>1155</v>
      </c>
      <c r="F43" s="111"/>
      <c r="G43" s="112"/>
      <c r="H43" s="101"/>
      <c r="I43" s="103"/>
      <c r="J43" s="102"/>
      <c r="K43" s="93" t="s">
        <v>1156</v>
      </c>
    </row>
    <row r="44" spans="1:11" ht="15" customHeight="1">
      <c r="A44" s="94">
        <v>38</v>
      </c>
      <c r="B44" s="109"/>
      <c r="C44" s="96"/>
      <c r="D44" s="98" t="s">
        <v>1215</v>
      </c>
      <c r="E44" s="110" t="s">
        <v>1155</v>
      </c>
      <c r="F44" s="111"/>
      <c r="G44" s="112"/>
      <c r="H44" s="101"/>
      <c r="I44" s="103"/>
      <c r="J44" s="102"/>
      <c r="K44" s="93" t="s">
        <v>1156</v>
      </c>
    </row>
    <row r="45" spans="1:11" ht="15" customHeight="1">
      <c r="A45" s="94">
        <v>39</v>
      </c>
      <c r="B45" s="109" t="s">
        <v>1216</v>
      </c>
      <c r="C45" s="96"/>
      <c r="D45" s="98" t="s">
        <v>1217</v>
      </c>
      <c r="E45" s="110" t="s">
        <v>1155</v>
      </c>
      <c r="F45" s="110"/>
      <c r="G45" s="112"/>
      <c r="H45" s="101"/>
      <c r="I45" s="103"/>
      <c r="J45" s="102"/>
      <c r="K45" s="93" t="s">
        <v>1156</v>
      </c>
    </row>
    <row r="46" spans="1:11" ht="15" customHeight="1">
      <c r="A46" s="94">
        <v>40</v>
      </c>
      <c r="B46" s="109" t="s">
        <v>1218</v>
      </c>
      <c r="C46" s="96"/>
      <c r="D46" s="98" t="s">
        <v>1219</v>
      </c>
      <c r="E46" s="110" t="s">
        <v>1155</v>
      </c>
      <c r="F46" s="110"/>
      <c r="G46" s="112"/>
      <c r="H46" s="101"/>
      <c r="I46" s="103"/>
      <c r="J46" s="102"/>
      <c r="K46" s="93" t="s">
        <v>1156</v>
      </c>
    </row>
    <row r="47" spans="1:11" ht="15" customHeight="1">
      <c r="A47" s="94">
        <v>41</v>
      </c>
      <c r="B47" s="109" t="s">
        <v>1220</v>
      </c>
      <c r="C47" s="96"/>
      <c r="D47" s="98" t="s">
        <v>1221</v>
      </c>
      <c r="E47" s="110" t="s">
        <v>1155</v>
      </c>
      <c r="F47" s="110"/>
      <c r="G47" s="112"/>
      <c r="H47" s="101"/>
      <c r="I47" s="103"/>
      <c r="J47" s="102"/>
      <c r="K47" s="93" t="s">
        <v>1156</v>
      </c>
    </row>
    <row r="48" spans="1:11" ht="15" customHeight="1">
      <c r="A48" s="94">
        <v>42</v>
      </c>
      <c r="B48" s="95"/>
      <c r="C48" s="96"/>
      <c r="D48" s="113" t="s">
        <v>1151</v>
      </c>
      <c r="E48" s="98"/>
      <c r="F48" s="99"/>
      <c r="G48" s="100"/>
      <c r="H48" s="101"/>
      <c r="I48" s="99"/>
      <c r="J48" s="102"/>
      <c r="K48" s="93"/>
    </row>
    <row r="49" spans="1:11" ht="120" customHeight="1">
      <c r="A49" s="94">
        <v>43</v>
      </c>
      <c r="B49" s="114"/>
      <c r="C49" s="98"/>
      <c r="D49" s="103" t="s">
        <v>1222</v>
      </c>
      <c r="E49" s="98" t="s">
        <v>1155</v>
      </c>
      <c r="F49" s="115">
        <v>1</v>
      </c>
      <c r="G49" s="116" t="s">
        <v>1223</v>
      </c>
      <c r="H49" s="101"/>
      <c r="I49" s="103"/>
      <c r="J49" s="102"/>
      <c r="K49" s="93" t="s">
        <v>1156</v>
      </c>
    </row>
    <row r="50" spans="1:11" ht="15" customHeight="1">
      <c r="A50" s="94">
        <v>44</v>
      </c>
      <c r="B50" s="97"/>
      <c r="C50" s="108"/>
      <c r="D50" s="98" t="s">
        <v>1224</v>
      </c>
      <c r="E50" s="105" t="s">
        <v>1189</v>
      </c>
      <c r="F50" s="103">
        <v>32</v>
      </c>
      <c r="G50" s="100"/>
      <c r="H50" s="101"/>
      <c r="I50" s="99">
        <v>0</v>
      </c>
      <c r="J50" s="102">
        <f t="shared" ref="J50:J51" si="2">PRODUCT(F50,I50)</f>
        <v>0</v>
      </c>
      <c r="K50" s="93" t="s">
        <v>1158</v>
      </c>
    </row>
    <row r="51" spans="1:11" ht="15" customHeight="1" thickBot="1">
      <c r="A51" s="94">
        <v>45</v>
      </c>
      <c r="B51" s="117"/>
      <c r="C51" s="118"/>
      <c r="D51" s="119" t="s">
        <v>1225</v>
      </c>
      <c r="E51" s="120" t="s">
        <v>1189</v>
      </c>
      <c r="F51" s="121">
        <v>20</v>
      </c>
      <c r="G51" s="122"/>
      <c r="H51" s="123"/>
      <c r="I51" s="124">
        <v>0</v>
      </c>
      <c r="J51" s="125">
        <f t="shared" si="2"/>
        <v>0</v>
      </c>
      <c r="K51" s="126" t="s">
        <v>1158</v>
      </c>
    </row>
    <row r="52" spans="1:11" ht="15" customHeight="1" thickBot="1">
      <c r="A52" s="94">
        <v>46</v>
      </c>
      <c r="B52" s="127"/>
      <c r="C52" s="128"/>
      <c r="D52" s="129"/>
      <c r="E52" s="130"/>
      <c r="F52" s="131"/>
      <c r="G52" s="132"/>
      <c r="H52" s="133"/>
      <c r="I52" s="131"/>
      <c r="J52" s="134"/>
      <c r="K52" s="135"/>
    </row>
    <row r="53" spans="1:11" ht="15" customHeight="1" thickBot="1">
      <c r="A53" s="94">
        <v>47</v>
      </c>
      <c r="B53" s="81"/>
      <c r="C53" s="82" t="s">
        <v>1226</v>
      </c>
      <c r="D53" s="83"/>
      <c r="E53" s="83"/>
      <c r="F53" s="83"/>
      <c r="G53" s="83"/>
      <c r="H53" s="84"/>
      <c r="I53" s="83"/>
      <c r="J53" s="136"/>
      <c r="K53" s="137"/>
    </row>
    <row r="54" spans="1:11" ht="15" customHeight="1">
      <c r="A54" s="94">
        <v>48</v>
      </c>
      <c r="B54" s="138" t="s">
        <v>1227</v>
      </c>
      <c r="C54" s="139"/>
      <c r="D54" s="87" t="s">
        <v>1228</v>
      </c>
      <c r="E54" s="140" t="s">
        <v>1155</v>
      </c>
      <c r="F54" s="89">
        <v>1</v>
      </c>
      <c r="G54" s="90"/>
      <c r="H54" s="91"/>
      <c r="I54" s="89">
        <v>0</v>
      </c>
      <c r="J54" s="92">
        <f t="shared" ref="J54:J61" si="3">PRODUCT(F54,I54)</f>
        <v>0</v>
      </c>
      <c r="K54" s="141" t="s">
        <v>1156</v>
      </c>
    </row>
    <row r="55" spans="1:11" ht="15" customHeight="1">
      <c r="A55" s="94">
        <v>49</v>
      </c>
      <c r="B55" s="95" t="s">
        <v>1229</v>
      </c>
      <c r="C55" s="96"/>
      <c r="D55" s="97" t="s">
        <v>1230</v>
      </c>
      <c r="E55" s="98" t="s">
        <v>1155</v>
      </c>
      <c r="F55" s="99">
        <v>2</v>
      </c>
      <c r="G55" s="100"/>
      <c r="H55" s="101"/>
      <c r="I55" s="99">
        <v>0</v>
      </c>
      <c r="J55" s="102">
        <f t="shared" si="3"/>
        <v>0</v>
      </c>
      <c r="K55" s="141" t="s">
        <v>1156</v>
      </c>
    </row>
    <row r="56" spans="1:11" ht="15" customHeight="1">
      <c r="A56" s="94">
        <v>50</v>
      </c>
      <c r="B56" s="95" t="s">
        <v>1231</v>
      </c>
      <c r="C56" s="96"/>
      <c r="D56" s="96" t="s">
        <v>1232</v>
      </c>
      <c r="E56" s="98" t="s">
        <v>1155</v>
      </c>
      <c r="F56" s="99">
        <v>2</v>
      </c>
      <c r="G56" s="100"/>
      <c r="H56" s="101"/>
      <c r="I56" s="99">
        <v>0</v>
      </c>
      <c r="J56" s="102">
        <f t="shared" si="3"/>
        <v>0</v>
      </c>
      <c r="K56" s="141" t="s">
        <v>1156</v>
      </c>
    </row>
    <row r="57" spans="1:11" ht="15" customHeight="1">
      <c r="A57" s="94">
        <v>51</v>
      </c>
      <c r="B57" s="95" t="s">
        <v>1233</v>
      </c>
      <c r="C57" s="96"/>
      <c r="D57" s="97" t="s">
        <v>1234</v>
      </c>
      <c r="E57" s="98" t="s">
        <v>1155</v>
      </c>
      <c r="F57" s="99">
        <v>2</v>
      </c>
      <c r="G57" s="100">
        <v>0</v>
      </c>
      <c r="H57" s="101">
        <f t="shared" ref="H57:H60" si="4">PRODUCT(F57,G57)</f>
        <v>0</v>
      </c>
      <c r="I57" s="99">
        <v>0</v>
      </c>
      <c r="J57" s="102">
        <f t="shared" si="3"/>
        <v>0</v>
      </c>
      <c r="K57" s="141" t="s">
        <v>1158</v>
      </c>
    </row>
    <row r="58" spans="1:11" ht="30" customHeight="1">
      <c r="A58" s="94">
        <v>52</v>
      </c>
      <c r="B58" s="95" t="s">
        <v>1235</v>
      </c>
      <c r="C58" s="96"/>
      <c r="D58" s="95" t="s">
        <v>1236</v>
      </c>
      <c r="E58" s="98" t="s">
        <v>1155</v>
      </c>
      <c r="F58" s="99">
        <v>1</v>
      </c>
      <c r="G58" s="100">
        <v>0</v>
      </c>
      <c r="H58" s="101">
        <f t="shared" si="4"/>
        <v>0</v>
      </c>
      <c r="I58" s="99">
        <v>0</v>
      </c>
      <c r="J58" s="102">
        <f t="shared" si="3"/>
        <v>0</v>
      </c>
      <c r="K58" s="141" t="s">
        <v>1158</v>
      </c>
    </row>
    <row r="59" spans="1:11" ht="15" customHeight="1">
      <c r="A59" s="94">
        <v>53</v>
      </c>
      <c r="B59" s="95" t="s">
        <v>1169</v>
      </c>
      <c r="C59" s="96"/>
      <c r="D59" s="95" t="s">
        <v>1172</v>
      </c>
      <c r="E59" s="98" t="s">
        <v>1155</v>
      </c>
      <c r="F59" s="99">
        <v>1</v>
      </c>
      <c r="G59" s="100">
        <v>0</v>
      </c>
      <c r="H59" s="101">
        <f t="shared" si="4"/>
        <v>0</v>
      </c>
      <c r="I59" s="99">
        <v>0</v>
      </c>
      <c r="J59" s="102">
        <f t="shared" si="3"/>
        <v>0</v>
      </c>
      <c r="K59" s="142" t="s">
        <v>1158</v>
      </c>
    </row>
    <row r="60" spans="1:11" ht="15" customHeight="1">
      <c r="A60" s="94">
        <v>54</v>
      </c>
      <c r="B60" s="95" t="s">
        <v>1237</v>
      </c>
      <c r="C60" s="96"/>
      <c r="D60" s="143" t="s">
        <v>1175</v>
      </c>
      <c r="E60" s="105" t="s">
        <v>1155</v>
      </c>
      <c r="F60" s="105">
        <v>1</v>
      </c>
      <c r="G60" s="106">
        <v>0</v>
      </c>
      <c r="H60" s="101">
        <f t="shared" si="4"/>
        <v>0</v>
      </c>
      <c r="I60" s="99">
        <v>0</v>
      </c>
      <c r="J60" s="102">
        <f t="shared" si="3"/>
        <v>0</v>
      </c>
      <c r="K60" s="142" t="s">
        <v>1158</v>
      </c>
    </row>
    <row r="61" spans="1:11" ht="15" customHeight="1">
      <c r="A61" s="94">
        <v>55</v>
      </c>
      <c r="B61" s="95" t="s">
        <v>1238</v>
      </c>
      <c r="C61" s="96"/>
      <c r="D61" s="95" t="s">
        <v>1239</v>
      </c>
      <c r="E61" s="98" t="s">
        <v>1155</v>
      </c>
      <c r="F61" s="99">
        <v>1</v>
      </c>
      <c r="G61" s="100"/>
      <c r="H61" s="101"/>
      <c r="I61" s="99">
        <v>0</v>
      </c>
      <c r="J61" s="102">
        <f t="shared" si="3"/>
        <v>0</v>
      </c>
      <c r="K61" s="93" t="s">
        <v>1158</v>
      </c>
    </row>
    <row r="62" spans="1:11" ht="15" customHeight="1">
      <c r="A62" s="94">
        <v>56</v>
      </c>
      <c r="B62" s="144"/>
      <c r="C62" s="145"/>
      <c r="D62" s="146"/>
      <c r="E62" s="147"/>
      <c r="F62" s="148"/>
      <c r="G62" s="149"/>
      <c r="H62" s="150"/>
      <c r="I62" s="148"/>
      <c r="J62" s="151"/>
      <c r="K62" s="142"/>
    </row>
    <row r="63" spans="1:11" ht="15" customHeight="1">
      <c r="A63" s="94">
        <v>57</v>
      </c>
      <c r="B63" s="144"/>
      <c r="C63" s="108"/>
      <c r="D63" s="108" t="s">
        <v>1240</v>
      </c>
      <c r="E63" s="99"/>
      <c r="F63" s="99"/>
      <c r="G63" s="100"/>
      <c r="H63" s="101"/>
      <c r="I63" s="99"/>
      <c r="J63" s="102"/>
      <c r="K63" s="142"/>
    </row>
    <row r="64" spans="1:11" ht="30" customHeight="1">
      <c r="A64" s="94">
        <v>58</v>
      </c>
      <c r="B64" s="144" t="s">
        <v>1191</v>
      </c>
      <c r="C64" s="95"/>
      <c r="D64" s="95" t="s">
        <v>1241</v>
      </c>
      <c r="E64" s="99" t="s">
        <v>1155</v>
      </c>
      <c r="F64" s="99">
        <v>1</v>
      </c>
      <c r="G64" s="100"/>
      <c r="H64" s="101"/>
      <c r="I64" s="99"/>
      <c r="J64" s="102"/>
      <c r="K64" s="152" t="s">
        <v>1156</v>
      </c>
    </row>
    <row r="65" spans="1:11" ht="30" customHeight="1">
      <c r="A65" s="94">
        <v>59</v>
      </c>
      <c r="B65" s="144" t="s">
        <v>1195</v>
      </c>
      <c r="C65" s="95"/>
      <c r="D65" s="95" t="s">
        <v>1242</v>
      </c>
      <c r="E65" s="99" t="s">
        <v>1155</v>
      </c>
      <c r="F65" s="99">
        <v>1</v>
      </c>
      <c r="G65" s="100"/>
      <c r="H65" s="101"/>
      <c r="I65" s="99"/>
      <c r="J65" s="102"/>
      <c r="K65" s="152" t="s">
        <v>1156</v>
      </c>
    </row>
    <row r="66" spans="1:11" ht="30" customHeight="1">
      <c r="A66" s="94">
        <v>60</v>
      </c>
      <c r="B66" s="144" t="s">
        <v>1243</v>
      </c>
      <c r="C66" s="95"/>
      <c r="D66" s="95" t="s">
        <v>1244</v>
      </c>
      <c r="E66" s="99" t="s">
        <v>1155</v>
      </c>
      <c r="F66" s="99">
        <v>1</v>
      </c>
      <c r="G66" s="100"/>
      <c r="H66" s="101"/>
      <c r="I66" s="99"/>
      <c r="J66" s="102"/>
      <c r="K66" s="152" t="s">
        <v>1156</v>
      </c>
    </row>
    <row r="67" spans="1:11" ht="30" customHeight="1">
      <c r="A67" s="94">
        <v>61</v>
      </c>
      <c r="B67" s="144" t="s">
        <v>1245</v>
      </c>
      <c r="C67" s="95"/>
      <c r="D67" s="95" t="s">
        <v>1246</v>
      </c>
      <c r="E67" s="99" t="s">
        <v>1155</v>
      </c>
      <c r="F67" s="99">
        <v>1</v>
      </c>
      <c r="G67" s="100"/>
      <c r="H67" s="101"/>
      <c r="I67" s="99"/>
      <c r="J67" s="102"/>
      <c r="K67" s="152" t="s">
        <v>1156</v>
      </c>
    </row>
    <row r="68" spans="1:11" ht="15" customHeight="1">
      <c r="A68" s="94">
        <v>62</v>
      </c>
      <c r="B68" s="144"/>
      <c r="C68" s="97"/>
      <c r="D68" s="97" t="s">
        <v>1247</v>
      </c>
      <c r="E68" s="99" t="s">
        <v>1155</v>
      </c>
      <c r="F68" s="99">
        <v>1</v>
      </c>
      <c r="G68" s="100"/>
      <c r="H68" s="101"/>
      <c r="I68" s="99"/>
      <c r="J68" s="102"/>
      <c r="K68" s="152" t="s">
        <v>1156</v>
      </c>
    </row>
    <row r="69" spans="1:11" ht="15" customHeight="1">
      <c r="A69" s="94">
        <v>63</v>
      </c>
      <c r="B69" s="144"/>
      <c r="C69" s="145"/>
      <c r="D69" s="146"/>
      <c r="E69" s="147"/>
      <c r="F69" s="148"/>
      <c r="G69" s="149"/>
      <c r="H69" s="150"/>
      <c r="I69" s="148"/>
      <c r="J69" s="151"/>
      <c r="K69" s="142"/>
    </row>
    <row r="70" spans="1:11" ht="15" customHeight="1">
      <c r="A70" s="94">
        <v>64</v>
      </c>
      <c r="B70" s="97"/>
      <c r="C70" s="98"/>
      <c r="D70" s="103" t="s">
        <v>1248</v>
      </c>
      <c r="E70" s="98" t="s">
        <v>1189</v>
      </c>
      <c r="F70" s="99">
        <v>16</v>
      </c>
      <c r="G70" s="101"/>
      <c r="H70" s="101"/>
      <c r="I70" s="153">
        <v>0</v>
      </c>
      <c r="J70" s="102">
        <f t="shared" ref="J70" si="5">PRODUCT(F70,I70)</f>
        <v>0</v>
      </c>
      <c r="K70" s="141" t="s">
        <v>1158</v>
      </c>
    </row>
    <row r="71" spans="1:11" ht="15" customHeight="1">
      <c r="A71" s="94">
        <v>65</v>
      </c>
      <c r="B71" s="95"/>
      <c r="C71" s="96"/>
      <c r="D71" s="103" t="s">
        <v>1249</v>
      </c>
      <c r="E71" s="98" t="s">
        <v>1189</v>
      </c>
      <c r="F71" s="99">
        <v>16</v>
      </c>
      <c r="G71" s="100"/>
      <c r="H71" s="101"/>
      <c r="I71" s="99">
        <v>0</v>
      </c>
      <c r="J71" s="102">
        <f>PRODUCT(F71,I71)</f>
        <v>0</v>
      </c>
      <c r="K71" s="141" t="s">
        <v>1158</v>
      </c>
    </row>
    <row r="72" spans="1:11" ht="15" customHeight="1">
      <c r="A72" s="94">
        <v>66</v>
      </c>
      <c r="B72" s="144"/>
      <c r="C72" s="145"/>
      <c r="D72" s="146" t="s">
        <v>1250</v>
      </c>
      <c r="E72" s="147" t="s">
        <v>1189</v>
      </c>
      <c r="F72" s="148">
        <v>32</v>
      </c>
      <c r="G72" s="149"/>
      <c r="H72" s="150"/>
      <c r="I72" s="148">
        <v>0</v>
      </c>
      <c r="J72" s="102">
        <f>PRODUCT(F72,I72)</f>
        <v>0</v>
      </c>
      <c r="K72" s="142" t="s">
        <v>1158</v>
      </c>
    </row>
    <row r="73" spans="1:11" ht="15" customHeight="1" thickBot="1">
      <c r="A73" s="94">
        <v>67</v>
      </c>
      <c r="B73" s="154"/>
      <c r="C73" s="155"/>
      <c r="D73" s="156" t="s">
        <v>1251</v>
      </c>
      <c r="E73" s="157" t="s">
        <v>1189</v>
      </c>
      <c r="F73" s="158">
        <v>16</v>
      </c>
      <c r="G73" s="159"/>
      <c r="H73" s="160"/>
      <c r="I73" s="158">
        <v>0</v>
      </c>
      <c r="J73" s="125">
        <f t="shared" ref="J73" si="6">PRODUCT(F73,I73)</f>
        <v>0</v>
      </c>
      <c r="K73" s="161" t="s">
        <v>1158</v>
      </c>
    </row>
    <row r="74" spans="1:11" ht="15" customHeight="1" thickBot="1">
      <c r="A74" s="94">
        <v>68</v>
      </c>
      <c r="B74" s="127"/>
      <c r="C74" s="128"/>
      <c r="D74" s="129"/>
      <c r="E74" s="130"/>
      <c r="F74" s="131"/>
      <c r="G74" s="132"/>
      <c r="H74" s="133"/>
      <c r="I74" s="131"/>
      <c r="J74" s="134"/>
      <c r="K74" s="135"/>
    </row>
    <row r="75" spans="1:11" ht="15" customHeight="1" thickBot="1">
      <c r="A75" s="94">
        <v>69</v>
      </c>
      <c r="B75" s="81"/>
      <c r="C75" s="82" t="s">
        <v>1252</v>
      </c>
      <c r="D75" s="83"/>
      <c r="E75" s="83"/>
      <c r="F75" s="83"/>
      <c r="G75" s="83"/>
      <c r="H75" s="84"/>
      <c r="I75" s="83"/>
      <c r="J75" s="84"/>
      <c r="K75" s="85"/>
    </row>
    <row r="76" spans="1:11" ht="15" customHeight="1">
      <c r="A76" s="94">
        <v>70</v>
      </c>
      <c r="B76" s="138" t="s">
        <v>1253</v>
      </c>
      <c r="C76" s="139"/>
      <c r="D76" s="87" t="s">
        <v>1228</v>
      </c>
      <c r="E76" s="140" t="s">
        <v>1155</v>
      </c>
      <c r="F76" s="89">
        <v>2</v>
      </c>
      <c r="G76" s="90"/>
      <c r="H76" s="91"/>
      <c r="I76" s="89">
        <v>0</v>
      </c>
      <c r="J76" s="92">
        <f t="shared" ref="J76:J84" si="7">PRODUCT(F76,I76)</f>
        <v>0</v>
      </c>
      <c r="K76" s="93" t="s">
        <v>1156</v>
      </c>
    </row>
    <row r="77" spans="1:11" ht="15" customHeight="1">
      <c r="A77" s="94">
        <v>71</v>
      </c>
      <c r="B77" s="95" t="s">
        <v>1254</v>
      </c>
      <c r="C77" s="96"/>
      <c r="D77" s="97" t="s">
        <v>1230</v>
      </c>
      <c r="E77" s="98" t="s">
        <v>1155</v>
      </c>
      <c r="F77" s="99">
        <v>2</v>
      </c>
      <c r="G77" s="100"/>
      <c r="H77" s="101"/>
      <c r="I77" s="99">
        <v>0</v>
      </c>
      <c r="J77" s="102">
        <f t="shared" si="7"/>
        <v>0</v>
      </c>
      <c r="K77" s="93" t="s">
        <v>1156</v>
      </c>
    </row>
    <row r="78" spans="1:11" ht="15" customHeight="1">
      <c r="A78" s="94">
        <v>72</v>
      </c>
      <c r="B78" s="95" t="s">
        <v>1231</v>
      </c>
      <c r="C78" s="96"/>
      <c r="D78" s="96" t="s">
        <v>1232</v>
      </c>
      <c r="E78" s="98" t="s">
        <v>1155</v>
      </c>
      <c r="F78" s="99">
        <v>2</v>
      </c>
      <c r="G78" s="100"/>
      <c r="H78" s="101"/>
      <c r="I78" s="99">
        <v>0</v>
      </c>
      <c r="J78" s="102">
        <f t="shared" si="7"/>
        <v>0</v>
      </c>
      <c r="K78" s="93" t="s">
        <v>1156</v>
      </c>
    </row>
    <row r="79" spans="1:11" ht="15" customHeight="1">
      <c r="A79" s="94">
        <v>73</v>
      </c>
      <c r="B79" s="95" t="s">
        <v>1255</v>
      </c>
      <c r="C79" s="96"/>
      <c r="D79" s="96" t="s">
        <v>1256</v>
      </c>
      <c r="E79" s="98" t="s">
        <v>1155</v>
      </c>
      <c r="F79" s="99">
        <v>2</v>
      </c>
      <c r="G79" s="100"/>
      <c r="H79" s="101"/>
      <c r="I79" s="99">
        <v>0</v>
      </c>
      <c r="J79" s="102">
        <f t="shared" si="7"/>
        <v>0</v>
      </c>
      <c r="K79" s="93" t="s">
        <v>1156</v>
      </c>
    </row>
    <row r="80" spans="1:11" ht="15" customHeight="1">
      <c r="A80" s="94">
        <v>74</v>
      </c>
      <c r="B80" s="95" t="s">
        <v>1229</v>
      </c>
      <c r="C80" s="96"/>
      <c r="D80" s="97" t="s">
        <v>1234</v>
      </c>
      <c r="E80" s="98" t="s">
        <v>1155</v>
      </c>
      <c r="F80" s="99">
        <v>2</v>
      </c>
      <c r="G80" s="100">
        <v>0</v>
      </c>
      <c r="H80" s="101">
        <f t="shared" ref="H80:H83" si="8">PRODUCT(F80,G80)</f>
        <v>0</v>
      </c>
      <c r="I80" s="99">
        <v>0</v>
      </c>
      <c r="J80" s="102">
        <f t="shared" si="7"/>
        <v>0</v>
      </c>
      <c r="K80" s="93" t="s">
        <v>1158</v>
      </c>
    </row>
    <row r="81" spans="1:11" ht="30" customHeight="1">
      <c r="A81" s="94">
        <v>75</v>
      </c>
      <c r="B81" s="95" t="s">
        <v>1235</v>
      </c>
      <c r="C81" s="96"/>
      <c r="D81" s="95" t="s">
        <v>1236</v>
      </c>
      <c r="E81" s="98" t="s">
        <v>1155</v>
      </c>
      <c r="F81" s="99">
        <v>1</v>
      </c>
      <c r="G81" s="100">
        <v>0</v>
      </c>
      <c r="H81" s="101">
        <f t="shared" si="8"/>
        <v>0</v>
      </c>
      <c r="I81" s="99">
        <v>0</v>
      </c>
      <c r="J81" s="102">
        <f t="shared" si="7"/>
        <v>0</v>
      </c>
      <c r="K81" s="93" t="s">
        <v>1158</v>
      </c>
    </row>
    <row r="82" spans="1:11" ht="15" customHeight="1">
      <c r="A82" s="94">
        <v>76</v>
      </c>
      <c r="B82" s="95" t="s">
        <v>1169</v>
      </c>
      <c r="C82" s="96"/>
      <c r="D82" s="95" t="s">
        <v>1172</v>
      </c>
      <c r="E82" s="98" t="s">
        <v>1155</v>
      </c>
      <c r="F82" s="99">
        <v>1</v>
      </c>
      <c r="G82" s="100">
        <v>0</v>
      </c>
      <c r="H82" s="101">
        <f t="shared" si="8"/>
        <v>0</v>
      </c>
      <c r="I82" s="99">
        <v>0</v>
      </c>
      <c r="J82" s="102">
        <f t="shared" si="7"/>
        <v>0</v>
      </c>
      <c r="K82" s="93" t="s">
        <v>1158</v>
      </c>
    </row>
    <row r="83" spans="1:11" ht="15" customHeight="1">
      <c r="A83" s="94">
        <v>77</v>
      </c>
      <c r="B83" s="95" t="s">
        <v>1237</v>
      </c>
      <c r="C83" s="96"/>
      <c r="D83" s="97" t="s">
        <v>1175</v>
      </c>
      <c r="E83" s="105" t="s">
        <v>1155</v>
      </c>
      <c r="F83" s="105">
        <v>1</v>
      </c>
      <c r="G83" s="106">
        <v>0</v>
      </c>
      <c r="H83" s="101">
        <f t="shared" si="8"/>
        <v>0</v>
      </c>
      <c r="I83" s="99">
        <v>0</v>
      </c>
      <c r="J83" s="102">
        <f t="shared" si="7"/>
        <v>0</v>
      </c>
      <c r="K83" s="93" t="s">
        <v>1158</v>
      </c>
    </row>
    <row r="84" spans="1:11" ht="15" customHeight="1">
      <c r="A84" s="94">
        <v>78</v>
      </c>
      <c r="B84" s="95" t="s">
        <v>1238</v>
      </c>
      <c r="C84" s="96"/>
      <c r="D84" s="95" t="s">
        <v>1239</v>
      </c>
      <c r="E84" s="98" t="s">
        <v>1155</v>
      </c>
      <c r="F84" s="99">
        <v>1</v>
      </c>
      <c r="G84" s="100"/>
      <c r="H84" s="101"/>
      <c r="I84" s="99">
        <v>0</v>
      </c>
      <c r="J84" s="102">
        <f t="shared" si="7"/>
        <v>0</v>
      </c>
      <c r="K84" s="93" t="s">
        <v>1158</v>
      </c>
    </row>
    <row r="85" spans="1:11" ht="15" customHeight="1">
      <c r="A85" s="94">
        <v>79</v>
      </c>
      <c r="B85" s="97"/>
      <c r="C85" s="108"/>
      <c r="D85" s="98"/>
      <c r="E85" s="105"/>
      <c r="F85" s="103"/>
      <c r="G85" s="100"/>
      <c r="H85" s="101"/>
      <c r="I85" s="103"/>
      <c r="J85" s="102"/>
      <c r="K85" s="93"/>
    </row>
    <row r="86" spans="1:11" ht="15" customHeight="1">
      <c r="A86" s="94">
        <v>80</v>
      </c>
      <c r="B86" s="97"/>
      <c r="C86" s="108"/>
      <c r="D86" s="108" t="s">
        <v>1240</v>
      </c>
      <c r="E86" s="99"/>
      <c r="F86" s="99"/>
      <c r="G86" s="100"/>
      <c r="H86" s="101"/>
      <c r="I86" s="99"/>
      <c r="J86" s="102"/>
      <c r="K86" s="93"/>
    </row>
    <row r="87" spans="1:11" ht="30" customHeight="1">
      <c r="A87" s="94">
        <v>81</v>
      </c>
      <c r="B87" s="144" t="s">
        <v>1191</v>
      </c>
      <c r="C87" s="95"/>
      <c r="D87" s="95" t="s">
        <v>1241</v>
      </c>
      <c r="E87" s="99" t="s">
        <v>1155</v>
      </c>
      <c r="F87" s="99">
        <v>1</v>
      </c>
      <c r="G87" s="100"/>
      <c r="H87" s="101"/>
      <c r="I87" s="99"/>
      <c r="J87" s="102"/>
      <c r="K87" s="162" t="s">
        <v>1156</v>
      </c>
    </row>
    <row r="88" spans="1:11" ht="30" customHeight="1">
      <c r="A88" s="94">
        <v>82</v>
      </c>
      <c r="B88" s="144" t="s">
        <v>1195</v>
      </c>
      <c r="C88" s="95"/>
      <c r="D88" s="95" t="s">
        <v>1242</v>
      </c>
      <c r="E88" s="99" t="s">
        <v>1155</v>
      </c>
      <c r="F88" s="99">
        <v>1</v>
      </c>
      <c r="G88" s="100">
        <v>0</v>
      </c>
      <c r="H88" s="101">
        <f t="shared" ref="H88:H91" si="9">PRODUCT(F88,G88)</f>
        <v>0</v>
      </c>
      <c r="I88" s="99">
        <v>0</v>
      </c>
      <c r="J88" s="102">
        <f t="shared" ref="J88:J91" si="10">PRODUCT(F88,I88)</f>
        <v>0</v>
      </c>
      <c r="K88" s="162" t="s">
        <v>1158</v>
      </c>
    </row>
    <row r="89" spans="1:11" ht="30" customHeight="1">
      <c r="A89" s="94">
        <v>83</v>
      </c>
      <c r="B89" s="144" t="s">
        <v>1243</v>
      </c>
      <c r="C89" s="95"/>
      <c r="D89" s="95" t="s">
        <v>1244</v>
      </c>
      <c r="E89" s="99" t="s">
        <v>1155</v>
      </c>
      <c r="F89" s="99">
        <v>1</v>
      </c>
      <c r="G89" s="100">
        <v>0</v>
      </c>
      <c r="H89" s="101">
        <f t="shared" si="9"/>
        <v>0</v>
      </c>
      <c r="I89" s="99">
        <v>0</v>
      </c>
      <c r="J89" s="102">
        <f t="shared" si="10"/>
        <v>0</v>
      </c>
      <c r="K89" s="162" t="s">
        <v>1158</v>
      </c>
    </row>
    <row r="90" spans="1:11" ht="30" customHeight="1">
      <c r="A90" s="94">
        <v>84</v>
      </c>
      <c r="B90" s="144" t="s">
        <v>1245</v>
      </c>
      <c r="C90" s="95"/>
      <c r="D90" s="95" t="s">
        <v>1246</v>
      </c>
      <c r="E90" s="99" t="s">
        <v>1155</v>
      </c>
      <c r="F90" s="99">
        <v>1</v>
      </c>
      <c r="G90" s="100">
        <v>0</v>
      </c>
      <c r="H90" s="101">
        <f t="shared" si="9"/>
        <v>0</v>
      </c>
      <c r="I90" s="99">
        <v>0</v>
      </c>
      <c r="J90" s="102">
        <f t="shared" si="10"/>
        <v>0</v>
      </c>
      <c r="K90" s="162" t="s">
        <v>1158</v>
      </c>
    </row>
    <row r="91" spans="1:11" ht="15" customHeight="1">
      <c r="A91" s="94">
        <v>85</v>
      </c>
      <c r="B91" s="97"/>
      <c r="C91" s="97"/>
      <c r="D91" s="97" t="s">
        <v>1247</v>
      </c>
      <c r="E91" s="99" t="s">
        <v>1155</v>
      </c>
      <c r="F91" s="99">
        <v>1</v>
      </c>
      <c r="G91" s="100">
        <v>0</v>
      </c>
      <c r="H91" s="101">
        <f t="shared" si="9"/>
        <v>0</v>
      </c>
      <c r="I91" s="99">
        <v>0</v>
      </c>
      <c r="J91" s="102">
        <f t="shared" si="10"/>
        <v>0</v>
      </c>
      <c r="K91" s="93" t="s">
        <v>1158</v>
      </c>
    </row>
    <row r="92" spans="1:11" ht="15" customHeight="1">
      <c r="A92" s="94">
        <v>86</v>
      </c>
      <c r="B92" s="95"/>
      <c r="C92" s="96"/>
      <c r="D92" s="103" t="s">
        <v>1188</v>
      </c>
      <c r="E92" s="98" t="s">
        <v>1189</v>
      </c>
      <c r="F92" s="99">
        <v>16</v>
      </c>
      <c r="G92" s="100"/>
      <c r="H92" s="101"/>
      <c r="I92" s="99">
        <v>0</v>
      </c>
      <c r="J92" s="102">
        <f>PRODUCT(F92,I92)</f>
        <v>0</v>
      </c>
      <c r="K92" s="93" t="s">
        <v>1158</v>
      </c>
    </row>
    <row r="93" spans="1:11" ht="15" customHeight="1">
      <c r="A93" s="94">
        <v>87</v>
      </c>
      <c r="B93" s="97"/>
      <c r="C93" s="108"/>
      <c r="D93" s="98" t="s">
        <v>1257</v>
      </c>
      <c r="E93" s="105" t="s">
        <v>1189</v>
      </c>
      <c r="F93" s="103">
        <v>24</v>
      </c>
      <c r="G93" s="100"/>
      <c r="H93" s="101"/>
      <c r="I93" s="103">
        <v>0</v>
      </c>
      <c r="J93" s="102">
        <f>PRODUCT(F93,I93)</f>
        <v>0</v>
      </c>
      <c r="K93" s="93" t="s">
        <v>1158</v>
      </c>
    </row>
    <row r="94" spans="1:11" ht="15" customHeight="1">
      <c r="A94" s="94">
        <v>88</v>
      </c>
      <c r="B94" s="97"/>
      <c r="C94" s="108"/>
      <c r="D94" s="98" t="s">
        <v>1258</v>
      </c>
      <c r="E94" s="105" t="s">
        <v>1189</v>
      </c>
      <c r="F94" s="103">
        <v>16</v>
      </c>
      <c r="G94" s="100"/>
      <c r="H94" s="101"/>
      <c r="I94" s="103">
        <v>0</v>
      </c>
      <c r="J94" s="102">
        <f t="shared" ref="J94" si="11">PRODUCT(F94,I94)</f>
        <v>0</v>
      </c>
      <c r="K94" s="93" t="s">
        <v>1158</v>
      </c>
    </row>
    <row r="95" spans="1:11" ht="15" customHeight="1">
      <c r="A95" s="94">
        <v>89</v>
      </c>
      <c r="B95" s="95"/>
      <c r="C95" s="96"/>
      <c r="D95" s="113" t="s">
        <v>1259</v>
      </c>
      <c r="E95" s="98"/>
      <c r="F95" s="99"/>
      <c r="G95" s="100"/>
      <c r="H95" s="101"/>
      <c r="I95" s="99"/>
      <c r="J95" s="102"/>
      <c r="K95" s="93"/>
    </row>
    <row r="96" spans="1:11" ht="120" customHeight="1" thickBot="1">
      <c r="A96" s="94">
        <v>90</v>
      </c>
      <c r="B96" s="163"/>
      <c r="C96" s="119"/>
      <c r="D96" s="121" t="s">
        <v>1260</v>
      </c>
      <c r="E96" s="119" t="s">
        <v>1155</v>
      </c>
      <c r="F96" s="164">
        <v>1</v>
      </c>
      <c r="G96" s="122"/>
      <c r="H96" s="123">
        <v>0</v>
      </c>
      <c r="I96" s="124"/>
      <c r="J96" s="125">
        <v>0</v>
      </c>
      <c r="K96" s="126" t="s">
        <v>1261</v>
      </c>
    </row>
    <row r="97" spans="1:11" ht="15" customHeight="1" thickBot="1">
      <c r="A97" s="94">
        <v>91</v>
      </c>
      <c r="B97" s="127"/>
      <c r="C97" s="128"/>
      <c r="D97" s="129"/>
      <c r="E97" s="130"/>
      <c r="F97" s="131"/>
      <c r="G97" s="132"/>
      <c r="H97" s="133"/>
      <c r="I97" s="131"/>
      <c r="J97" s="134"/>
      <c r="K97" s="135"/>
    </row>
    <row r="98" spans="1:11" ht="15" customHeight="1" thickBot="1">
      <c r="A98" s="94">
        <v>92</v>
      </c>
      <c r="B98" s="81"/>
      <c r="C98" s="82" t="s">
        <v>1262</v>
      </c>
      <c r="D98" s="83"/>
      <c r="E98" s="83"/>
      <c r="F98" s="83"/>
      <c r="G98" s="83"/>
      <c r="H98" s="84"/>
      <c r="I98" s="83"/>
      <c r="J98" s="84"/>
      <c r="K98" s="85"/>
    </row>
    <row r="99" spans="1:11" ht="15" customHeight="1">
      <c r="A99" s="94">
        <v>93</v>
      </c>
      <c r="B99" s="138" t="s">
        <v>1254</v>
      </c>
      <c r="C99" s="139"/>
      <c r="D99" s="87" t="s">
        <v>1228</v>
      </c>
      <c r="E99" s="140" t="s">
        <v>1155</v>
      </c>
      <c r="F99" s="89">
        <v>2</v>
      </c>
      <c r="G99" s="90"/>
      <c r="H99" s="91"/>
      <c r="I99" s="89">
        <v>0</v>
      </c>
      <c r="J99" s="92">
        <f t="shared" ref="J99:J107" si="12">PRODUCT(F99,I99)</f>
        <v>0</v>
      </c>
      <c r="K99" s="93" t="s">
        <v>1156</v>
      </c>
    </row>
    <row r="100" spans="1:11" ht="15" customHeight="1">
      <c r="A100" s="94">
        <v>94</v>
      </c>
      <c r="B100" s="95" t="s">
        <v>1263</v>
      </c>
      <c r="C100" s="96"/>
      <c r="D100" s="97" t="s">
        <v>1230</v>
      </c>
      <c r="E100" s="98" t="s">
        <v>1155</v>
      </c>
      <c r="F100" s="99">
        <v>2</v>
      </c>
      <c r="G100" s="100"/>
      <c r="H100" s="101"/>
      <c r="I100" s="99">
        <v>0</v>
      </c>
      <c r="J100" s="102">
        <f t="shared" si="12"/>
        <v>0</v>
      </c>
      <c r="K100" s="93" t="s">
        <v>1156</v>
      </c>
    </row>
    <row r="101" spans="1:11" ht="15" customHeight="1">
      <c r="A101" s="94">
        <v>95</v>
      </c>
      <c r="B101" s="95" t="s">
        <v>1231</v>
      </c>
      <c r="C101" s="96"/>
      <c r="D101" s="96" t="s">
        <v>1232</v>
      </c>
      <c r="E101" s="98" t="s">
        <v>1155</v>
      </c>
      <c r="F101" s="99">
        <v>2</v>
      </c>
      <c r="G101" s="100"/>
      <c r="H101" s="101"/>
      <c r="I101" s="99">
        <v>0</v>
      </c>
      <c r="J101" s="102">
        <f t="shared" si="12"/>
        <v>0</v>
      </c>
      <c r="K101" s="93" t="s">
        <v>1156</v>
      </c>
    </row>
    <row r="102" spans="1:11" ht="15" customHeight="1">
      <c r="A102" s="94">
        <v>96</v>
      </c>
      <c r="B102" s="95" t="s">
        <v>1264</v>
      </c>
      <c r="C102" s="96"/>
      <c r="D102" s="96" t="s">
        <v>1256</v>
      </c>
      <c r="E102" s="98" t="s">
        <v>1155</v>
      </c>
      <c r="F102" s="99">
        <v>3</v>
      </c>
      <c r="G102" s="100"/>
      <c r="H102" s="101"/>
      <c r="I102" s="99">
        <v>0</v>
      </c>
      <c r="J102" s="102">
        <f t="shared" si="12"/>
        <v>0</v>
      </c>
      <c r="K102" s="93" t="s">
        <v>1156</v>
      </c>
    </row>
    <row r="103" spans="1:11" ht="15" customHeight="1">
      <c r="A103" s="94">
        <v>97</v>
      </c>
      <c r="B103" s="95" t="s">
        <v>1265</v>
      </c>
      <c r="C103" s="96"/>
      <c r="D103" s="97" t="s">
        <v>1234</v>
      </c>
      <c r="E103" s="98" t="s">
        <v>1155</v>
      </c>
      <c r="F103" s="99">
        <v>2</v>
      </c>
      <c r="G103" s="100">
        <v>0</v>
      </c>
      <c r="H103" s="101">
        <f t="shared" ref="H103:H106" si="13">PRODUCT(F103,G103)</f>
        <v>0</v>
      </c>
      <c r="I103" s="99">
        <v>0</v>
      </c>
      <c r="J103" s="102">
        <f t="shared" si="12"/>
        <v>0</v>
      </c>
      <c r="K103" s="93" t="s">
        <v>1158</v>
      </c>
    </row>
    <row r="104" spans="1:11" ht="30" customHeight="1">
      <c r="A104" s="94">
        <v>98</v>
      </c>
      <c r="B104" s="95" t="s">
        <v>1235</v>
      </c>
      <c r="C104" s="96"/>
      <c r="D104" s="95" t="s">
        <v>1236</v>
      </c>
      <c r="E104" s="98" t="s">
        <v>1155</v>
      </c>
      <c r="F104" s="99">
        <v>1</v>
      </c>
      <c r="G104" s="100">
        <v>0</v>
      </c>
      <c r="H104" s="101">
        <f t="shared" si="13"/>
        <v>0</v>
      </c>
      <c r="I104" s="99">
        <v>0</v>
      </c>
      <c r="J104" s="102">
        <f t="shared" si="12"/>
        <v>0</v>
      </c>
      <c r="K104" s="93" t="s">
        <v>1158</v>
      </c>
    </row>
    <row r="105" spans="1:11" ht="15" customHeight="1">
      <c r="A105" s="94">
        <v>99</v>
      </c>
      <c r="B105" s="95" t="s">
        <v>1169</v>
      </c>
      <c r="C105" s="96"/>
      <c r="D105" s="95" t="s">
        <v>1172</v>
      </c>
      <c r="E105" s="98" t="s">
        <v>1155</v>
      </c>
      <c r="F105" s="99">
        <v>1</v>
      </c>
      <c r="G105" s="100">
        <v>0</v>
      </c>
      <c r="H105" s="101">
        <f t="shared" si="13"/>
        <v>0</v>
      </c>
      <c r="I105" s="99">
        <v>0</v>
      </c>
      <c r="J105" s="102">
        <f t="shared" si="12"/>
        <v>0</v>
      </c>
      <c r="K105" s="93" t="s">
        <v>1158</v>
      </c>
    </row>
    <row r="106" spans="1:11" ht="15" customHeight="1">
      <c r="A106" s="94">
        <v>100</v>
      </c>
      <c r="B106" s="95" t="s">
        <v>1237</v>
      </c>
      <c r="C106" s="96"/>
      <c r="D106" s="97" t="s">
        <v>1175</v>
      </c>
      <c r="E106" s="105" t="s">
        <v>1155</v>
      </c>
      <c r="F106" s="105">
        <v>1</v>
      </c>
      <c r="G106" s="106">
        <v>0</v>
      </c>
      <c r="H106" s="101">
        <f t="shared" si="13"/>
        <v>0</v>
      </c>
      <c r="I106" s="99">
        <v>0</v>
      </c>
      <c r="J106" s="102">
        <f t="shared" si="12"/>
        <v>0</v>
      </c>
      <c r="K106" s="93" t="s">
        <v>1158</v>
      </c>
    </row>
    <row r="107" spans="1:11" ht="15" customHeight="1">
      <c r="A107" s="94">
        <v>101</v>
      </c>
      <c r="B107" s="95" t="s">
        <v>1238</v>
      </c>
      <c r="C107" s="96"/>
      <c r="D107" s="95" t="s">
        <v>1239</v>
      </c>
      <c r="E107" s="98" t="s">
        <v>1155</v>
      </c>
      <c r="F107" s="99">
        <v>1</v>
      </c>
      <c r="G107" s="100"/>
      <c r="H107" s="101"/>
      <c r="I107" s="99">
        <v>0</v>
      </c>
      <c r="J107" s="102">
        <f t="shared" si="12"/>
        <v>0</v>
      </c>
      <c r="K107" s="93" t="s">
        <v>1158</v>
      </c>
    </row>
    <row r="108" spans="1:11" ht="15" customHeight="1">
      <c r="A108" s="94">
        <v>102</v>
      </c>
      <c r="B108" s="97"/>
      <c r="C108" s="108"/>
      <c r="D108" s="98"/>
      <c r="E108" s="105"/>
      <c r="F108" s="103"/>
      <c r="G108" s="100"/>
      <c r="H108" s="101"/>
      <c r="I108" s="103"/>
      <c r="J108" s="102"/>
      <c r="K108" s="93"/>
    </row>
    <row r="109" spans="1:11" ht="15" customHeight="1">
      <c r="A109" s="94">
        <v>103</v>
      </c>
      <c r="B109" s="97"/>
      <c r="C109" s="108"/>
      <c r="D109" s="108" t="s">
        <v>1240</v>
      </c>
      <c r="E109" s="99"/>
      <c r="F109" s="99"/>
      <c r="G109" s="100"/>
      <c r="H109" s="101"/>
      <c r="I109" s="99"/>
      <c r="J109" s="102"/>
      <c r="K109" s="93"/>
    </row>
    <row r="110" spans="1:11" ht="30" customHeight="1">
      <c r="A110" s="94">
        <v>104</v>
      </c>
      <c r="B110" s="144" t="s">
        <v>1191</v>
      </c>
      <c r="C110" s="95"/>
      <c r="D110" s="95" t="s">
        <v>1241</v>
      </c>
      <c r="E110" s="99" t="s">
        <v>1155</v>
      </c>
      <c r="F110" s="99">
        <v>1</v>
      </c>
      <c r="G110" s="100"/>
      <c r="H110" s="101"/>
      <c r="I110" s="99"/>
      <c r="J110" s="102"/>
      <c r="K110" s="162" t="s">
        <v>1156</v>
      </c>
    </row>
    <row r="111" spans="1:11" ht="30" customHeight="1">
      <c r="A111" s="94">
        <v>105</v>
      </c>
      <c r="B111" s="144" t="s">
        <v>1195</v>
      </c>
      <c r="C111" s="95"/>
      <c r="D111" s="95" t="s">
        <v>1242</v>
      </c>
      <c r="E111" s="99" t="s">
        <v>1155</v>
      </c>
      <c r="F111" s="99">
        <v>1</v>
      </c>
      <c r="G111" s="100">
        <v>0</v>
      </c>
      <c r="H111" s="101">
        <f t="shared" ref="H111:H114" si="14">PRODUCT(F111,G111)</f>
        <v>0</v>
      </c>
      <c r="I111" s="99">
        <v>0</v>
      </c>
      <c r="J111" s="102">
        <f t="shared" ref="J111:J114" si="15">PRODUCT(F111,I111)</f>
        <v>0</v>
      </c>
      <c r="K111" s="162" t="s">
        <v>1158</v>
      </c>
    </row>
    <row r="112" spans="1:11" ht="30" customHeight="1">
      <c r="A112" s="94">
        <v>106</v>
      </c>
      <c r="B112" s="144" t="s">
        <v>1243</v>
      </c>
      <c r="C112" s="95"/>
      <c r="D112" s="95" t="s">
        <v>1244</v>
      </c>
      <c r="E112" s="99" t="s">
        <v>1155</v>
      </c>
      <c r="F112" s="99">
        <v>1</v>
      </c>
      <c r="G112" s="100">
        <v>0</v>
      </c>
      <c r="H112" s="101">
        <f t="shared" si="14"/>
        <v>0</v>
      </c>
      <c r="I112" s="99">
        <v>0</v>
      </c>
      <c r="J112" s="102">
        <f t="shared" si="15"/>
        <v>0</v>
      </c>
      <c r="K112" s="162" t="s">
        <v>1158</v>
      </c>
    </row>
    <row r="113" spans="1:11" ht="30" customHeight="1">
      <c r="A113" s="94">
        <v>107</v>
      </c>
      <c r="B113" s="144" t="s">
        <v>1245</v>
      </c>
      <c r="C113" s="95"/>
      <c r="D113" s="95" t="s">
        <v>1246</v>
      </c>
      <c r="E113" s="99" t="s">
        <v>1155</v>
      </c>
      <c r="F113" s="99">
        <v>1</v>
      </c>
      <c r="G113" s="100">
        <v>0</v>
      </c>
      <c r="H113" s="101">
        <f t="shared" si="14"/>
        <v>0</v>
      </c>
      <c r="I113" s="99">
        <v>0</v>
      </c>
      <c r="J113" s="102">
        <f t="shared" si="15"/>
        <v>0</v>
      </c>
      <c r="K113" s="162" t="s">
        <v>1158</v>
      </c>
    </row>
    <row r="114" spans="1:11" ht="15" customHeight="1">
      <c r="A114" s="94">
        <v>108</v>
      </c>
      <c r="B114" s="97"/>
      <c r="C114" s="97"/>
      <c r="D114" s="97" t="s">
        <v>1247</v>
      </c>
      <c r="E114" s="99" t="s">
        <v>1155</v>
      </c>
      <c r="F114" s="99">
        <v>1</v>
      </c>
      <c r="G114" s="100">
        <v>0</v>
      </c>
      <c r="H114" s="101">
        <f t="shared" si="14"/>
        <v>0</v>
      </c>
      <c r="I114" s="99">
        <v>0</v>
      </c>
      <c r="J114" s="102">
        <f t="shared" si="15"/>
        <v>0</v>
      </c>
      <c r="K114" s="93" t="s">
        <v>1158</v>
      </c>
    </row>
    <row r="115" spans="1:11" ht="15" customHeight="1">
      <c r="A115" s="94">
        <v>109</v>
      </c>
      <c r="B115" s="95"/>
      <c r="C115" s="96"/>
      <c r="D115" s="103" t="s">
        <v>1188</v>
      </c>
      <c r="E115" s="98" t="s">
        <v>1189</v>
      </c>
      <c r="F115" s="99">
        <v>16</v>
      </c>
      <c r="G115" s="100"/>
      <c r="H115" s="101"/>
      <c r="I115" s="99">
        <v>0</v>
      </c>
      <c r="J115" s="102">
        <f>PRODUCT(F115,I115)</f>
        <v>0</v>
      </c>
      <c r="K115" s="93" t="s">
        <v>1158</v>
      </c>
    </row>
    <row r="116" spans="1:11" ht="15" customHeight="1">
      <c r="A116" s="94">
        <v>110</v>
      </c>
      <c r="B116" s="97"/>
      <c r="C116" s="108"/>
      <c r="D116" s="98" t="s">
        <v>1266</v>
      </c>
      <c r="E116" s="105" t="s">
        <v>1189</v>
      </c>
      <c r="F116" s="103">
        <v>24</v>
      </c>
      <c r="G116" s="100"/>
      <c r="H116" s="101"/>
      <c r="I116" s="103">
        <v>0</v>
      </c>
      <c r="J116" s="102">
        <f>PRODUCT(F116,I116)</f>
        <v>0</v>
      </c>
      <c r="K116" s="93" t="s">
        <v>1158</v>
      </c>
    </row>
    <row r="117" spans="1:11" ht="15" customHeight="1">
      <c r="A117" s="94">
        <v>111</v>
      </c>
      <c r="B117" s="97"/>
      <c r="C117" s="108"/>
      <c r="D117" s="98" t="s">
        <v>1267</v>
      </c>
      <c r="E117" s="105" t="s">
        <v>1189</v>
      </c>
      <c r="F117" s="103">
        <v>16</v>
      </c>
      <c r="G117" s="100"/>
      <c r="H117" s="101"/>
      <c r="I117" s="103">
        <v>0</v>
      </c>
      <c r="J117" s="102">
        <f t="shared" ref="J117" si="16">PRODUCT(F117,I117)</f>
        <v>0</v>
      </c>
      <c r="K117" s="93" t="s">
        <v>1158</v>
      </c>
    </row>
    <row r="118" spans="1:11" ht="15" customHeight="1">
      <c r="A118" s="94">
        <v>112</v>
      </c>
      <c r="B118" s="95"/>
      <c r="C118" s="96"/>
      <c r="D118" s="113" t="s">
        <v>1268</v>
      </c>
      <c r="E118" s="98"/>
      <c r="F118" s="99"/>
      <c r="G118" s="100"/>
      <c r="H118" s="101"/>
      <c r="I118" s="99"/>
      <c r="J118" s="102"/>
      <c r="K118" s="93"/>
    </row>
    <row r="119" spans="1:11" ht="120" customHeight="1" thickBot="1">
      <c r="A119" s="94">
        <v>113</v>
      </c>
      <c r="B119" s="163"/>
      <c r="C119" s="119"/>
      <c r="D119" s="121" t="s">
        <v>1260</v>
      </c>
      <c r="E119" s="119" t="s">
        <v>1155</v>
      </c>
      <c r="F119" s="164">
        <v>1</v>
      </c>
      <c r="G119" s="122"/>
      <c r="H119" s="123">
        <v>0</v>
      </c>
      <c r="I119" s="124"/>
      <c r="J119" s="125">
        <v>0</v>
      </c>
      <c r="K119" s="126" t="s">
        <v>1261</v>
      </c>
    </row>
    <row r="120" spans="1:11" ht="15" customHeight="1" thickBot="1">
      <c r="A120" s="94">
        <v>114</v>
      </c>
      <c r="B120" s="127"/>
      <c r="C120" s="128"/>
      <c r="D120" s="129"/>
      <c r="E120" s="130"/>
      <c r="F120" s="131"/>
      <c r="G120" s="132"/>
      <c r="H120" s="133"/>
      <c r="I120" s="131"/>
      <c r="J120" s="134"/>
      <c r="K120" s="135"/>
    </row>
    <row r="121" spans="1:11" ht="15" customHeight="1" thickBot="1">
      <c r="A121" s="94">
        <v>115</v>
      </c>
      <c r="B121" s="81"/>
      <c r="C121" s="82" t="s">
        <v>1269</v>
      </c>
      <c r="D121" s="83"/>
      <c r="E121" s="83"/>
      <c r="F121" s="83"/>
      <c r="G121" s="83"/>
      <c r="H121" s="84"/>
      <c r="I121" s="83"/>
      <c r="J121" s="84"/>
      <c r="K121" s="85"/>
    </row>
    <row r="122" spans="1:11" ht="15" customHeight="1">
      <c r="A122" s="94">
        <v>116</v>
      </c>
      <c r="B122" s="138" t="s">
        <v>1254</v>
      </c>
      <c r="C122" s="139"/>
      <c r="D122" s="87" t="s">
        <v>1228</v>
      </c>
      <c r="E122" s="140" t="s">
        <v>1155</v>
      </c>
      <c r="F122" s="89">
        <v>2</v>
      </c>
      <c r="G122" s="90"/>
      <c r="H122" s="91"/>
      <c r="I122" s="89">
        <v>0</v>
      </c>
      <c r="J122" s="92">
        <f t="shared" ref="J122:J130" si="17">PRODUCT(F122,I122)</f>
        <v>0</v>
      </c>
      <c r="K122" s="93" t="s">
        <v>1156</v>
      </c>
    </row>
    <row r="123" spans="1:11" ht="15" customHeight="1">
      <c r="A123" s="94">
        <v>117</v>
      </c>
      <c r="B123" s="95" t="s">
        <v>1270</v>
      </c>
      <c r="C123" s="96"/>
      <c r="D123" s="97" t="s">
        <v>1230</v>
      </c>
      <c r="E123" s="98" t="s">
        <v>1155</v>
      </c>
      <c r="F123" s="99">
        <v>4</v>
      </c>
      <c r="G123" s="100"/>
      <c r="H123" s="101"/>
      <c r="I123" s="99">
        <v>0</v>
      </c>
      <c r="J123" s="102">
        <f t="shared" si="17"/>
        <v>0</v>
      </c>
      <c r="K123" s="93" t="s">
        <v>1156</v>
      </c>
    </row>
    <row r="124" spans="1:11" ht="15" customHeight="1">
      <c r="A124" s="94">
        <v>118</v>
      </c>
      <c r="B124" s="95" t="s">
        <v>1231</v>
      </c>
      <c r="C124" s="96"/>
      <c r="D124" s="96" t="s">
        <v>1232</v>
      </c>
      <c r="E124" s="98" t="s">
        <v>1155</v>
      </c>
      <c r="F124" s="99">
        <v>2</v>
      </c>
      <c r="G124" s="100"/>
      <c r="H124" s="101"/>
      <c r="I124" s="99">
        <v>0</v>
      </c>
      <c r="J124" s="102">
        <f t="shared" si="17"/>
        <v>0</v>
      </c>
      <c r="K124" s="93" t="s">
        <v>1156</v>
      </c>
    </row>
    <row r="125" spans="1:11" ht="15" customHeight="1">
      <c r="A125" s="94">
        <v>119</v>
      </c>
      <c r="B125" s="95" t="s">
        <v>1264</v>
      </c>
      <c r="C125" s="96"/>
      <c r="D125" s="96" t="s">
        <v>1256</v>
      </c>
      <c r="E125" s="98" t="s">
        <v>1155</v>
      </c>
      <c r="F125" s="99">
        <v>3</v>
      </c>
      <c r="G125" s="100"/>
      <c r="H125" s="101"/>
      <c r="I125" s="99">
        <v>0</v>
      </c>
      <c r="J125" s="102">
        <f t="shared" si="17"/>
        <v>0</v>
      </c>
      <c r="K125" s="93" t="s">
        <v>1156</v>
      </c>
    </row>
    <row r="126" spans="1:11" ht="15" customHeight="1">
      <c r="A126" s="94">
        <v>120</v>
      </c>
      <c r="B126" s="95" t="s">
        <v>1271</v>
      </c>
      <c r="C126" s="96"/>
      <c r="D126" s="97" t="s">
        <v>1234</v>
      </c>
      <c r="E126" s="98" t="s">
        <v>1155</v>
      </c>
      <c r="F126" s="99">
        <v>2</v>
      </c>
      <c r="G126" s="100">
        <v>0</v>
      </c>
      <c r="H126" s="101">
        <f t="shared" ref="H126:H129" si="18">PRODUCT(F126,G126)</f>
        <v>0</v>
      </c>
      <c r="I126" s="99">
        <v>0</v>
      </c>
      <c r="J126" s="102">
        <f t="shared" si="17"/>
        <v>0</v>
      </c>
      <c r="K126" s="93" t="s">
        <v>1158</v>
      </c>
    </row>
    <row r="127" spans="1:11" ht="30" customHeight="1">
      <c r="A127" s="94">
        <v>121</v>
      </c>
      <c r="B127" s="95" t="s">
        <v>1235</v>
      </c>
      <c r="C127" s="96"/>
      <c r="D127" s="95" t="s">
        <v>1236</v>
      </c>
      <c r="E127" s="98" t="s">
        <v>1155</v>
      </c>
      <c r="F127" s="99">
        <v>1</v>
      </c>
      <c r="G127" s="100">
        <v>0</v>
      </c>
      <c r="H127" s="101">
        <f t="shared" si="18"/>
        <v>0</v>
      </c>
      <c r="I127" s="99">
        <v>0</v>
      </c>
      <c r="J127" s="102">
        <f t="shared" si="17"/>
        <v>0</v>
      </c>
      <c r="K127" s="93" t="s">
        <v>1158</v>
      </c>
    </row>
    <row r="128" spans="1:11" ht="15" customHeight="1">
      <c r="A128" s="94">
        <v>122</v>
      </c>
      <c r="B128" s="95" t="s">
        <v>1169</v>
      </c>
      <c r="C128" s="96"/>
      <c r="D128" s="95" t="s">
        <v>1172</v>
      </c>
      <c r="E128" s="98" t="s">
        <v>1155</v>
      </c>
      <c r="F128" s="99">
        <v>1</v>
      </c>
      <c r="G128" s="100">
        <v>0</v>
      </c>
      <c r="H128" s="101">
        <f t="shared" si="18"/>
        <v>0</v>
      </c>
      <c r="I128" s="99">
        <v>0</v>
      </c>
      <c r="J128" s="102">
        <f t="shared" si="17"/>
        <v>0</v>
      </c>
      <c r="K128" s="93" t="s">
        <v>1158</v>
      </c>
    </row>
    <row r="129" spans="1:11" ht="15" customHeight="1">
      <c r="A129" s="94">
        <v>123</v>
      </c>
      <c r="B129" s="95" t="s">
        <v>1237</v>
      </c>
      <c r="C129" s="96"/>
      <c r="D129" s="97" t="s">
        <v>1175</v>
      </c>
      <c r="E129" s="105" t="s">
        <v>1155</v>
      </c>
      <c r="F129" s="105">
        <v>1</v>
      </c>
      <c r="G129" s="106">
        <v>0</v>
      </c>
      <c r="H129" s="101">
        <f t="shared" si="18"/>
        <v>0</v>
      </c>
      <c r="I129" s="99">
        <v>0</v>
      </c>
      <c r="J129" s="102">
        <f t="shared" si="17"/>
        <v>0</v>
      </c>
      <c r="K129" s="93" t="s">
        <v>1158</v>
      </c>
    </row>
    <row r="130" spans="1:11" ht="15" customHeight="1">
      <c r="A130" s="94">
        <v>124</v>
      </c>
      <c r="B130" s="95" t="s">
        <v>1238</v>
      </c>
      <c r="C130" s="96"/>
      <c r="D130" s="95" t="s">
        <v>1239</v>
      </c>
      <c r="E130" s="98" t="s">
        <v>1155</v>
      </c>
      <c r="F130" s="99">
        <v>1</v>
      </c>
      <c r="G130" s="100"/>
      <c r="H130" s="101"/>
      <c r="I130" s="99">
        <v>0</v>
      </c>
      <c r="J130" s="102">
        <f t="shared" si="17"/>
        <v>0</v>
      </c>
      <c r="K130" s="93" t="s">
        <v>1158</v>
      </c>
    </row>
    <row r="131" spans="1:11" ht="15" customHeight="1">
      <c r="A131" s="94">
        <v>125</v>
      </c>
      <c r="B131" s="97"/>
      <c r="C131" s="108"/>
      <c r="D131" s="98"/>
      <c r="E131" s="105"/>
      <c r="F131" s="103"/>
      <c r="G131" s="100"/>
      <c r="H131" s="101"/>
      <c r="I131" s="103"/>
      <c r="J131" s="102"/>
      <c r="K131" s="93"/>
    </row>
    <row r="132" spans="1:11" ht="15" customHeight="1">
      <c r="A132" s="94">
        <v>126</v>
      </c>
      <c r="B132" s="97"/>
      <c r="C132" s="108"/>
      <c r="D132" s="108" t="s">
        <v>1240</v>
      </c>
      <c r="E132" s="99"/>
      <c r="F132" s="99"/>
      <c r="G132" s="100"/>
      <c r="H132" s="101"/>
      <c r="I132" s="99"/>
      <c r="J132" s="102"/>
      <c r="K132" s="93"/>
    </row>
    <row r="133" spans="1:11" ht="30" customHeight="1">
      <c r="A133" s="94">
        <v>127</v>
      </c>
      <c r="B133" s="144" t="s">
        <v>1191</v>
      </c>
      <c r="C133" s="95"/>
      <c r="D133" s="95" t="s">
        <v>1241</v>
      </c>
      <c r="E133" s="99" t="s">
        <v>1155</v>
      </c>
      <c r="F133" s="99">
        <v>1</v>
      </c>
      <c r="G133" s="100"/>
      <c r="H133" s="101"/>
      <c r="I133" s="99"/>
      <c r="J133" s="102"/>
      <c r="K133" s="162" t="s">
        <v>1156</v>
      </c>
    </row>
    <row r="134" spans="1:11" ht="30" customHeight="1">
      <c r="A134" s="94">
        <v>128</v>
      </c>
      <c r="B134" s="144" t="s">
        <v>1195</v>
      </c>
      <c r="C134" s="95"/>
      <c r="D134" s="95" t="s">
        <v>1242</v>
      </c>
      <c r="E134" s="99" t="s">
        <v>1155</v>
      </c>
      <c r="F134" s="99">
        <v>1</v>
      </c>
      <c r="G134" s="100">
        <v>0</v>
      </c>
      <c r="H134" s="101">
        <f t="shared" ref="H134:H137" si="19">PRODUCT(F134,G134)</f>
        <v>0</v>
      </c>
      <c r="I134" s="99">
        <v>0</v>
      </c>
      <c r="J134" s="102">
        <f t="shared" ref="J134:J137" si="20">PRODUCT(F134,I134)</f>
        <v>0</v>
      </c>
      <c r="K134" s="162" t="s">
        <v>1158</v>
      </c>
    </row>
    <row r="135" spans="1:11" ht="30" customHeight="1">
      <c r="A135" s="94">
        <v>129</v>
      </c>
      <c r="B135" s="144" t="s">
        <v>1243</v>
      </c>
      <c r="C135" s="95"/>
      <c r="D135" s="95" t="s">
        <v>1244</v>
      </c>
      <c r="E135" s="99" t="s">
        <v>1155</v>
      </c>
      <c r="F135" s="99">
        <v>1</v>
      </c>
      <c r="G135" s="100">
        <v>0</v>
      </c>
      <c r="H135" s="101">
        <f t="shared" si="19"/>
        <v>0</v>
      </c>
      <c r="I135" s="99">
        <v>0</v>
      </c>
      <c r="J135" s="102">
        <f t="shared" si="20"/>
        <v>0</v>
      </c>
      <c r="K135" s="162" t="s">
        <v>1158</v>
      </c>
    </row>
    <row r="136" spans="1:11" ht="30" customHeight="1">
      <c r="A136" s="94">
        <v>130</v>
      </c>
      <c r="B136" s="144" t="s">
        <v>1245</v>
      </c>
      <c r="C136" s="95"/>
      <c r="D136" s="95" t="s">
        <v>1246</v>
      </c>
      <c r="E136" s="99" t="s">
        <v>1155</v>
      </c>
      <c r="F136" s="99">
        <v>1</v>
      </c>
      <c r="G136" s="100">
        <v>0</v>
      </c>
      <c r="H136" s="101">
        <f t="shared" si="19"/>
        <v>0</v>
      </c>
      <c r="I136" s="99">
        <v>0</v>
      </c>
      <c r="J136" s="102">
        <f t="shared" si="20"/>
        <v>0</v>
      </c>
      <c r="K136" s="162" t="s">
        <v>1158</v>
      </c>
    </row>
    <row r="137" spans="1:11" ht="15" customHeight="1">
      <c r="A137" s="94">
        <v>131</v>
      </c>
      <c r="B137" s="97"/>
      <c r="C137" s="97"/>
      <c r="D137" s="97" t="s">
        <v>1247</v>
      </c>
      <c r="E137" s="99" t="s">
        <v>1155</v>
      </c>
      <c r="F137" s="99">
        <v>1</v>
      </c>
      <c r="G137" s="100">
        <v>0</v>
      </c>
      <c r="H137" s="101">
        <f t="shared" si="19"/>
        <v>0</v>
      </c>
      <c r="I137" s="99">
        <v>0</v>
      </c>
      <c r="J137" s="102">
        <f t="shared" si="20"/>
        <v>0</v>
      </c>
      <c r="K137" s="93" t="s">
        <v>1158</v>
      </c>
    </row>
    <row r="138" spans="1:11" ht="15" customHeight="1">
      <c r="A138" s="94">
        <v>132</v>
      </c>
      <c r="B138" s="95"/>
      <c r="C138" s="96"/>
      <c r="D138" s="103" t="s">
        <v>1188</v>
      </c>
      <c r="E138" s="98" t="s">
        <v>1189</v>
      </c>
      <c r="F138" s="99">
        <v>16</v>
      </c>
      <c r="G138" s="100"/>
      <c r="H138" s="101"/>
      <c r="I138" s="99">
        <v>0</v>
      </c>
      <c r="J138" s="102">
        <f>PRODUCT(F138,I138)</f>
        <v>0</v>
      </c>
      <c r="K138" s="93" t="s">
        <v>1158</v>
      </c>
    </row>
    <row r="139" spans="1:11" ht="15" customHeight="1">
      <c r="A139" s="94">
        <v>133</v>
      </c>
      <c r="B139" s="97"/>
      <c r="C139" s="108"/>
      <c r="D139" s="98" t="s">
        <v>1272</v>
      </c>
      <c r="E139" s="105" t="s">
        <v>1189</v>
      </c>
      <c r="F139" s="103">
        <v>24</v>
      </c>
      <c r="G139" s="100"/>
      <c r="H139" s="101"/>
      <c r="I139" s="103">
        <v>0</v>
      </c>
      <c r="J139" s="102">
        <f>PRODUCT(F139,I139)</f>
        <v>0</v>
      </c>
      <c r="K139" s="93" t="s">
        <v>1158</v>
      </c>
    </row>
    <row r="140" spans="1:11" ht="15" customHeight="1">
      <c r="A140" s="94">
        <v>134</v>
      </c>
      <c r="B140" s="97"/>
      <c r="C140" s="108"/>
      <c r="D140" s="98" t="s">
        <v>1273</v>
      </c>
      <c r="E140" s="105" t="s">
        <v>1189</v>
      </c>
      <c r="F140" s="103">
        <v>16</v>
      </c>
      <c r="G140" s="100"/>
      <c r="H140" s="101"/>
      <c r="I140" s="103">
        <v>0</v>
      </c>
      <c r="J140" s="102">
        <f t="shared" ref="J140" si="21">PRODUCT(F140,I140)</f>
        <v>0</v>
      </c>
      <c r="K140" s="93" t="s">
        <v>1158</v>
      </c>
    </row>
    <row r="141" spans="1:11" ht="15" customHeight="1">
      <c r="A141" s="94">
        <v>135</v>
      </c>
      <c r="B141" s="95"/>
      <c r="C141" s="96"/>
      <c r="D141" s="113" t="s">
        <v>1274</v>
      </c>
      <c r="E141" s="98"/>
      <c r="F141" s="99"/>
      <c r="G141" s="100"/>
      <c r="H141" s="101"/>
      <c r="I141" s="99"/>
      <c r="J141" s="102"/>
      <c r="K141" s="93"/>
    </row>
    <row r="142" spans="1:11" ht="120" customHeight="1" thickBot="1">
      <c r="A142" s="94">
        <v>136</v>
      </c>
      <c r="B142" s="163"/>
      <c r="C142" s="119"/>
      <c r="D142" s="121" t="s">
        <v>1260</v>
      </c>
      <c r="E142" s="119" t="s">
        <v>1155</v>
      </c>
      <c r="F142" s="164">
        <v>1</v>
      </c>
      <c r="G142" s="122"/>
      <c r="H142" s="123">
        <v>0</v>
      </c>
      <c r="I142" s="124"/>
      <c r="J142" s="125">
        <v>0</v>
      </c>
      <c r="K142" s="126" t="s">
        <v>1261</v>
      </c>
    </row>
    <row r="143" spans="1:11" ht="15" customHeight="1" thickBot="1">
      <c r="A143" s="94">
        <v>137</v>
      </c>
      <c r="B143" s="127"/>
      <c r="C143" s="128"/>
      <c r="D143" s="129"/>
      <c r="E143" s="130"/>
      <c r="F143" s="131"/>
      <c r="G143" s="132"/>
      <c r="H143" s="133"/>
      <c r="I143" s="131"/>
      <c r="J143" s="134"/>
      <c r="K143" s="135"/>
    </row>
    <row r="144" spans="1:11" ht="15" customHeight="1">
      <c r="A144" s="94">
        <v>138</v>
      </c>
      <c r="B144" s="165"/>
      <c r="C144" s="166" t="s">
        <v>1275</v>
      </c>
      <c r="D144" s="167"/>
      <c r="E144" s="167"/>
      <c r="F144" s="167"/>
      <c r="G144" s="167"/>
      <c r="H144" s="168"/>
      <c r="I144" s="167"/>
      <c r="J144" s="169"/>
      <c r="K144" s="137"/>
    </row>
    <row r="145" spans="1:11" ht="15" customHeight="1">
      <c r="A145" s="94">
        <v>139</v>
      </c>
      <c r="B145" s="95" t="s">
        <v>1254</v>
      </c>
      <c r="C145" s="96"/>
      <c r="D145" s="97" t="s">
        <v>1228</v>
      </c>
      <c r="E145" s="98" t="s">
        <v>1155</v>
      </c>
      <c r="F145" s="99">
        <v>2</v>
      </c>
      <c r="G145" s="100"/>
      <c r="H145" s="101"/>
      <c r="I145" s="99">
        <v>0</v>
      </c>
      <c r="J145" s="102">
        <f t="shared" ref="J145:J153" si="22">PRODUCT(F145,I145)</f>
        <v>0</v>
      </c>
      <c r="K145" s="141" t="s">
        <v>1156</v>
      </c>
    </row>
    <row r="146" spans="1:11" ht="15" customHeight="1">
      <c r="A146" s="94">
        <v>140</v>
      </c>
      <c r="B146" s="95" t="s">
        <v>1263</v>
      </c>
      <c r="C146" s="96"/>
      <c r="D146" s="97" t="s">
        <v>1230</v>
      </c>
      <c r="E146" s="98" t="s">
        <v>1155</v>
      </c>
      <c r="F146" s="99">
        <v>2</v>
      </c>
      <c r="G146" s="100"/>
      <c r="H146" s="101"/>
      <c r="I146" s="99">
        <v>0</v>
      </c>
      <c r="J146" s="102">
        <f t="shared" si="22"/>
        <v>0</v>
      </c>
      <c r="K146" s="141" t="s">
        <v>1156</v>
      </c>
    </row>
    <row r="147" spans="1:11" ht="15" customHeight="1">
      <c r="A147" s="94">
        <v>141</v>
      </c>
      <c r="B147" s="95" t="s">
        <v>1231</v>
      </c>
      <c r="C147" s="96"/>
      <c r="D147" s="96" t="s">
        <v>1232</v>
      </c>
      <c r="E147" s="98" t="s">
        <v>1155</v>
      </c>
      <c r="F147" s="99">
        <v>2</v>
      </c>
      <c r="G147" s="100"/>
      <c r="H147" s="101"/>
      <c r="I147" s="99">
        <v>0</v>
      </c>
      <c r="J147" s="102">
        <f t="shared" si="22"/>
        <v>0</v>
      </c>
      <c r="K147" s="141" t="s">
        <v>1156</v>
      </c>
    </row>
    <row r="148" spans="1:11" ht="15" customHeight="1">
      <c r="A148" s="94">
        <v>142</v>
      </c>
      <c r="B148" s="95" t="s">
        <v>1264</v>
      </c>
      <c r="C148" s="96"/>
      <c r="D148" s="96" t="s">
        <v>1256</v>
      </c>
      <c r="E148" s="98" t="s">
        <v>1155</v>
      </c>
      <c r="F148" s="99">
        <v>3</v>
      </c>
      <c r="G148" s="100"/>
      <c r="H148" s="101"/>
      <c r="I148" s="99">
        <v>0</v>
      </c>
      <c r="J148" s="102">
        <f t="shared" si="22"/>
        <v>0</v>
      </c>
      <c r="K148" s="141" t="s">
        <v>1156</v>
      </c>
    </row>
    <row r="149" spans="1:11" ht="15" customHeight="1">
      <c r="A149" s="94">
        <v>143</v>
      </c>
      <c r="B149" s="95" t="s">
        <v>1265</v>
      </c>
      <c r="C149" s="96"/>
      <c r="D149" s="97" t="s">
        <v>1234</v>
      </c>
      <c r="E149" s="98" t="s">
        <v>1155</v>
      </c>
      <c r="F149" s="99">
        <v>2</v>
      </c>
      <c r="G149" s="100">
        <v>0</v>
      </c>
      <c r="H149" s="101">
        <f t="shared" ref="H149:H152" si="23">PRODUCT(F149,G149)</f>
        <v>0</v>
      </c>
      <c r="I149" s="99">
        <v>0</v>
      </c>
      <c r="J149" s="102">
        <f t="shared" si="22"/>
        <v>0</v>
      </c>
      <c r="K149" s="141" t="s">
        <v>1158</v>
      </c>
    </row>
    <row r="150" spans="1:11" ht="30" customHeight="1">
      <c r="A150" s="94">
        <v>144</v>
      </c>
      <c r="B150" s="95" t="s">
        <v>1235</v>
      </c>
      <c r="C150" s="96"/>
      <c r="D150" s="95" t="s">
        <v>1236</v>
      </c>
      <c r="E150" s="98" t="s">
        <v>1155</v>
      </c>
      <c r="F150" s="99">
        <v>1</v>
      </c>
      <c r="G150" s="100">
        <v>0</v>
      </c>
      <c r="H150" s="101">
        <f t="shared" si="23"/>
        <v>0</v>
      </c>
      <c r="I150" s="99">
        <v>0</v>
      </c>
      <c r="J150" s="102">
        <f t="shared" si="22"/>
        <v>0</v>
      </c>
      <c r="K150" s="141" t="s">
        <v>1158</v>
      </c>
    </row>
    <row r="151" spans="1:11" ht="15" customHeight="1">
      <c r="A151" s="94">
        <v>145</v>
      </c>
      <c r="B151" s="95" t="s">
        <v>1169</v>
      </c>
      <c r="C151" s="96"/>
      <c r="D151" s="95" t="s">
        <v>1172</v>
      </c>
      <c r="E151" s="98" t="s">
        <v>1155</v>
      </c>
      <c r="F151" s="99">
        <v>1</v>
      </c>
      <c r="G151" s="100">
        <v>0</v>
      </c>
      <c r="H151" s="101">
        <f t="shared" si="23"/>
        <v>0</v>
      </c>
      <c r="I151" s="99">
        <v>0</v>
      </c>
      <c r="J151" s="102">
        <f t="shared" si="22"/>
        <v>0</v>
      </c>
      <c r="K151" s="142" t="s">
        <v>1158</v>
      </c>
    </row>
    <row r="152" spans="1:11" ht="15" customHeight="1">
      <c r="A152" s="94">
        <v>146</v>
      </c>
      <c r="B152" s="95" t="s">
        <v>1237</v>
      </c>
      <c r="C152" s="96"/>
      <c r="D152" s="143" t="s">
        <v>1175</v>
      </c>
      <c r="E152" s="105" t="s">
        <v>1155</v>
      </c>
      <c r="F152" s="105">
        <v>1</v>
      </c>
      <c r="G152" s="106">
        <v>0</v>
      </c>
      <c r="H152" s="101">
        <f t="shared" si="23"/>
        <v>0</v>
      </c>
      <c r="I152" s="99">
        <v>0</v>
      </c>
      <c r="J152" s="102">
        <f t="shared" si="22"/>
        <v>0</v>
      </c>
      <c r="K152" s="142" t="s">
        <v>1158</v>
      </c>
    </row>
    <row r="153" spans="1:11" ht="15" customHeight="1">
      <c r="A153" s="94">
        <v>147</v>
      </c>
      <c r="B153" s="95" t="s">
        <v>1238</v>
      </c>
      <c r="C153" s="96"/>
      <c r="D153" s="95" t="s">
        <v>1239</v>
      </c>
      <c r="E153" s="98" t="s">
        <v>1155</v>
      </c>
      <c r="F153" s="99">
        <v>1</v>
      </c>
      <c r="G153" s="100"/>
      <c r="H153" s="101"/>
      <c r="I153" s="99">
        <v>0</v>
      </c>
      <c r="J153" s="102">
        <f t="shared" si="22"/>
        <v>0</v>
      </c>
      <c r="K153" s="93" t="s">
        <v>1158</v>
      </c>
    </row>
    <row r="154" spans="1:11" ht="15" customHeight="1">
      <c r="A154" s="94">
        <v>148</v>
      </c>
      <c r="B154" s="95"/>
      <c r="C154" s="96"/>
      <c r="D154" s="95"/>
      <c r="E154" s="98"/>
      <c r="F154" s="99"/>
      <c r="G154" s="100"/>
      <c r="H154" s="101"/>
      <c r="I154" s="99"/>
      <c r="J154" s="102"/>
      <c r="K154" s="93"/>
    </row>
    <row r="155" spans="1:11" ht="15" customHeight="1">
      <c r="A155" s="94">
        <v>149</v>
      </c>
      <c r="B155" s="144"/>
      <c r="C155" s="108"/>
      <c r="D155" s="108" t="s">
        <v>1240</v>
      </c>
      <c r="E155" s="99"/>
      <c r="F155" s="99"/>
      <c r="G155" s="100"/>
      <c r="H155" s="101"/>
      <c r="I155" s="99"/>
      <c r="J155" s="102"/>
      <c r="K155" s="142"/>
    </row>
    <row r="156" spans="1:11" ht="30" customHeight="1">
      <c r="A156" s="94">
        <v>150</v>
      </c>
      <c r="B156" s="144" t="s">
        <v>1191</v>
      </c>
      <c r="C156" s="95"/>
      <c r="D156" s="95" t="s">
        <v>1241</v>
      </c>
      <c r="E156" s="99" t="s">
        <v>1155</v>
      </c>
      <c r="F156" s="99">
        <v>1</v>
      </c>
      <c r="G156" s="100"/>
      <c r="H156" s="101"/>
      <c r="I156" s="99"/>
      <c r="J156" s="102"/>
      <c r="K156" s="152" t="s">
        <v>1156</v>
      </c>
    </row>
    <row r="157" spans="1:11" ht="30" customHeight="1">
      <c r="A157" s="94">
        <v>151</v>
      </c>
      <c r="B157" s="144" t="s">
        <v>1195</v>
      </c>
      <c r="C157" s="95"/>
      <c r="D157" s="95" t="s">
        <v>1242</v>
      </c>
      <c r="E157" s="99" t="s">
        <v>1155</v>
      </c>
      <c r="F157" s="99">
        <v>1</v>
      </c>
      <c r="G157" s="100">
        <v>0</v>
      </c>
      <c r="H157" s="101">
        <f t="shared" ref="H157:H160" si="24">PRODUCT(F157,G157)</f>
        <v>0</v>
      </c>
      <c r="I157" s="99">
        <v>0</v>
      </c>
      <c r="J157" s="102">
        <f t="shared" ref="J157:J160" si="25">PRODUCT(F157,I157)</f>
        <v>0</v>
      </c>
      <c r="K157" s="152" t="s">
        <v>1158</v>
      </c>
    </row>
    <row r="158" spans="1:11" ht="30" customHeight="1">
      <c r="A158" s="94">
        <v>152</v>
      </c>
      <c r="B158" s="144" t="s">
        <v>1243</v>
      </c>
      <c r="C158" s="95"/>
      <c r="D158" s="95" t="s">
        <v>1244</v>
      </c>
      <c r="E158" s="99" t="s">
        <v>1155</v>
      </c>
      <c r="F158" s="99">
        <v>1</v>
      </c>
      <c r="G158" s="100">
        <v>0</v>
      </c>
      <c r="H158" s="101">
        <f t="shared" si="24"/>
        <v>0</v>
      </c>
      <c r="I158" s="99">
        <v>0</v>
      </c>
      <c r="J158" s="102">
        <f t="shared" si="25"/>
        <v>0</v>
      </c>
      <c r="K158" s="152" t="s">
        <v>1158</v>
      </c>
    </row>
    <row r="159" spans="1:11" ht="30" customHeight="1">
      <c r="A159" s="94">
        <v>153</v>
      </c>
      <c r="B159" s="144" t="s">
        <v>1245</v>
      </c>
      <c r="C159" s="95"/>
      <c r="D159" s="95" t="s">
        <v>1246</v>
      </c>
      <c r="E159" s="99" t="s">
        <v>1155</v>
      </c>
      <c r="F159" s="99">
        <v>1</v>
      </c>
      <c r="G159" s="100">
        <v>0</v>
      </c>
      <c r="H159" s="101">
        <f t="shared" si="24"/>
        <v>0</v>
      </c>
      <c r="I159" s="99">
        <v>0</v>
      </c>
      <c r="J159" s="102">
        <f t="shared" si="25"/>
        <v>0</v>
      </c>
      <c r="K159" s="152" t="s">
        <v>1158</v>
      </c>
    </row>
    <row r="160" spans="1:11" ht="15" customHeight="1">
      <c r="A160" s="94">
        <v>154</v>
      </c>
      <c r="B160" s="144"/>
      <c r="C160" s="97"/>
      <c r="D160" s="97" t="s">
        <v>1247</v>
      </c>
      <c r="E160" s="99" t="s">
        <v>1155</v>
      </c>
      <c r="F160" s="99">
        <v>1</v>
      </c>
      <c r="G160" s="100">
        <v>0</v>
      </c>
      <c r="H160" s="101">
        <f t="shared" si="24"/>
        <v>0</v>
      </c>
      <c r="I160" s="99">
        <v>0</v>
      </c>
      <c r="J160" s="102">
        <f t="shared" si="25"/>
        <v>0</v>
      </c>
      <c r="K160" s="142" t="s">
        <v>1158</v>
      </c>
    </row>
    <row r="161" spans="1:11" ht="15" customHeight="1">
      <c r="A161" s="94">
        <v>155</v>
      </c>
      <c r="B161" s="95"/>
      <c r="C161" s="96"/>
      <c r="D161" s="103" t="s">
        <v>1188</v>
      </c>
      <c r="E161" s="98" t="s">
        <v>1189</v>
      </c>
      <c r="F161" s="99">
        <v>16</v>
      </c>
      <c r="G161" s="100"/>
      <c r="H161" s="101"/>
      <c r="I161" s="99">
        <v>0</v>
      </c>
      <c r="J161" s="102">
        <f>PRODUCT(F161,I161)</f>
        <v>0</v>
      </c>
      <c r="K161" s="141" t="s">
        <v>1158</v>
      </c>
    </row>
    <row r="162" spans="1:11" ht="15" customHeight="1">
      <c r="A162" s="94">
        <v>156</v>
      </c>
      <c r="B162" s="144"/>
      <c r="C162" s="145"/>
      <c r="D162" s="146" t="s">
        <v>1276</v>
      </c>
      <c r="E162" s="147" t="s">
        <v>1189</v>
      </c>
      <c r="F162" s="148">
        <v>24</v>
      </c>
      <c r="G162" s="149"/>
      <c r="H162" s="150"/>
      <c r="I162" s="148">
        <v>0</v>
      </c>
      <c r="J162" s="102">
        <f>PRODUCT(F162,I162)</f>
        <v>0</v>
      </c>
      <c r="K162" s="142" t="s">
        <v>1158</v>
      </c>
    </row>
    <row r="163" spans="1:11" ht="15" customHeight="1">
      <c r="A163" s="94">
        <v>157</v>
      </c>
      <c r="B163" s="144"/>
      <c r="C163" s="145"/>
      <c r="D163" s="146" t="s">
        <v>1277</v>
      </c>
      <c r="E163" s="147" t="s">
        <v>1189</v>
      </c>
      <c r="F163" s="148">
        <v>16</v>
      </c>
      <c r="G163" s="149"/>
      <c r="H163" s="150"/>
      <c r="I163" s="148">
        <v>0</v>
      </c>
      <c r="J163" s="102">
        <f t="shared" ref="J163" si="26">PRODUCT(F163,I163)</f>
        <v>0</v>
      </c>
      <c r="K163" s="142" t="s">
        <v>1158</v>
      </c>
    </row>
    <row r="164" spans="1:11" ht="15" customHeight="1">
      <c r="A164" s="94">
        <v>158</v>
      </c>
      <c r="B164" s="170"/>
      <c r="C164" s="171"/>
      <c r="D164" s="172" t="s">
        <v>1278</v>
      </c>
      <c r="E164" s="146"/>
      <c r="F164" s="173"/>
      <c r="G164" s="149"/>
      <c r="H164" s="150"/>
      <c r="I164" s="173"/>
      <c r="J164" s="150"/>
      <c r="K164" s="174"/>
    </row>
    <row r="165" spans="1:11" ht="120" customHeight="1" thickBot="1">
      <c r="A165" s="94">
        <v>159</v>
      </c>
      <c r="B165" s="163"/>
      <c r="C165" s="119"/>
      <c r="D165" s="121" t="s">
        <v>1260</v>
      </c>
      <c r="E165" s="119" t="s">
        <v>1155</v>
      </c>
      <c r="F165" s="164">
        <v>1</v>
      </c>
      <c r="G165" s="122"/>
      <c r="H165" s="123">
        <v>0</v>
      </c>
      <c r="I165" s="124"/>
      <c r="J165" s="125">
        <v>0</v>
      </c>
      <c r="K165" s="175" t="s">
        <v>1261</v>
      </c>
    </row>
    <row r="166" spans="1:11" ht="15" customHeight="1" thickBot="1">
      <c r="A166" s="94">
        <v>160</v>
      </c>
      <c r="B166" s="127"/>
      <c r="C166" s="128"/>
      <c r="D166" s="129"/>
      <c r="E166" s="130"/>
      <c r="F166" s="131"/>
      <c r="G166" s="132"/>
      <c r="H166" s="133"/>
      <c r="I166" s="131"/>
      <c r="J166" s="134"/>
      <c r="K166" s="135"/>
    </row>
    <row r="167" spans="1:11" ht="15" customHeight="1">
      <c r="A167" s="94">
        <v>161</v>
      </c>
      <c r="B167" s="165"/>
      <c r="C167" s="166" t="s">
        <v>1279</v>
      </c>
      <c r="D167" s="167"/>
      <c r="E167" s="167"/>
      <c r="F167" s="167"/>
      <c r="G167" s="167"/>
      <c r="H167" s="168"/>
      <c r="I167" s="167"/>
      <c r="J167" s="169"/>
      <c r="K167" s="137"/>
    </row>
    <row r="168" spans="1:11" ht="15" customHeight="1">
      <c r="A168" s="94">
        <v>162</v>
      </c>
      <c r="B168" s="95" t="s">
        <v>1280</v>
      </c>
      <c r="C168" s="96"/>
      <c r="D168" s="97" t="s">
        <v>1228</v>
      </c>
      <c r="E168" s="98" t="s">
        <v>1155</v>
      </c>
      <c r="F168" s="99">
        <v>1</v>
      </c>
      <c r="G168" s="100"/>
      <c r="H168" s="101"/>
      <c r="I168" s="99">
        <v>0</v>
      </c>
      <c r="J168" s="102">
        <f t="shared" ref="J168:J174" si="27">PRODUCT(F168,I168)</f>
        <v>0</v>
      </c>
      <c r="K168" s="141" t="s">
        <v>1156</v>
      </c>
    </row>
    <row r="169" spans="1:11" ht="15" customHeight="1">
      <c r="A169" s="94">
        <v>163</v>
      </c>
      <c r="B169" s="95" t="s">
        <v>1281</v>
      </c>
      <c r="C169" s="96"/>
      <c r="D169" s="96" t="s">
        <v>1232</v>
      </c>
      <c r="E169" s="98" t="s">
        <v>1155</v>
      </c>
      <c r="F169" s="99">
        <v>1</v>
      </c>
      <c r="G169" s="100"/>
      <c r="H169" s="101"/>
      <c r="I169" s="99">
        <v>0</v>
      </c>
      <c r="J169" s="102">
        <f t="shared" si="27"/>
        <v>0</v>
      </c>
      <c r="K169" s="141" t="s">
        <v>1156</v>
      </c>
    </row>
    <row r="170" spans="1:11" ht="15" customHeight="1">
      <c r="A170" s="94">
        <v>164</v>
      </c>
      <c r="B170" s="95" t="s">
        <v>1265</v>
      </c>
      <c r="C170" s="96"/>
      <c r="D170" s="97" t="s">
        <v>1234</v>
      </c>
      <c r="E170" s="98" t="s">
        <v>1155</v>
      </c>
      <c r="F170" s="99">
        <v>2</v>
      </c>
      <c r="G170" s="100">
        <v>0</v>
      </c>
      <c r="H170" s="101">
        <f t="shared" ref="H170:H173" si="28">PRODUCT(F170,G170)</f>
        <v>0</v>
      </c>
      <c r="I170" s="99">
        <v>0</v>
      </c>
      <c r="J170" s="102">
        <f t="shared" si="27"/>
        <v>0</v>
      </c>
      <c r="K170" s="141" t="s">
        <v>1158</v>
      </c>
    </row>
    <row r="171" spans="1:11" ht="30" customHeight="1">
      <c r="A171" s="94">
        <v>165</v>
      </c>
      <c r="B171" s="95" t="s">
        <v>1235</v>
      </c>
      <c r="C171" s="96"/>
      <c r="D171" s="95" t="s">
        <v>1236</v>
      </c>
      <c r="E171" s="98" t="s">
        <v>1155</v>
      </c>
      <c r="F171" s="99">
        <v>1</v>
      </c>
      <c r="G171" s="100">
        <v>0</v>
      </c>
      <c r="H171" s="101">
        <f t="shared" si="28"/>
        <v>0</v>
      </c>
      <c r="I171" s="99">
        <v>0</v>
      </c>
      <c r="J171" s="102">
        <f t="shared" si="27"/>
        <v>0</v>
      </c>
      <c r="K171" s="141" t="s">
        <v>1158</v>
      </c>
    </row>
    <row r="172" spans="1:11" ht="15" customHeight="1">
      <c r="A172" s="94">
        <v>166</v>
      </c>
      <c r="B172" s="95" t="s">
        <v>1169</v>
      </c>
      <c r="C172" s="96"/>
      <c r="D172" s="95" t="s">
        <v>1172</v>
      </c>
      <c r="E172" s="98" t="s">
        <v>1155</v>
      </c>
      <c r="F172" s="99">
        <v>1</v>
      </c>
      <c r="G172" s="100">
        <v>0</v>
      </c>
      <c r="H172" s="101">
        <f t="shared" si="28"/>
        <v>0</v>
      </c>
      <c r="I172" s="99">
        <v>0</v>
      </c>
      <c r="J172" s="102">
        <f t="shared" si="27"/>
        <v>0</v>
      </c>
      <c r="K172" s="142" t="s">
        <v>1158</v>
      </c>
    </row>
    <row r="173" spans="1:11" ht="15" customHeight="1">
      <c r="A173" s="94">
        <v>167</v>
      </c>
      <c r="B173" s="95" t="s">
        <v>1237</v>
      </c>
      <c r="C173" s="96"/>
      <c r="D173" s="143" t="s">
        <v>1175</v>
      </c>
      <c r="E173" s="105" t="s">
        <v>1155</v>
      </c>
      <c r="F173" s="105">
        <v>1</v>
      </c>
      <c r="G173" s="106">
        <v>0</v>
      </c>
      <c r="H173" s="101">
        <f t="shared" si="28"/>
        <v>0</v>
      </c>
      <c r="I173" s="99">
        <v>0</v>
      </c>
      <c r="J173" s="102">
        <f t="shared" si="27"/>
        <v>0</v>
      </c>
      <c r="K173" s="142" t="s">
        <v>1158</v>
      </c>
    </row>
    <row r="174" spans="1:11" ht="15" customHeight="1">
      <c r="A174" s="94">
        <v>168</v>
      </c>
      <c r="B174" s="95" t="s">
        <v>1282</v>
      </c>
      <c r="C174" s="96"/>
      <c r="D174" s="95" t="s">
        <v>1239</v>
      </c>
      <c r="E174" s="98" t="s">
        <v>1155</v>
      </c>
      <c r="F174" s="99">
        <v>1</v>
      </c>
      <c r="G174" s="100"/>
      <c r="H174" s="101"/>
      <c r="I174" s="99">
        <v>0</v>
      </c>
      <c r="J174" s="102">
        <f t="shared" si="27"/>
        <v>0</v>
      </c>
      <c r="K174" s="93" t="s">
        <v>1158</v>
      </c>
    </row>
    <row r="175" spans="1:11" ht="15" customHeight="1">
      <c r="A175" s="94">
        <v>169</v>
      </c>
      <c r="B175" s="144"/>
      <c r="C175" s="145"/>
      <c r="D175" s="146"/>
      <c r="E175" s="147"/>
      <c r="F175" s="148"/>
      <c r="G175" s="149"/>
      <c r="H175" s="150"/>
      <c r="I175" s="148"/>
      <c r="J175" s="151"/>
      <c r="K175" s="142"/>
    </row>
    <row r="176" spans="1:11" ht="15" customHeight="1">
      <c r="A176" s="94">
        <v>170</v>
      </c>
      <c r="B176" s="144"/>
      <c r="C176" s="108"/>
      <c r="D176" s="108" t="s">
        <v>1240</v>
      </c>
      <c r="E176" s="99"/>
      <c r="F176" s="99"/>
      <c r="G176" s="100"/>
      <c r="H176" s="101"/>
      <c r="I176" s="99"/>
      <c r="J176" s="102"/>
      <c r="K176" s="142"/>
    </row>
    <row r="177" spans="1:11" ht="30" customHeight="1">
      <c r="A177" s="94">
        <v>171</v>
      </c>
      <c r="B177" s="144" t="s">
        <v>1191</v>
      </c>
      <c r="C177" s="95"/>
      <c r="D177" s="95" t="s">
        <v>1241</v>
      </c>
      <c r="E177" s="99" t="s">
        <v>1155</v>
      </c>
      <c r="F177" s="99">
        <v>1</v>
      </c>
      <c r="G177" s="100"/>
      <c r="H177" s="101"/>
      <c r="I177" s="99"/>
      <c r="J177" s="102"/>
      <c r="K177" s="152" t="s">
        <v>1156</v>
      </c>
    </row>
    <row r="178" spans="1:11" ht="30" customHeight="1">
      <c r="A178" s="94">
        <v>172</v>
      </c>
      <c r="B178" s="144" t="s">
        <v>1195</v>
      </c>
      <c r="C178" s="95"/>
      <c r="D178" s="95" t="s">
        <v>1242</v>
      </c>
      <c r="E178" s="99" t="s">
        <v>1155</v>
      </c>
      <c r="F178" s="99">
        <v>1</v>
      </c>
      <c r="G178" s="100">
        <v>0</v>
      </c>
      <c r="H178" s="101">
        <f t="shared" ref="H178:H181" si="29">PRODUCT(F178,G178)</f>
        <v>0</v>
      </c>
      <c r="I178" s="99">
        <v>0</v>
      </c>
      <c r="J178" s="102">
        <f t="shared" ref="J178:J182" si="30">PRODUCT(F178,I178)</f>
        <v>0</v>
      </c>
      <c r="K178" s="152" t="s">
        <v>1158</v>
      </c>
    </row>
    <row r="179" spans="1:11" ht="30" customHeight="1">
      <c r="A179" s="94">
        <v>173</v>
      </c>
      <c r="B179" s="144" t="s">
        <v>1243</v>
      </c>
      <c r="C179" s="95"/>
      <c r="D179" s="95" t="s">
        <v>1244</v>
      </c>
      <c r="E179" s="99" t="s">
        <v>1155</v>
      </c>
      <c r="F179" s="99">
        <v>1</v>
      </c>
      <c r="G179" s="100">
        <v>0</v>
      </c>
      <c r="H179" s="101">
        <f t="shared" si="29"/>
        <v>0</v>
      </c>
      <c r="I179" s="99">
        <v>0</v>
      </c>
      <c r="J179" s="102">
        <f t="shared" si="30"/>
        <v>0</v>
      </c>
      <c r="K179" s="152" t="s">
        <v>1158</v>
      </c>
    </row>
    <row r="180" spans="1:11" ht="30" customHeight="1">
      <c r="A180" s="94">
        <v>174</v>
      </c>
      <c r="B180" s="144" t="s">
        <v>1245</v>
      </c>
      <c r="C180" s="95"/>
      <c r="D180" s="95" t="s">
        <v>1246</v>
      </c>
      <c r="E180" s="99" t="s">
        <v>1155</v>
      </c>
      <c r="F180" s="99">
        <v>1</v>
      </c>
      <c r="G180" s="100">
        <v>0</v>
      </c>
      <c r="H180" s="101">
        <f t="shared" si="29"/>
        <v>0</v>
      </c>
      <c r="I180" s="99">
        <v>0</v>
      </c>
      <c r="J180" s="102">
        <f t="shared" si="30"/>
        <v>0</v>
      </c>
      <c r="K180" s="152" t="s">
        <v>1158</v>
      </c>
    </row>
    <row r="181" spans="1:11" ht="15" customHeight="1">
      <c r="A181" s="94">
        <v>175</v>
      </c>
      <c r="B181" s="144"/>
      <c r="C181" s="97"/>
      <c r="D181" s="97" t="s">
        <v>1247</v>
      </c>
      <c r="E181" s="99" t="s">
        <v>1155</v>
      </c>
      <c r="F181" s="99">
        <v>1</v>
      </c>
      <c r="G181" s="100">
        <v>0</v>
      </c>
      <c r="H181" s="101">
        <f t="shared" si="29"/>
        <v>0</v>
      </c>
      <c r="I181" s="99">
        <v>0</v>
      </c>
      <c r="J181" s="102">
        <f t="shared" si="30"/>
        <v>0</v>
      </c>
      <c r="K181" s="142" t="s">
        <v>1158</v>
      </c>
    </row>
    <row r="182" spans="1:11" ht="15" customHeight="1">
      <c r="A182" s="94">
        <v>176</v>
      </c>
      <c r="B182" s="97"/>
      <c r="C182" s="98"/>
      <c r="D182" s="103" t="s">
        <v>1248</v>
      </c>
      <c r="E182" s="98" t="s">
        <v>1189</v>
      </c>
      <c r="F182" s="99">
        <v>16</v>
      </c>
      <c r="G182" s="101"/>
      <c r="H182" s="101"/>
      <c r="I182" s="153">
        <v>0</v>
      </c>
      <c r="J182" s="102">
        <f t="shared" si="30"/>
        <v>0</v>
      </c>
      <c r="K182" s="141" t="s">
        <v>1158</v>
      </c>
    </row>
    <row r="183" spans="1:11" ht="15" customHeight="1">
      <c r="A183" s="94">
        <v>177</v>
      </c>
      <c r="B183" s="95"/>
      <c r="C183" s="96"/>
      <c r="D183" s="103" t="s">
        <v>1188</v>
      </c>
      <c r="E183" s="98" t="s">
        <v>1189</v>
      </c>
      <c r="F183" s="99">
        <v>16</v>
      </c>
      <c r="G183" s="100"/>
      <c r="H183" s="101"/>
      <c r="I183" s="99">
        <v>0</v>
      </c>
      <c r="J183" s="102">
        <f>PRODUCT(F183,I183)</f>
        <v>0</v>
      </c>
      <c r="K183" s="141" t="s">
        <v>1158</v>
      </c>
    </row>
    <row r="184" spans="1:11" ht="15" customHeight="1">
      <c r="A184" s="94">
        <v>178</v>
      </c>
      <c r="B184" s="144"/>
      <c r="C184" s="145"/>
      <c r="D184" s="146" t="s">
        <v>1283</v>
      </c>
      <c r="E184" s="147" t="s">
        <v>1189</v>
      </c>
      <c r="F184" s="148">
        <v>24</v>
      </c>
      <c r="G184" s="149"/>
      <c r="H184" s="150"/>
      <c r="I184" s="148">
        <v>0</v>
      </c>
      <c r="J184" s="102">
        <f>PRODUCT(F184,I184)</f>
        <v>0</v>
      </c>
      <c r="K184" s="142" t="s">
        <v>1158</v>
      </c>
    </row>
    <row r="185" spans="1:11" ht="15" customHeight="1" thickBot="1">
      <c r="A185" s="94">
        <v>179</v>
      </c>
      <c r="B185" s="154"/>
      <c r="C185" s="155"/>
      <c r="D185" s="156" t="s">
        <v>1284</v>
      </c>
      <c r="E185" s="157" t="s">
        <v>1189</v>
      </c>
      <c r="F185" s="158">
        <v>24</v>
      </c>
      <c r="G185" s="159"/>
      <c r="H185" s="160"/>
      <c r="I185" s="158">
        <v>0</v>
      </c>
      <c r="J185" s="125">
        <f t="shared" ref="J185" si="31">PRODUCT(F185,I185)</f>
        <v>0</v>
      </c>
      <c r="K185" s="161" t="s">
        <v>1158</v>
      </c>
    </row>
    <row r="186" spans="1:11" ht="15" customHeight="1">
      <c r="A186" s="94">
        <v>180</v>
      </c>
      <c r="B186" s="144"/>
      <c r="C186" s="145"/>
      <c r="D186" s="146"/>
      <c r="E186" s="147"/>
      <c r="F186" s="148"/>
      <c r="G186" s="149"/>
      <c r="H186" s="150"/>
      <c r="I186" s="148"/>
      <c r="J186" s="151"/>
      <c r="K186" s="142"/>
    </row>
    <row r="187" spans="1:11" ht="15" customHeight="1">
      <c r="A187" s="94">
        <v>181</v>
      </c>
      <c r="B187" s="97"/>
      <c r="C187" s="108"/>
      <c r="D187" s="176" t="s">
        <v>1285</v>
      </c>
      <c r="E187" s="98"/>
      <c r="F187" s="103"/>
      <c r="G187" s="100"/>
      <c r="H187" s="101"/>
      <c r="I187" s="103"/>
      <c r="J187" s="102"/>
      <c r="K187" s="177"/>
    </row>
    <row r="188" spans="1:11" s="181" customFormat="1" ht="15" customHeight="1">
      <c r="A188" s="94">
        <v>182</v>
      </c>
      <c r="B188" s="109"/>
      <c r="C188" s="178"/>
      <c r="D188" s="103" t="s">
        <v>1286</v>
      </c>
      <c r="E188" s="98" t="s">
        <v>63</v>
      </c>
      <c r="F188" s="179">
        <v>70</v>
      </c>
      <c r="G188" s="112">
        <v>0</v>
      </c>
      <c r="H188" s="101">
        <f t="shared" ref="H188:H194" si="32">PRODUCT(F188,G188)</f>
        <v>0</v>
      </c>
      <c r="I188" s="179">
        <v>0</v>
      </c>
      <c r="J188" s="102">
        <f t="shared" ref="J188:J194" si="33">PRODUCT(E188,H188)</f>
        <v>0</v>
      </c>
      <c r="K188" s="180"/>
    </row>
    <row r="189" spans="1:11" s="181" customFormat="1" ht="15" customHeight="1">
      <c r="A189" s="94">
        <v>183</v>
      </c>
      <c r="B189" s="109"/>
      <c r="C189" s="178"/>
      <c r="D189" s="103" t="s">
        <v>1287</v>
      </c>
      <c r="E189" s="98" t="s">
        <v>63</v>
      </c>
      <c r="F189" s="179">
        <v>50</v>
      </c>
      <c r="G189" s="112">
        <v>0</v>
      </c>
      <c r="H189" s="101">
        <f t="shared" si="32"/>
        <v>0</v>
      </c>
      <c r="I189" s="179">
        <v>0</v>
      </c>
      <c r="J189" s="102">
        <f t="shared" si="33"/>
        <v>0</v>
      </c>
      <c r="K189" s="180"/>
    </row>
    <row r="190" spans="1:11" s="181" customFormat="1" ht="15" customHeight="1">
      <c r="A190" s="94">
        <v>184</v>
      </c>
      <c r="B190" s="109"/>
      <c r="C190" s="178"/>
      <c r="D190" s="103" t="s">
        <v>1288</v>
      </c>
      <c r="E190" s="98" t="s">
        <v>63</v>
      </c>
      <c r="F190" s="179">
        <v>84</v>
      </c>
      <c r="G190" s="112">
        <v>0</v>
      </c>
      <c r="H190" s="101">
        <f t="shared" si="32"/>
        <v>0</v>
      </c>
      <c r="I190" s="179">
        <v>0</v>
      </c>
      <c r="J190" s="102">
        <f t="shared" si="33"/>
        <v>0</v>
      </c>
      <c r="K190" s="180"/>
    </row>
    <row r="191" spans="1:11" s="181" customFormat="1" ht="15" customHeight="1">
      <c r="A191" s="94">
        <v>185</v>
      </c>
      <c r="B191" s="109"/>
      <c r="C191" s="178"/>
      <c r="D191" s="103" t="s">
        <v>1289</v>
      </c>
      <c r="E191" s="98" t="s">
        <v>63</v>
      </c>
      <c r="F191" s="179">
        <v>160</v>
      </c>
      <c r="G191" s="112">
        <v>0</v>
      </c>
      <c r="H191" s="101">
        <f t="shared" si="32"/>
        <v>0</v>
      </c>
      <c r="I191" s="179">
        <v>0</v>
      </c>
      <c r="J191" s="102">
        <f t="shared" si="33"/>
        <v>0</v>
      </c>
      <c r="K191" s="180"/>
    </row>
    <row r="192" spans="1:11" s="181" customFormat="1" ht="15" customHeight="1">
      <c r="A192" s="94">
        <v>186</v>
      </c>
      <c r="B192" s="109"/>
      <c r="C192" s="178"/>
      <c r="D192" s="103" t="s">
        <v>1290</v>
      </c>
      <c r="E192" s="98" t="s">
        <v>63</v>
      </c>
      <c r="F192" s="179">
        <v>210</v>
      </c>
      <c r="G192" s="112">
        <v>0</v>
      </c>
      <c r="H192" s="101">
        <f>PRODUCT(F192,G192)</f>
        <v>0</v>
      </c>
      <c r="I192" s="179">
        <v>0</v>
      </c>
      <c r="J192" s="102">
        <f>PRODUCT(E192,H192)</f>
        <v>0</v>
      </c>
      <c r="K192" s="180"/>
    </row>
    <row r="193" spans="1:11" s="181" customFormat="1" ht="15" customHeight="1">
      <c r="A193" s="94">
        <v>187</v>
      </c>
      <c r="B193" s="109"/>
      <c r="C193" s="178"/>
      <c r="D193" s="103" t="s">
        <v>1291</v>
      </c>
      <c r="E193" s="98" t="s">
        <v>63</v>
      </c>
      <c r="F193" s="179">
        <v>300</v>
      </c>
      <c r="G193" s="112">
        <v>0</v>
      </c>
      <c r="H193" s="101">
        <f>PRODUCT(F193,G193)</f>
        <v>0</v>
      </c>
      <c r="I193" s="179">
        <v>0</v>
      </c>
      <c r="J193" s="102">
        <f t="shared" si="33"/>
        <v>0</v>
      </c>
      <c r="K193" s="180"/>
    </row>
    <row r="194" spans="1:11" s="181" customFormat="1" ht="15" customHeight="1">
      <c r="A194" s="94">
        <v>188</v>
      </c>
      <c r="B194" s="109"/>
      <c r="C194" s="178"/>
      <c r="D194" s="103" t="s">
        <v>1292</v>
      </c>
      <c r="E194" s="98" t="s">
        <v>63</v>
      </c>
      <c r="F194" s="179">
        <v>485</v>
      </c>
      <c r="G194" s="112">
        <v>0</v>
      </c>
      <c r="H194" s="101">
        <f t="shared" si="32"/>
        <v>0</v>
      </c>
      <c r="I194" s="179">
        <v>0</v>
      </c>
      <c r="J194" s="102">
        <f t="shared" si="33"/>
        <v>0</v>
      </c>
      <c r="K194" s="180"/>
    </row>
    <row r="195" spans="1:11" s="184" customFormat="1" ht="15" customHeight="1">
      <c r="A195" s="94">
        <v>189</v>
      </c>
      <c r="B195" s="109"/>
      <c r="C195" s="96"/>
      <c r="D195" s="182" t="s">
        <v>1293</v>
      </c>
      <c r="E195" s="98" t="s">
        <v>1155</v>
      </c>
      <c r="F195" s="103">
        <v>1</v>
      </c>
      <c r="G195" s="183"/>
      <c r="H195" s="101"/>
      <c r="I195" s="183">
        <f>SUM(J188:J194)*0.06</f>
        <v>0</v>
      </c>
      <c r="J195" s="102">
        <f>PRODUCT(F195,I195)</f>
        <v>0</v>
      </c>
      <c r="K195" s="177"/>
    </row>
    <row r="196" spans="1:11" ht="15" customHeight="1">
      <c r="A196" s="94">
        <v>190</v>
      </c>
      <c r="B196" s="97"/>
      <c r="C196" s="96"/>
      <c r="D196" s="185"/>
      <c r="E196" s="98"/>
      <c r="F196" s="103"/>
      <c r="G196" s="186"/>
      <c r="H196" s="101"/>
      <c r="I196" s="103"/>
      <c r="J196" s="102"/>
      <c r="K196" s="177"/>
    </row>
    <row r="197" spans="1:11" ht="15" customHeight="1">
      <c r="A197" s="94">
        <v>191</v>
      </c>
      <c r="B197" s="97"/>
      <c r="C197" s="185"/>
      <c r="D197" s="185" t="s">
        <v>1294</v>
      </c>
      <c r="E197" s="98"/>
      <c r="F197" s="103"/>
      <c r="G197" s="186"/>
      <c r="H197" s="101"/>
      <c r="I197" s="103"/>
      <c r="J197" s="102"/>
      <c r="K197" s="177"/>
    </row>
    <row r="198" spans="1:11" ht="15" customHeight="1">
      <c r="A198" s="94">
        <v>192</v>
      </c>
      <c r="B198" s="97"/>
      <c r="D198" s="96" t="s">
        <v>1295</v>
      </c>
      <c r="E198" s="98" t="s">
        <v>1155</v>
      </c>
      <c r="F198" s="103">
        <v>1</v>
      </c>
      <c r="G198" s="101"/>
      <c r="H198" s="101"/>
      <c r="I198" s="187">
        <v>0</v>
      </c>
      <c r="J198" s="102">
        <f>PRODUCT(F198,I198)</f>
        <v>0</v>
      </c>
      <c r="K198" s="177"/>
    </row>
    <row r="199" spans="1:11" ht="15" customHeight="1">
      <c r="A199" s="94">
        <v>193</v>
      </c>
      <c r="B199" s="97"/>
      <c r="C199" s="97"/>
      <c r="D199" s="98" t="s">
        <v>1296</v>
      </c>
      <c r="E199" s="98" t="s">
        <v>1297</v>
      </c>
      <c r="F199" s="153">
        <v>70</v>
      </c>
      <c r="G199" s="101"/>
      <c r="H199" s="101"/>
      <c r="I199" s="153">
        <v>0</v>
      </c>
      <c r="J199" s="102">
        <f t="shared" ref="J199:J207" si="34">PRODUCT(F199,I199)</f>
        <v>0</v>
      </c>
      <c r="K199" s="188"/>
    </row>
    <row r="200" spans="1:11" ht="15" customHeight="1">
      <c r="A200" s="94">
        <v>194</v>
      </c>
      <c r="B200" s="97"/>
      <c r="C200" s="98"/>
      <c r="D200" s="103" t="s">
        <v>1298</v>
      </c>
      <c r="E200" s="98" t="s">
        <v>1297</v>
      </c>
      <c r="F200" s="153">
        <v>70</v>
      </c>
      <c r="G200" s="101"/>
      <c r="H200" s="101"/>
      <c r="I200" s="153">
        <v>0</v>
      </c>
      <c r="J200" s="102">
        <f t="shared" si="34"/>
        <v>0</v>
      </c>
      <c r="K200" s="188"/>
    </row>
    <row r="201" spans="1:11" ht="15" customHeight="1">
      <c r="A201" s="94">
        <v>195</v>
      </c>
      <c r="B201" s="97"/>
      <c r="C201" s="98"/>
      <c r="D201" s="103" t="s">
        <v>1299</v>
      </c>
      <c r="E201" s="98" t="s">
        <v>1297</v>
      </c>
      <c r="F201" s="153">
        <f>SUM(F199:F199)</f>
        <v>70</v>
      </c>
      <c r="G201" s="101"/>
      <c r="H201" s="101"/>
      <c r="I201" s="153">
        <v>0</v>
      </c>
      <c r="J201" s="102">
        <f t="shared" si="34"/>
        <v>0</v>
      </c>
      <c r="K201" s="188"/>
    </row>
    <row r="202" spans="1:11" ht="15" customHeight="1">
      <c r="A202" s="94">
        <v>196</v>
      </c>
      <c r="B202" s="97"/>
      <c r="C202" s="98"/>
      <c r="D202" s="103" t="s">
        <v>1300</v>
      </c>
      <c r="E202" s="98" t="s">
        <v>1155</v>
      </c>
      <c r="F202" s="103">
        <v>1</v>
      </c>
      <c r="G202" s="101"/>
      <c r="H202" s="101"/>
      <c r="I202" s="153">
        <v>0</v>
      </c>
      <c r="J202" s="102">
        <f t="shared" si="34"/>
        <v>0</v>
      </c>
      <c r="K202" s="188"/>
    </row>
    <row r="203" spans="1:11" ht="15" customHeight="1">
      <c r="A203" s="94">
        <v>197</v>
      </c>
      <c r="B203" s="97"/>
      <c r="C203" s="98"/>
      <c r="D203" s="103" t="s">
        <v>1301</v>
      </c>
      <c r="E203" s="98" t="s">
        <v>1189</v>
      </c>
      <c r="F203" s="99">
        <v>8</v>
      </c>
      <c r="G203" s="101"/>
      <c r="H203" s="101"/>
      <c r="I203" s="153">
        <v>0</v>
      </c>
      <c r="J203" s="102">
        <f t="shared" si="34"/>
        <v>0</v>
      </c>
      <c r="K203" s="141"/>
    </row>
    <row r="204" spans="1:11" ht="15" customHeight="1">
      <c r="A204" s="94">
        <v>198</v>
      </c>
      <c r="B204" s="97"/>
      <c r="C204" s="98"/>
      <c r="D204" s="103" t="s">
        <v>1302</v>
      </c>
      <c r="E204" s="103" t="s">
        <v>1189</v>
      </c>
      <c r="F204" s="99">
        <v>8</v>
      </c>
      <c r="G204" s="101"/>
      <c r="H204" s="101"/>
      <c r="I204" s="153">
        <v>0</v>
      </c>
      <c r="J204" s="102">
        <f t="shared" si="34"/>
        <v>0</v>
      </c>
      <c r="K204" s="141"/>
    </row>
    <row r="205" spans="1:11" ht="15" customHeight="1">
      <c r="A205" s="94">
        <v>199</v>
      </c>
      <c r="B205" s="97"/>
      <c r="C205" s="98"/>
      <c r="D205" s="103" t="s">
        <v>1303</v>
      </c>
      <c r="E205" s="98" t="s">
        <v>1189</v>
      </c>
      <c r="F205" s="99">
        <v>8</v>
      </c>
      <c r="G205" s="101"/>
      <c r="H205" s="101"/>
      <c r="I205" s="153">
        <v>0</v>
      </c>
      <c r="J205" s="102">
        <f t="shared" si="34"/>
        <v>0</v>
      </c>
      <c r="K205" s="141"/>
    </row>
    <row r="206" spans="1:11" ht="15" customHeight="1">
      <c r="A206" s="94">
        <v>200</v>
      </c>
      <c r="B206" s="97"/>
      <c r="C206" s="98"/>
      <c r="D206" s="98" t="s">
        <v>1304</v>
      </c>
      <c r="E206" s="98" t="s">
        <v>1155</v>
      </c>
      <c r="F206" s="99">
        <v>7</v>
      </c>
      <c r="G206" s="101"/>
      <c r="H206" s="101"/>
      <c r="I206" s="153">
        <v>0</v>
      </c>
      <c r="J206" s="102">
        <f t="shared" si="34"/>
        <v>0</v>
      </c>
      <c r="K206" s="141"/>
    </row>
    <row r="207" spans="1:11" ht="15" customHeight="1" thickBot="1">
      <c r="A207" s="94">
        <v>201</v>
      </c>
      <c r="B207" s="109"/>
      <c r="C207" s="98"/>
      <c r="D207" s="98" t="s">
        <v>1305</v>
      </c>
      <c r="E207" s="98" t="s">
        <v>1306</v>
      </c>
      <c r="F207" s="110">
        <v>1</v>
      </c>
      <c r="G207" s="189"/>
      <c r="H207" s="189"/>
      <c r="I207" s="102">
        <v>0</v>
      </c>
      <c r="J207" s="102">
        <f t="shared" si="34"/>
        <v>0</v>
      </c>
      <c r="K207" s="190"/>
    </row>
    <row r="208" spans="1:11" ht="15.75" thickBot="1">
      <c r="A208" s="191">
        <v>202</v>
      </c>
      <c r="B208" s="117"/>
      <c r="C208" s="119"/>
      <c r="D208" s="192"/>
      <c r="E208" s="193"/>
      <c r="F208" s="194"/>
      <c r="G208" s="195" t="s">
        <v>1307</v>
      </c>
      <c r="H208" s="196">
        <f>SUM(H8:H207)</f>
        <v>0</v>
      </c>
      <c r="I208" s="197"/>
      <c r="J208" s="198">
        <f>SUM(J8:J207)</f>
        <v>0</v>
      </c>
      <c r="K208" s="199"/>
    </row>
    <row r="209" spans="1:11" ht="15.75" thickBot="1">
      <c r="A209" s="200"/>
      <c r="B209" s="201"/>
      <c r="C209" s="201"/>
      <c r="D209" s="201"/>
      <c r="E209" s="201"/>
      <c r="F209" s="201"/>
      <c r="G209" s="195" t="s">
        <v>1307</v>
      </c>
      <c r="H209" s="202">
        <f>SUM(J208,H208)</f>
        <v>0</v>
      </c>
      <c r="I209" s="203"/>
      <c r="J209" s="204"/>
      <c r="K209" s="205"/>
    </row>
  </sheetData>
  <mergeCells count="5">
    <mergeCell ref="D2:K2"/>
    <mergeCell ref="D3:K3"/>
    <mergeCell ref="G21:G26"/>
    <mergeCell ref="G30:G42"/>
    <mergeCell ref="I30:I42"/>
  </mergeCells>
  <pageMargins left="0.9055118110236221" right="0.51181102362204722" top="0.74803149606299213" bottom="0.74803149606299213" header="0.31496062992125984" footer="0.31496062992125984"/>
  <pageSetup paperSize="9" scale="80" orientation="landscape" r:id="rId1"/>
  <headerFooter>
    <oddFooter>&amp;L&amp;"Times New Roman,Obyčejné"&amp;A&amp;C&amp;"Times New Roman,Obyčejné"&amp;P/&amp;N&amp;R&amp;"Times New Roman,Obyčejné"12.2025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workbookViewId="0">
      <selection activeCell="A45" sqref="A45:E45"/>
    </sheetView>
  </sheetViews>
  <sheetFormatPr defaultColWidth="12.140625" defaultRowHeight="15" customHeight="1"/>
  <cols>
    <col min="1" max="1" width="9.140625" customWidth="1"/>
    <col min="2" max="2" width="12.85546875" customWidth="1"/>
    <col min="3" max="3" width="22.85546875" customWidth="1"/>
    <col min="4" max="4" width="10" customWidth="1"/>
    <col min="5" max="5" width="14" customWidth="1"/>
    <col min="6" max="6" width="22.85546875" customWidth="1"/>
    <col min="7" max="7" width="9.140625" customWidth="1"/>
    <col min="8" max="8" width="17.140625" customWidth="1"/>
    <col min="9" max="9" width="22.85546875" customWidth="1"/>
  </cols>
  <sheetData>
    <row r="1" spans="1:9" ht="54.75" customHeight="1">
      <c r="A1" s="352" t="s">
        <v>24</v>
      </c>
      <c r="B1" s="353"/>
      <c r="C1" s="353"/>
      <c r="D1" s="353"/>
      <c r="E1" s="353"/>
      <c r="F1" s="353"/>
      <c r="G1" s="353"/>
      <c r="H1" s="353"/>
      <c r="I1" s="353"/>
    </row>
    <row r="2" spans="1:9">
      <c r="A2" s="354" t="s">
        <v>1</v>
      </c>
      <c r="B2" s="351"/>
      <c r="C2" s="346" t="str">
        <f>'Stavební rozpočet'!D2</f>
        <v>ZŠ U Červených domků - rekonstrukce teplovodů</v>
      </c>
      <c r="D2" s="347"/>
      <c r="E2" s="350" t="s">
        <v>3</v>
      </c>
      <c r="F2" s="350" t="str">
        <f>'Stavební rozpočet'!J2</f>
        <v>Město Hodonín,, Masarykovo nám. 53/1, 695 35 Hodon</v>
      </c>
      <c r="G2" s="351"/>
      <c r="H2" s="350" t="s">
        <v>460</v>
      </c>
      <c r="I2" s="356" t="s">
        <v>21</v>
      </c>
    </row>
    <row r="3" spans="1:9" ht="15" customHeight="1">
      <c r="A3" s="355"/>
      <c r="B3" s="342"/>
      <c r="C3" s="348"/>
      <c r="D3" s="348"/>
      <c r="E3" s="342"/>
      <c r="F3" s="342"/>
      <c r="G3" s="342"/>
      <c r="H3" s="342"/>
      <c r="I3" s="357"/>
    </row>
    <row r="4" spans="1:9">
      <c r="A4" s="344" t="s">
        <v>4</v>
      </c>
      <c r="B4" s="342"/>
      <c r="C4" s="349" t="str">
        <f>'Stavební rozpočet'!D4</f>
        <v>Rekonstrukce zdroje tepla a jeho distribuční sítě v areálu ZŠ U Červených domků</v>
      </c>
      <c r="D4" s="342"/>
      <c r="E4" s="349" t="s">
        <v>6</v>
      </c>
      <c r="F4" s="349" t="str">
        <f>'Stavební rozpočet'!J4</f>
        <v>VS-ingline, s.r.o.</v>
      </c>
      <c r="G4" s="342"/>
      <c r="H4" s="349" t="s">
        <v>460</v>
      </c>
      <c r="I4" s="357" t="s">
        <v>461</v>
      </c>
    </row>
    <row r="5" spans="1:9" ht="25.5" customHeight="1">
      <c r="A5" s="355"/>
      <c r="B5" s="342"/>
      <c r="C5" s="342"/>
      <c r="D5" s="342"/>
      <c r="E5" s="342"/>
      <c r="F5" s="342"/>
      <c r="G5" s="342"/>
      <c r="H5" s="342"/>
      <c r="I5" s="357"/>
    </row>
    <row r="6" spans="1:9">
      <c r="A6" s="344" t="s">
        <v>7</v>
      </c>
      <c r="B6" s="342"/>
      <c r="C6" s="349" t="str">
        <f>'Stavební rozpočet'!D6</f>
        <v>Hodonín, ZŠ U Červených domků</v>
      </c>
      <c r="D6" s="342"/>
      <c r="E6" s="349" t="s">
        <v>9</v>
      </c>
      <c r="F6" s="349" t="str">
        <f>'Stavební rozpočet'!J6</f>
        <v> </v>
      </c>
      <c r="G6" s="342"/>
      <c r="H6" s="349" t="s">
        <v>460</v>
      </c>
      <c r="I6" s="357" t="s">
        <v>21</v>
      </c>
    </row>
    <row r="7" spans="1:9" ht="15" customHeight="1">
      <c r="A7" s="355"/>
      <c r="B7" s="342"/>
      <c r="C7" s="342"/>
      <c r="D7" s="342"/>
      <c r="E7" s="342"/>
      <c r="F7" s="342"/>
      <c r="G7" s="342"/>
      <c r="H7" s="342"/>
      <c r="I7" s="357"/>
    </row>
    <row r="8" spans="1:9">
      <c r="A8" s="344" t="s">
        <v>5</v>
      </c>
      <c r="B8" s="342"/>
      <c r="C8" s="349" t="str">
        <f>'Stavební rozpočet'!H4</f>
        <v xml:space="preserve"> </v>
      </c>
      <c r="D8" s="342"/>
      <c r="E8" s="349" t="s">
        <v>8</v>
      </c>
      <c r="F8" s="349" t="str">
        <f>'Stavební rozpočet'!H6</f>
        <v xml:space="preserve"> </v>
      </c>
      <c r="G8" s="342"/>
      <c r="H8" s="342" t="s">
        <v>462</v>
      </c>
      <c r="I8" s="358">
        <v>490</v>
      </c>
    </row>
    <row r="9" spans="1:9">
      <c r="A9" s="355"/>
      <c r="B9" s="342"/>
      <c r="C9" s="342"/>
      <c r="D9" s="342"/>
      <c r="E9" s="342"/>
      <c r="F9" s="342"/>
      <c r="G9" s="342"/>
      <c r="H9" s="342"/>
      <c r="I9" s="357"/>
    </row>
    <row r="10" spans="1:9">
      <c r="A10" s="344" t="s">
        <v>10</v>
      </c>
      <c r="B10" s="342"/>
      <c r="C10" s="349" t="str">
        <f>'Stavební rozpočet'!D8</f>
        <v xml:space="preserve"> </v>
      </c>
      <c r="D10" s="342"/>
      <c r="E10" s="349" t="s">
        <v>12</v>
      </c>
      <c r="F10" s="349" t="str">
        <f>'Stavební rozpočet'!J8</f>
        <v>Ing. Miloš Červený</v>
      </c>
      <c r="G10" s="342"/>
      <c r="H10" s="342" t="s">
        <v>463</v>
      </c>
      <c r="I10" s="340" t="str">
        <f>'Stavební rozpočet'!H8</f>
        <v>28.12.2023</v>
      </c>
    </row>
    <row r="11" spans="1:9">
      <c r="A11" s="345"/>
      <c r="B11" s="343"/>
      <c r="C11" s="343"/>
      <c r="D11" s="343"/>
      <c r="E11" s="343"/>
      <c r="F11" s="343"/>
      <c r="G11" s="343"/>
      <c r="H11" s="343"/>
      <c r="I11" s="341"/>
    </row>
    <row r="13" spans="1:9" ht="15.75">
      <c r="A13" s="336" t="s">
        <v>504</v>
      </c>
      <c r="B13" s="336"/>
      <c r="C13" s="336"/>
      <c r="D13" s="336"/>
      <c r="E13" s="336"/>
    </row>
    <row r="14" spans="1:9">
      <c r="A14" s="337" t="s">
        <v>505</v>
      </c>
      <c r="B14" s="338"/>
      <c r="C14" s="338"/>
      <c r="D14" s="338"/>
      <c r="E14" s="339"/>
      <c r="F14" s="16" t="s">
        <v>506</v>
      </c>
      <c r="G14" s="16" t="s">
        <v>507</v>
      </c>
      <c r="H14" s="16" t="s">
        <v>508</v>
      </c>
      <c r="I14" s="16" t="s">
        <v>506</v>
      </c>
    </row>
    <row r="15" spans="1:9">
      <c r="A15" s="321" t="s">
        <v>473</v>
      </c>
      <c r="B15" s="322"/>
      <c r="C15" s="322"/>
      <c r="D15" s="322"/>
      <c r="E15" s="323"/>
      <c r="F15" s="17">
        <v>0</v>
      </c>
      <c r="G15" s="18" t="s">
        <v>21</v>
      </c>
      <c r="H15" s="18" t="s">
        <v>21</v>
      </c>
      <c r="I15" s="17">
        <f>F15</f>
        <v>0</v>
      </c>
    </row>
    <row r="16" spans="1:9">
      <c r="A16" s="321" t="s">
        <v>475</v>
      </c>
      <c r="B16" s="322"/>
      <c r="C16" s="322"/>
      <c r="D16" s="322"/>
      <c r="E16" s="323"/>
      <c r="F16" s="17">
        <v>0</v>
      </c>
      <c r="G16" s="18" t="s">
        <v>21</v>
      </c>
      <c r="H16" s="18" t="s">
        <v>21</v>
      </c>
      <c r="I16" s="17">
        <f>F16</f>
        <v>0</v>
      </c>
    </row>
    <row r="17" spans="1:9">
      <c r="A17" s="324" t="s">
        <v>478</v>
      </c>
      <c r="B17" s="325"/>
      <c r="C17" s="325"/>
      <c r="D17" s="325"/>
      <c r="E17" s="326"/>
      <c r="F17" s="19">
        <v>0</v>
      </c>
      <c r="G17" s="20" t="s">
        <v>21</v>
      </c>
      <c r="H17" s="20" t="s">
        <v>21</v>
      </c>
      <c r="I17" s="19">
        <f>F17</f>
        <v>0</v>
      </c>
    </row>
    <row r="18" spans="1:9">
      <c r="A18" s="327" t="s">
        <v>509</v>
      </c>
      <c r="B18" s="328"/>
      <c r="C18" s="328"/>
      <c r="D18" s="328"/>
      <c r="E18" s="329"/>
      <c r="F18" s="21" t="s">
        <v>21</v>
      </c>
      <c r="G18" s="22" t="s">
        <v>21</v>
      </c>
      <c r="H18" s="22" t="s">
        <v>21</v>
      </c>
      <c r="I18" s="23">
        <f>SUM(I15:I17)</f>
        <v>0</v>
      </c>
    </row>
    <row r="20" spans="1:9">
      <c r="A20" s="337" t="s">
        <v>470</v>
      </c>
      <c r="B20" s="338"/>
      <c r="C20" s="338"/>
      <c r="D20" s="338"/>
      <c r="E20" s="339"/>
      <c r="F20" s="16" t="s">
        <v>506</v>
      </c>
      <c r="G20" s="16" t="s">
        <v>507</v>
      </c>
      <c r="H20" s="16" t="s">
        <v>508</v>
      </c>
      <c r="I20" s="16" t="s">
        <v>506</v>
      </c>
    </row>
    <row r="21" spans="1:9">
      <c r="A21" s="321" t="s">
        <v>40</v>
      </c>
      <c r="B21" s="322"/>
      <c r="C21" s="322"/>
      <c r="D21" s="322"/>
      <c r="E21" s="323"/>
      <c r="F21" s="17">
        <v>0</v>
      </c>
      <c r="G21" s="18" t="s">
        <v>21</v>
      </c>
      <c r="H21" s="18" t="s">
        <v>21</v>
      </c>
      <c r="I21" s="17">
        <f t="shared" ref="I21:I26" si="0">F21</f>
        <v>0</v>
      </c>
    </row>
    <row r="22" spans="1:9">
      <c r="A22" s="321" t="s">
        <v>476</v>
      </c>
      <c r="B22" s="322"/>
      <c r="C22" s="322"/>
      <c r="D22" s="322"/>
      <c r="E22" s="323"/>
      <c r="F22" s="17">
        <v>0</v>
      </c>
      <c r="G22" s="18" t="s">
        <v>21</v>
      </c>
      <c r="H22" s="18" t="s">
        <v>21</v>
      </c>
      <c r="I22" s="17">
        <f t="shared" si="0"/>
        <v>0</v>
      </c>
    </row>
    <row r="23" spans="1:9">
      <c r="A23" s="321" t="s">
        <v>349</v>
      </c>
      <c r="B23" s="322"/>
      <c r="C23" s="322"/>
      <c r="D23" s="322"/>
      <c r="E23" s="323"/>
      <c r="F23" s="17">
        <v>0</v>
      </c>
      <c r="G23" s="18" t="s">
        <v>21</v>
      </c>
      <c r="H23" s="18" t="s">
        <v>21</v>
      </c>
      <c r="I23" s="17">
        <f t="shared" si="0"/>
        <v>0</v>
      </c>
    </row>
    <row r="24" spans="1:9">
      <c r="A24" s="321" t="s">
        <v>479</v>
      </c>
      <c r="B24" s="322"/>
      <c r="C24" s="322"/>
      <c r="D24" s="322"/>
      <c r="E24" s="323"/>
      <c r="F24" s="17">
        <v>0</v>
      </c>
      <c r="G24" s="18" t="s">
        <v>21</v>
      </c>
      <c r="H24" s="18" t="s">
        <v>21</v>
      </c>
      <c r="I24" s="17">
        <f t="shared" si="0"/>
        <v>0</v>
      </c>
    </row>
    <row r="25" spans="1:9">
      <c r="A25" s="321" t="s">
        <v>481</v>
      </c>
      <c r="B25" s="322"/>
      <c r="C25" s="322"/>
      <c r="D25" s="322"/>
      <c r="E25" s="323"/>
      <c r="F25" s="17">
        <v>0</v>
      </c>
      <c r="G25" s="18" t="s">
        <v>21</v>
      </c>
      <c r="H25" s="18" t="s">
        <v>21</v>
      </c>
      <c r="I25" s="17">
        <f t="shared" si="0"/>
        <v>0</v>
      </c>
    </row>
    <row r="26" spans="1:9">
      <c r="A26" s="324" t="s">
        <v>482</v>
      </c>
      <c r="B26" s="325"/>
      <c r="C26" s="325"/>
      <c r="D26" s="325"/>
      <c r="E26" s="326"/>
      <c r="F26" s="19">
        <v>0</v>
      </c>
      <c r="G26" s="20" t="s">
        <v>21</v>
      </c>
      <c r="H26" s="20" t="s">
        <v>21</v>
      </c>
      <c r="I26" s="19">
        <f t="shared" si="0"/>
        <v>0</v>
      </c>
    </row>
    <row r="27" spans="1:9">
      <c r="A27" s="327" t="s">
        <v>510</v>
      </c>
      <c r="B27" s="328"/>
      <c r="C27" s="328"/>
      <c r="D27" s="328"/>
      <c r="E27" s="329"/>
      <c r="F27" s="21" t="s">
        <v>21</v>
      </c>
      <c r="G27" s="22" t="s">
        <v>21</v>
      </c>
      <c r="H27" s="22" t="s">
        <v>21</v>
      </c>
      <c r="I27" s="23">
        <f>SUM(I21:I26)</f>
        <v>0</v>
      </c>
    </row>
    <row r="29" spans="1:9" ht="15.75">
      <c r="A29" s="330" t="s">
        <v>511</v>
      </c>
      <c r="B29" s="331"/>
      <c r="C29" s="331"/>
      <c r="D29" s="331"/>
      <c r="E29" s="332"/>
      <c r="F29" s="333">
        <f>I18+I27</f>
        <v>0</v>
      </c>
      <c r="G29" s="334"/>
      <c r="H29" s="334"/>
      <c r="I29" s="335"/>
    </row>
    <row r="33" spans="1:9" ht="15.75">
      <c r="A33" s="336" t="s">
        <v>512</v>
      </c>
      <c r="B33" s="336"/>
      <c r="C33" s="336"/>
      <c r="D33" s="336"/>
      <c r="E33" s="336"/>
    </row>
    <row r="34" spans="1:9">
      <c r="A34" s="337" t="s">
        <v>513</v>
      </c>
      <c r="B34" s="338"/>
      <c r="C34" s="338"/>
      <c r="D34" s="338"/>
      <c r="E34" s="339"/>
      <c r="F34" s="16" t="s">
        <v>506</v>
      </c>
      <c r="G34" s="16" t="s">
        <v>507</v>
      </c>
      <c r="H34" s="16" t="s">
        <v>508</v>
      </c>
      <c r="I34" s="16" t="s">
        <v>506</v>
      </c>
    </row>
    <row r="35" spans="1:9">
      <c r="A35" s="321" t="s">
        <v>26</v>
      </c>
      <c r="B35" s="322"/>
      <c r="C35" s="322"/>
      <c r="D35" s="322"/>
      <c r="E35" s="323"/>
      <c r="F35" s="17" t="e">
        <f>SUM('Stavební rozpočet'!BM12:BM652)</f>
        <v>#REF!</v>
      </c>
      <c r="G35" s="18" t="s">
        <v>21</v>
      </c>
      <c r="H35" s="18" t="s">
        <v>21</v>
      </c>
      <c r="I35" s="17" t="e">
        <f t="shared" ref="I35:I44" si="1">F35</f>
        <v>#REF!</v>
      </c>
    </row>
    <row r="36" spans="1:9">
      <c r="A36" s="321" t="s">
        <v>33</v>
      </c>
      <c r="B36" s="322"/>
      <c r="C36" s="322"/>
      <c r="D36" s="322"/>
      <c r="E36" s="323"/>
      <c r="F36" s="17" t="e">
        <f>SUM('Stavební rozpočet'!BN12:BN652)</f>
        <v>#REF!</v>
      </c>
      <c r="G36" s="18" t="s">
        <v>21</v>
      </c>
      <c r="H36" s="18" t="s">
        <v>21</v>
      </c>
      <c r="I36" s="17" t="e">
        <f t="shared" si="1"/>
        <v>#REF!</v>
      </c>
    </row>
    <row r="37" spans="1:9">
      <c r="A37" s="321" t="s">
        <v>40</v>
      </c>
      <c r="B37" s="322"/>
      <c r="C37" s="322"/>
      <c r="D37" s="322"/>
      <c r="E37" s="323"/>
      <c r="F37" s="17" t="e">
        <f>SUM('Stavební rozpočet'!BO12:BO652)</f>
        <v>#REF!</v>
      </c>
      <c r="G37" s="18" t="s">
        <v>21</v>
      </c>
      <c r="H37" s="18" t="s">
        <v>21</v>
      </c>
      <c r="I37" s="17" t="e">
        <f t="shared" si="1"/>
        <v>#REF!</v>
      </c>
    </row>
    <row r="38" spans="1:9">
      <c r="A38" s="321" t="s">
        <v>44</v>
      </c>
      <c r="B38" s="322"/>
      <c r="C38" s="322"/>
      <c r="D38" s="322"/>
      <c r="E38" s="323"/>
      <c r="F38" s="17" t="e">
        <f>SUM('Stavební rozpočet'!BP12:BP652)</f>
        <v>#REF!</v>
      </c>
      <c r="G38" s="18" t="s">
        <v>21</v>
      </c>
      <c r="H38" s="18" t="s">
        <v>21</v>
      </c>
      <c r="I38" s="17" t="e">
        <f t="shared" si="1"/>
        <v>#REF!</v>
      </c>
    </row>
    <row r="39" spans="1:9">
      <c r="A39" s="321" t="s">
        <v>514</v>
      </c>
      <c r="B39" s="322"/>
      <c r="C39" s="322"/>
      <c r="D39" s="322"/>
      <c r="E39" s="323"/>
      <c r="F39" s="17">
        <f>SUM('Stavební rozpočet'!BQ12:BQ652)</f>
        <v>0</v>
      </c>
      <c r="G39" s="18" t="s">
        <v>21</v>
      </c>
      <c r="H39" s="18" t="s">
        <v>21</v>
      </c>
      <c r="I39" s="17">
        <f t="shared" si="1"/>
        <v>0</v>
      </c>
    </row>
    <row r="40" spans="1:9">
      <c r="A40" s="321" t="s">
        <v>349</v>
      </c>
      <c r="B40" s="322"/>
      <c r="C40" s="322"/>
      <c r="D40" s="322"/>
      <c r="E40" s="323"/>
      <c r="F40" s="17" t="e">
        <f>SUM('Stavební rozpočet'!BR12:BR652)</f>
        <v>#REF!</v>
      </c>
      <c r="G40" s="18" t="s">
        <v>21</v>
      </c>
      <c r="H40" s="18" t="s">
        <v>21</v>
      </c>
      <c r="I40" s="17" t="e">
        <f t="shared" si="1"/>
        <v>#REF!</v>
      </c>
    </row>
    <row r="41" spans="1:9">
      <c r="A41" s="321" t="s">
        <v>479</v>
      </c>
      <c r="B41" s="322"/>
      <c r="C41" s="322"/>
      <c r="D41" s="322"/>
      <c r="E41" s="323"/>
      <c r="F41" s="17">
        <f>SUM('Stavební rozpočet'!BS12:BS652)</f>
        <v>0</v>
      </c>
      <c r="G41" s="18" t="s">
        <v>21</v>
      </c>
      <c r="H41" s="18" t="s">
        <v>21</v>
      </c>
      <c r="I41" s="17">
        <f t="shared" si="1"/>
        <v>0</v>
      </c>
    </row>
    <row r="42" spans="1:9">
      <c r="A42" s="321" t="s">
        <v>515</v>
      </c>
      <c r="B42" s="322"/>
      <c r="C42" s="322"/>
      <c r="D42" s="322"/>
      <c r="E42" s="323"/>
      <c r="F42" s="17">
        <f>SUM('Stavební rozpočet'!BT12:BT652)</f>
        <v>0</v>
      </c>
      <c r="G42" s="18" t="s">
        <v>21</v>
      </c>
      <c r="H42" s="18" t="s">
        <v>21</v>
      </c>
      <c r="I42" s="17">
        <f t="shared" si="1"/>
        <v>0</v>
      </c>
    </row>
    <row r="43" spans="1:9">
      <c r="A43" s="321" t="s">
        <v>50</v>
      </c>
      <c r="B43" s="322"/>
      <c r="C43" s="322"/>
      <c r="D43" s="322"/>
      <c r="E43" s="323"/>
      <c r="F43" s="17" t="e">
        <f>SUM('Stavební rozpočet'!BU12:BU652)</f>
        <v>#REF!</v>
      </c>
      <c r="G43" s="18" t="s">
        <v>21</v>
      </c>
      <c r="H43" s="18" t="s">
        <v>21</v>
      </c>
      <c r="I43" s="17" t="e">
        <f t="shared" si="1"/>
        <v>#REF!</v>
      </c>
    </row>
    <row r="44" spans="1:9">
      <c r="A44" s="324" t="s">
        <v>516</v>
      </c>
      <c r="B44" s="325"/>
      <c r="C44" s="325"/>
      <c r="D44" s="325"/>
      <c r="E44" s="326"/>
      <c r="F44" s="19">
        <f>SUM('Stavební rozpočet'!BV12:BV652)</f>
        <v>0</v>
      </c>
      <c r="G44" s="20" t="s">
        <v>21</v>
      </c>
      <c r="H44" s="20" t="s">
        <v>21</v>
      </c>
      <c r="I44" s="19">
        <f t="shared" si="1"/>
        <v>0</v>
      </c>
    </row>
    <row r="45" spans="1:9">
      <c r="A45" s="327" t="s">
        <v>517</v>
      </c>
      <c r="B45" s="328"/>
      <c r="C45" s="328"/>
      <c r="D45" s="328"/>
      <c r="E45" s="329"/>
      <c r="F45" s="21" t="s">
        <v>21</v>
      </c>
      <c r="G45" s="22" t="s">
        <v>21</v>
      </c>
      <c r="H45" s="22" t="s">
        <v>21</v>
      </c>
      <c r="I45" s="23" t="e">
        <f>SUM(I35:I44)</f>
        <v>#REF!</v>
      </c>
    </row>
  </sheetData>
  <mergeCells count="60">
    <mergeCell ref="A1:I1"/>
    <mergeCell ref="A2:B3"/>
    <mergeCell ref="A4:B5"/>
    <mergeCell ref="A6:B7"/>
    <mergeCell ref="A8:B9"/>
    <mergeCell ref="H2:H3"/>
    <mergeCell ref="H4:H5"/>
    <mergeCell ref="H6:H7"/>
    <mergeCell ref="H8:H9"/>
    <mergeCell ref="I2:I3"/>
    <mergeCell ref="I4:I5"/>
    <mergeCell ref="I6:I7"/>
    <mergeCell ref="I8:I9"/>
    <mergeCell ref="E2:E3"/>
    <mergeCell ref="E4:E5"/>
    <mergeCell ref="E6:E7"/>
    <mergeCell ref="E8:E9"/>
    <mergeCell ref="E10:E11"/>
    <mergeCell ref="F2:G3"/>
    <mergeCell ref="F4:G5"/>
    <mergeCell ref="F6:G7"/>
    <mergeCell ref="F8:G9"/>
    <mergeCell ref="F10:G11"/>
    <mergeCell ref="C2:D3"/>
    <mergeCell ref="C4:D5"/>
    <mergeCell ref="C6:D7"/>
    <mergeCell ref="C8:D9"/>
    <mergeCell ref="C10:D11"/>
    <mergeCell ref="I10:I11"/>
    <mergeCell ref="A13:E13"/>
    <mergeCell ref="A14:E14"/>
    <mergeCell ref="A15:E15"/>
    <mergeCell ref="A16:E16"/>
    <mergeCell ref="H10:H11"/>
    <mergeCell ref="A10:B11"/>
    <mergeCell ref="A17:E17"/>
    <mergeCell ref="A18:E18"/>
    <mergeCell ref="A20:E20"/>
    <mergeCell ref="A21:E21"/>
    <mergeCell ref="A22:E22"/>
    <mergeCell ref="A23:E23"/>
    <mergeCell ref="A24:E24"/>
    <mergeCell ref="A25:E25"/>
    <mergeCell ref="A26:E26"/>
    <mergeCell ref="A27:E27"/>
    <mergeCell ref="A29:E29"/>
    <mergeCell ref="F29:I29"/>
    <mergeCell ref="A33:E33"/>
    <mergeCell ref="A34:E34"/>
    <mergeCell ref="A35:E35"/>
    <mergeCell ref="A36:E36"/>
    <mergeCell ref="A37:E37"/>
    <mergeCell ref="A38:E38"/>
    <mergeCell ref="A39:E39"/>
    <mergeCell ref="A40:E40"/>
    <mergeCell ref="A41:E41"/>
    <mergeCell ref="A42:E42"/>
    <mergeCell ref="A43:E43"/>
    <mergeCell ref="A44:E44"/>
    <mergeCell ref="A45:E45"/>
  </mergeCells>
  <pageMargins left="0.393999993801117" right="0.393999993801117" top="0.59100002050399802" bottom="0.59100002050399802" header="0" footer="0"/>
  <pageSetup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655"/>
  <sheetViews>
    <sheetView workbookViewId="0">
      <pane ySplit="11" topLeftCell="A12" activePane="bottomLeft" state="frozen"/>
      <selection pane="bottomLeft" activeCell="A655" sqref="A655:P655"/>
    </sheetView>
  </sheetViews>
  <sheetFormatPr defaultColWidth="12.140625" defaultRowHeight="15" customHeight="1"/>
  <cols>
    <col min="1" max="1" width="4" customWidth="1"/>
    <col min="2" max="2" width="7.5703125" customWidth="1"/>
    <col min="3" max="3" width="17.85546875" customWidth="1"/>
    <col min="4" max="4" width="42.85546875" customWidth="1"/>
    <col min="5" max="5" width="35.7109375" customWidth="1"/>
    <col min="6" max="6" width="6.7109375" customWidth="1"/>
    <col min="7" max="7" width="12.85546875" customWidth="1"/>
    <col min="8" max="8" width="12" customWidth="1"/>
    <col min="9" max="9" width="11.140625" customWidth="1"/>
    <col min="10" max="13" width="15.7109375" customWidth="1"/>
    <col min="14" max="15" width="11.7109375" customWidth="1"/>
    <col min="16" max="16" width="13.42578125" customWidth="1"/>
    <col min="25" max="75" width="12.140625" hidden="1"/>
    <col min="76" max="76" width="78.5703125" hidden="1" customWidth="1"/>
    <col min="77" max="78" width="12.140625" hidden="1"/>
  </cols>
  <sheetData>
    <row r="1" spans="1:76" ht="54.75" customHeight="1">
      <c r="A1" s="353" t="s">
        <v>0</v>
      </c>
      <c r="B1" s="353"/>
      <c r="C1" s="353"/>
      <c r="D1" s="353"/>
      <c r="E1" s="353"/>
      <c r="F1" s="353"/>
      <c r="G1" s="353"/>
      <c r="H1" s="353"/>
      <c r="I1" s="353"/>
      <c r="J1" s="353"/>
      <c r="K1" s="353"/>
      <c r="L1" s="353"/>
      <c r="M1" s="353"/>
      <c r="N1" s="353"/>
      <c r="O1" s="353"/>
      <c r="P1" s="353"/>
      <c r="AS1" s="11">
        <f>SUM(AJ1:AJ2)</f>
        <v>0</v>
      </c>
      <c r="AT1" s="11">
        <f>SUM(AK1:AK2)</f>
        <v>0</v>
      </c>
      <c r="AU1" s="11">
        <f>SUM(AL1:AL2)</f>
        <v>0</v>
      </c>
    </row>
    <row r="2" spans="1:76">
      <c r="A2" s="354" t="s">
        <v>1</v>
      </c>
      <c r="B2" s="351"/>
      <c r="C2" s="351"/>
      <c r="D2" s="346" t="s">
        <v>518</v>
      </c>
      <c r="E2" s="347"/>
      <c r="F2" s="351" t="s">
        <v>2</v>
      </c>
      <c r="G2" s="351"/>
      <c r="H2" s="351" t="s">
        <v>20</v>
      </c>
      <c r="I2" s="350" t="s">
        <v>3</v>
      </c>
      <c r="J2" s="350" t="s">
        <v>519</v>
      </c>
      <c r="K2" s="351"/>
      <c r="L2" s="351"/>
      <c r="M2" s="351"/>
      <c r="N2" s="351"/>
      <c r="O2" s="351"/>
      <c r="P2" s="356"/>
    </row>
    <row r="3" spans="1:76">
      <c r="A3" s="355"/>
      <c r="B3" s="342"/>
      <c r="C3" s="342"/>
      <c r="D3" s="348"/>
      <c r="E3" s="348"/>
      <c r="F3" s="342"/>
      <c r="G3" s="342"/>
      <c r="H3" s="342"/>
      <c r="I3" s="342"/>
      <c r="J3" s="342"/>
      <c r="K3" s="342"/>
      <c r="L3" s="342"/>
      <c r="M3" s="342"/>
      <c r="N3" s="342"/>
      <c r="O3" s="342"/>
      <c r="P3" s="357"/>
    </row>
    <row r="4" spans="1:76">
      <c r="A4" s="344" t="s">
        <v>4</v>
      </c>
      <c r="B4" s="342"/>
      <c r="C4" s="342"/>
      <c r="D4" s="349" t="s">
        <v>520</v>
      </c>
      <c r="E4" s="342"/>
      <c r="F4" s="342" t="s">
        <v>5</v>
      </c>
      <c r="G4" s="342"/>
      <c r="H4" s="342" t="s">
        <v>20</v>
      </c>
      <c r="I4" s="349" t="s">
        <v>6</v>
      </c>
      <c r="J4" s="349" t="s">
        <v>521</v>
      </c>
      <c r="K4" s="342"/>
      <c r="L4" s="342"/>
      <c r="M4" s="342"/>
      <c r="N4" s="342"/>
      <c r="O4" s="342"/>
      <c r="P4" s="357"/>
    </row>
    <row r="5" spans="1:76">
      <c r="A5" s="355"/>
      <c r="B5" s="342"/>
      <c r="C5" s="342"/>
      <c r="D5" s="342"/>
      <c r="E5" s="342"/>
      <c r="F5" s="342"/>
      <c r="G5" s="342"/>
      <c r="H5" s="342"/>
      <c r="I5" s="342"/>
      <c r="J5" s="342"/>
      <c r="K5" s="342"/>
      <c r="L5" s="342"/>
      <c r="M5" s="342"/>
      <c r="N5" s="342"/>
      <c r="O5" s="342"/>
      <c r="P5" s="357"/>
    </row>
    <row r="6" spans="1:76">
      <c r="A6" s="344" t="s">
        <v>7</v>
      </c>
      <c r="B6" s="342"/>
      <c r="C6" s="342"/>
      <c r="D6" s="349" t="s">
        <v>522</v>
      </c>
      <c r="E6" s="342"/>
      <c r="F6" s="342" t="s">
        <v>8</v>
      </c>
      <c r="G6" s="342"/>
      <c r="H6" s="342" t="s">
        <v>20</v>
      </c>
      <c r="I6" s="349" t="s">
        <v>9</v>
      </c>
      <c r="J6" s="342" t="s">
        <v>523</v>
      </c>
      <c r="K6" s="342"/>
      <c r="L6" s="342"/>
      <c r="M6" s="342"/>
      <c r="N6" s="342"/>
      <c r="O6" s="342"/>
      <c r="P6" s="357"/>
    </row>
    <row r="7" spans="1:76">
      <c r="A7" s="355"/>
      <c r="B7" s="342"/>
      <c r="C7" s="342"/>
      <c r="D7" s="342"/>
      <c r="E7" s="342"/>
      <c r="F7" s="342"/>
      <c r="G7" s="342"/>
      <c r="H7" s="342"/>
      <c r="I7" s="342"/>
      <c r="J7" s="342"/>
      <c r="K7" s="342"/>
      <c r="L7" s="342"/>
      <c r="M7" s="342"/>
      <c r="N7" s="342"/>
      <c r="O7" s="342"/>
      <c r="P7" s="357"/>
    </row>
    <row r="8" spans="1:76">
      <c r="A8" s="344" t="s">
        <v>10</v>
      </c>
      <c r="B8" s="342"/>
      <c r="C8" s="342"/>
      <c r="D8" s="349" t="s">
        <v>20</v>
      </c>
      <c r="E8" s="342"/>
      <c r="F8" s="342" t="s">
        <v>11</v>
      </c>
      <c r="G8" s="342"/>
      <c r="H8" s="342" t="s">
        <v>524</v>
      </c>
      <c r="I8" s="349" t="s">
        <v>12</v>
      </c>
      <c r="J8" s="349" t="s">
        <v>525</v>
      </c>
      <c r="K8" s="342"/>
      <c r="L8" s="342"/>
      <c r="M8" s="342"/>
      <c r="N8" s="342"/>
      <c r="O8" s="342"/>
      <c r="P8" s="357"/>
    </row>
    <row r="9" spans="1:76">
      <c r="A9" s="379"/>
      <c r="B9" s="375"/>
      <c r="C9" s="375"/>
      <c r="D9" s="375"/>
      <c r="E9" s="375"/>
      <c r="F9" s="375"/>
      <c r="G9" s="375"/>
      <c r="H9" s="375"/>
      <c r="I9" s="375"/>
      <c r="J9" s="375"/>
      <c r="K9" s="375"/>
      <c r="L9" s="375"/>
      <c r="M9" s="375"/>
      <c r="N9" s="375"/>
      <c r="O9" s="375"/>
      <c r="P9" s="376"/>
    </row>
    <row r="10" spans="1:76">
      <c r="A10" s="24" t="s">
        <v>13</v>
      </c>
      <c r="B10" s="25" t="s">
        <v>526</v>
      </c>
      <c r="C10" s="25" t="s">
        <v>14</v>
      </c>
      <c r="D10" s="377" t="s">
        <v>15</v>
      </c>
      <c r="E10" s="378"/>
      <c r="F10" s="25" t="s">
        <v>16</v>
      </c>
      <c r="G10" s="26" t="s">
        <v>17</v>
      </c>
      <c r="H10" s="27" t="s">
        <v>527</v>
      </c>
      <c r="I10" s="28" t="s">
        <v>528</v>
      </c>
      <c r="J10" s="368" t="s">
        <v>529</v>
      </c>
      <c r="K10" s="369"/>
      <c r="L10" s="370"/>
      <c r="M10" s="29" t="s">
        <v>529</v>
      </c>
      <c r="N10" s="371" t="s">
        <v>530</v>
      </c>
      <c r="O10" s="372"/>
      <c r="P10" s="30" t="s">
        <v>531</v>
      </c>
      <c r="BK10" s="10" t="s">
        <v>19</v>
      </c>
      <c r="BL10" s="31" t="s">
        <v>18</v>
      </c>
      <c r="BW10" s="31" t="s">
        <v>532</v>
      </c>
    </row>
    <row r="11" spans="1:76">
      <c r="A11" s="32" t="s">
        <v>20</v>
      </c>
      <c r="B11" s="33" t="s">
        <v>20</v>
      </c>
      <c r="C11" s="33" t="s">
        <v>20</v>
      </c>
      <c r="D11" s="366" t="s">
        <v>533</v>
      </c>
      <c r="E11" s="367"/>
      <c r="F11" s="33" t="s">
        <v>20</v>
      </c>
      <c r="G11" s="33" t="s">
        <v>20</v>
      </c>
      <c r="H11" s="34" t="s">
        <v>534</v>
      </c>
      <c r="I11" s="35" t="s">
        <v>20</v>
      </c>
      <c r="J11" s="36" t="s">
        <v>535</v>
      </c>
      <c r="K11" s="37" t="s">
        <v>474</v>
      </c>
      <c r="L11" s="38" t="s">
        <v>536</v>
      </c>
      <c r="M11" s="39" t="s">
        <v>537</v>
      </c>
      <c r="N11" s="40" t="s">
        <v>538</v>
      </c>
      <c r="O11" s="41" t="s">
        <v>536</v>
      </c>
      <c r="P11" s="42" t="s">
        <v>539</v>
      </c>
      <c r="Z11" s="10" t="s">
        <v>540</v>
      </c>
      <c r="AA11" s="10" t="s">
        <v>541</v>
      </c>
      <c r="AB11" s="10" t="s">
        <v>542</v>
      </c>
      <c r="AC11" s="10" t="s">
        <v>543</v>
      </c>
      <c r="AD11" s="10" t="s">
        <v>544</v>
      </c>
      <c r="AE11" s="10" t="s">
        <v>545</v>
      </c>
      <c r="AF11" s="10" t="s">
        <v>546</v>
      </c>
      <c r="AG11" s="10" t="s">
        <v>547</v>
      </c>
      <c r="AH11" s="10" t="s">
        <v>548</v>
      </c>
      <c r="BH11" s="10" t="s">
        <v>549</v>
      </c>
      <c r="BI11" s="10" t="s">
        <v>550</v>
      </c>
      <c r="BJ11" s="10" t="s">
        <v>551</v>
      </c>
    </row>
    <row r="12" spans="1:76">
      <c r="A12" s="43" t="s">
        <v>21</v>
      </c>
      <c r="B12" s="6" t="s">
        <v>552</v>
      </c>
      <c r="C12" s="6" t="s">
        <v>21</v>
      </c>
      <c r="D12" s="373" t="s">
        <v>22</v>
      </c>
      <c r="E12" s="374"/>
      <c r="F12" s="44" t="s">
        <v>20</v>
      </c>
      <c r="G12" s="44" t="s">
        <v>20</v>
      </c>
      <c r="H12" s="44" t="s">
        <v>20</v>
      </c>
      <c r="I12" s="44" t="s">
        <v>20</v>
      </c>
      <c r="J12" s="8" t="e">
        <f>J14+J17+J21+J23+J26</f>
        <v>#REF!</v>
      </c>
      <c r="K12" s="8" t="e">
        <f>K14+K17+K21+K23+K26</f>
        <v>#REF!</v>
      </c>
      <c r="L12" s="8" t="e">
        <f>L14+L17+L21+L23+L26</f>
        <v>#REF!</v>
      </c>
      <c r="M12" s="8" t="e">
        <f>M14+M17+M21+M23+M26</f>
        <v>#REF!</v>
      </c>
      <c r="N12" s="7" t="s">
        <v>21</v>
      </c>
      <c r="O12" s="8" t="e">
        <f>O14+O17+O21+O23+O26</f>
        <v>#REF!</v>
      </c>
      <c r="P12" s="45" t="s">
        <v>21</v>
      </c>
    </row>
    <row r="13" spans="1:76">
      <c r="A13" s="46" t="s">
        <v>21</v>
      </c>
      <c r="B13" s="9" t="s">
        <v>552</v>
      </c>
      <c r="C13" s="9" t="s">
        <v>23</v>
      </c>
      <c r="D13" s="359" t="s">
        <v>24</v>
      </c>
      <c r="E13" s="360"/>
      <c r="F13" s="47" t="s">
        <v>20</v>
      </c>
      <c r="G13" s="47" t="s">
        <v>20</v>
      </c>
      <c r="H13" s="47" t="s">
        <v>20</v>
      </c>
      <c r="I13" s="47" t="s">
        <v>20</v>
      </c>
      <c r="J13" s="11" t="e">
        <f>J14+J17+J21+J23+J26</f>
        <v>#REF!</v>
      </c>
      <c r="K13" s="11" t="e">
        <f>K14+K17+K21+K23+K26</f>
        <v>#REF!</v>
      </c>
      <c r="L13" s="11" t="e">
        <f>L14+L17+L21+L23+L26</f>
        <v>#REF!</v>
      </c>
      <c r="M13" s="11" t="e">
        <f>M14+M17+M21+M23+M26</f>
        <v>#REF!</v>
      </c>
      <c r="N13" s="10" t="s">
        <v>21</v>
      </c>
      <c r="O13" s="11" t="e">
        <f>O14+O17+O21+O23+O26</f>
        <v>#REF!</v>
      </c>
      <c r="P13" s="48" t="s">
        <v>21</v>
      </c>
      <c r="AI13" s="10" t="s">
        <v>552</v>
      </c>
    </row>
    <row r="14" spans="1:76">
      <c r="A14" s="46" t="s">
        <v>21</v>
      </c>
      <c r="B14" s="9" t="s">
        <v>552</v>
      </c>
      <c r="C14" s="9" t="s">
        <v>25</v>
      </c>
      <c r="D14" s="359" t="s">
        <v>26</v>
      </c>
      <c r="E14" s="360"/>
      <c r="F14" s="47" t="s">
        <v>20</v>
      </c>
      <c r="G14" s="47" t="s">
        <v>20</v>
      </c>
      <c r="H14" s="47" t="s">
        <v>20</v>
      </c>
      <c r="I14" s="47" t="s">
        <v>20</v>
      </c>
      <c r="J14" s="11" t="e">
        <f>SUM(J15:J16)</f>
        <v>#REF!</v>
      </c>
      <c r="K14" s="11" t="e">
        <f>SUM(K15:K16)</f>
        <v>#REF!</v>
      </c>
      <c r="L14" s="11" t="e">
        <f>SUM(L15:L16)</f>
        <v>#REF!</v>
      </c>
      <c r="M14" s="11" t="e">
        <f>SUM(M15:M16)</f>
        <v>#REF!</v>
      </c>
      <c r="N14" s="10" t="s">
        <v>21</v>
      </c>
      <c r="O14" s="11" t="e">
        <f>SUM(O15:O16)</f>
        <v>#REF!</v>
      </c>
      <c r="P14" s="48" t="s">
        <v>21</v>
      </c>
      <c r="AI14" s="10" t="s">
        <v>552</v>
      </c>
      <c r="AS14" s="11">
        <f>SUM(AJ15:AJ16)</f>
        <v>0</v>
      </c>
      <c r="AT14" s="11">
        <f>SUM(AK15:AK16)</f>
        <v>0</v>
      </c>
      <c r="AU14" s="11" t="e">
        <f>SUM(AL15:AL16)</f>
        <v>#REF!</v>
      </c>
    </row>
    <row r="15" spans="1:76">
      <c r="A15" s="1" t="s">
        <v>553</v>
      </c>
      <c r="B15" s="2" t="s">
        <v>552</v>
      </c>
      <c r="C15" s="2" t="s">
        <v>27</v>
      </c>
      <c r="D15" s="349" t="s">
        <v>28</v>
      </c>
      <c r="E15" s="342"/>
      <c r="F15" s="2" t="s">
        <v>29</v>
      </c>
      <c r="G15" s="12" t="e">
        <f>#REF!</f>
        <v>#REF!</v>
      </c>
      <c r="H15" s="12" t="e">
        <f>#REF!</f>
        <v>#REF!</v>
      </c>
      <c r="I15" s="49" t="s">
        <v>554</v>
      </c>
      <c r="J15" s="12" t="e">
        <f>G15*AO15</f>
        <v>#REF!</v>
      </c>
      <c r="K15" s="12" t="e">
        <f>G15*AP15</f>
        <v>#REF!</v>
      </c>
      <c r="L15" s="12" t="e">
        <f>G15*H15</f>
        <v>#REF!</v>
      </c>
      <c r="M15" s="12" t="e">
        <f>L15*(1+BW15/100)</f>
        <v>#REF!</v>
      </c>
      <c r="N15" s="12">
        <v>0</v>
      </c>
      <c r="O15" s="12" t="e">
        <f>G15*N15</f>
        <v>#REF!</v>
      </c>
      <c r="P15" s="50" t="s">
        <v>555</v>
      </c>
      <c r="Z15" s="12">
        <f>IF(AQ15="5",BJ15,0)</f>
        <v>0</v>
      </c>
      <c r="AB15" s="12">
        <f>IF(AQ15="1",BH15,0)</f>
        <v>0</v>
      </c>
      <c r="AC15" s="12">
        <f>IF(AQ15="1",BI15,0)</f>
        <v>0</v>
      </c>
      <c r="AD15" s="12">
        <f>IF(AQ15="7",BH15,0)</f>
        <v>0</v>
      </c>
      <c r="AE15" s="12">
        <f>IF(AQ15="7",BI15,0)</f>
        <v>0</v>
      </c>
      <c r="AF15" s="12">
        <f>IF(AQ15="2",BH15,0)</f>
        <v>0</v>
      </c>
      <c r="AG15" s="12">
        <f>IF(AQ15="2",BI15,0)</f>
        <v>0</v>
      </c>
      <c r="AH15" s="12">
        <f>IF(AQ15="0",BJ15,0)</f>
        <v>0</v>
      </c>
      <c r="AI15" s="10" t="s">
        <v>552</v>
      </c>
      <c r="AJ15" s="12">
        <f>IF(AN15=0,L15,0)</f>
        <v>0</v>
      </c>
      <c r="AK15" s="12">
        <f>IF(AN15=12,L15,0)</f>
        <v>0</v>
      </c>
      <c r="AL15" s="12" t="e">
        <f>IF(AN15=21,L15,0)</f>
        <v>#REF!</v>
      </c>
      <c r="AN15" s="12">
        <v>21</v>
      </c>
      <c r="AO15" s="12" t="e">
        <f>H15*0</f>
        <v>#REF!</v>
      </c>
      <c r="AP15" s="12" t="e">
        <f>H15*(1-0)</f>
        <v>#REF!</v>
      </c>
      <c r="AQ15" s="49" t="s">
        <v>556</v>
      </c>
      <c r="AV15" s="12" t="e">
        <f>AW15+AX15</f>
        <v>#REF!</v>
      </c>
      <c r="AW15" s="12" t="e">
        <f>G15*AO15</f>
        <v>#REF!</v>
      </c>
      <c r="AX15" s="12" t="e">
        <f>G15*AP15</f>
        <v>#REF!</v>
      </c>
      <c r="AY15" s="49" t="s">
        <v>557</v>
      </c>
      <c r="AZ15" s="49" t="s">
        <v>558</v>
      </c>
      <c r="BA15" s="10" t="s">
        <v>559</v>
      </c>
      <c r="BC15" s="12" t="e">
        <f>AW15+AX15</f>
        <v>#REF!</v>
      </c>
      <c r="BD15" s="12" t="e">
        <f>H15/(100-BE15)*100</f>
        <v>#REF!</v>
      </c>
      <c r="BE15" s="12">
        <v>0</v>
      </c>
      <c r="BF15" s="12" t="e">
        <f>O15</f>
        <v>#REF!</v>
      </c>
      <c r="BH15" s="12" t="e">
        <f>G15*AO15</f>
        <v>#REF!</v>
      </c>
      <c r="BI15" s="12" t="e">
        <f>G15*AP15</f>
        <v>#REF!</v>
      </c>
      <c r="BJ15" s="12" t="e">
        <f>G15*H15</f>
        <v>#REF!</v>
      </c>
      <c r="BK15" s="12"/>
      <c r="BL15" s="12"/>
      <c r="BM15" s="12" t="e">
        <f>G15*H15</f>
        <v>#REF!</v>
      </c>
      <c r="BW15" s="12" t="str">
        <f>I15</f>
        <v>21</v>
      </c>
      <c r="BX15" s="3" t="s">
        <v>28</v>
      </c>
    </row>
    <row r="16" spans="1:76">
      <c r="A16" s="1" t="s">
        <v>560</v>
      </c>
      <c r="B16" s="2" t="s">
        <v>552</v>
      </c>
      <c r="C16" s="2" t="s">
        <v>30</v>
      </c>
      <c r="D16" s="349" t="s">
        <v>31</v>
      </c>
      <c r="E16" s="342"/>
      <c r="F16" s="2" t="s">
        <v>29</v>
      </c>
      <c r="G16" s="12" t="e">
        <f>#REF!</f>
        <v>#REF!</v>
      </c>
      <c r="H16" s="12" t="e">
        <f>#REF!</f>
        <v>#REF!</v>
      </c>
      <c r="I16" s="49" t="s">
        <v>554</v>
      </c>
      <c r="J16" s="12" t="e">
        <f>G16*AO16</f>
        <v>#REF!</v>
      </c>
      <c r="K16" s="12" t="e">
        <f>G16*AP16</f>
        <v>#REF!</v>
      </c>
      <c r="L16" s="12" t="e">
        <f>G16*H16</f>
        <v>#REF!</v>
      </c>
      <c r="M16" s="12" t="e">
        <f>L16*(1+BW16/100)</f>
        <v>#REF!</v>
      </c>
      <c r="N16" s="12">
        <v>0</v>
      </c>
      <c r="O16" s="12" t="e">
        <f>G16*N16</f>
        <v>#REF!</v>
      </c>
      <c r="P16" s="50" t="s">
        <v>555</v>
      </c>
      <c r="Z16" s="12">
        <f>IF(AQ16="5",BJ16,0)</f>
        <v>0</v>
      </c>
      <c r="AB16" s="12">
        <f>IF(AQ16="1",BH16,0)</f>
        <v>0</v>
      </c>
      <c r="AC16" s="12">
        <f>IF(AQ16="1",BI16,0)</f>
        <v>0</v>
      </c>
      <c r="AD16" s="12">
        <f>IF(AQ16="7",BH16,0)</f>
        <v>0</v>
      </c>
      <c r="AE16" s="12">
        <f>IF(AQ16="7",BI16,0)</f>
        <v>0</v>
      </c>
      <c r="AF16" s="12">
        <f>IF(AQ16="2",BH16,0)</f>
        <v>0</v>
      </c>
      <c r="AG16" s="12">
        <f>IF(AQ16="2",BI16,0)</f>
        <v>0</v>
      </c>
      <c r="AH16" s="12">
        <f>IF(AQ16="0",BJ16,0)</f>
        <v>0</v>
      </c>
      <c r="AI16" s="10" t="s">
        <v>552</v>
      </c>
      <c r="AJ16" s="12">
        <f>IF(AN16=0,L16,0)</f>
        <v>0</v>
      </c>
      <c r="AK16" s="12">
        <f>IF(AN16=12,L16,0)</f>
        <v>0</v>
      </c>
      <c r="AL16" s="12" t="e">
        <f>IF(AN16=21,L16,0)</f>
        <v>#REF!</v>
      </c>
      <c r="AN16" s="12">
        <v>21</v>
      </c>
      <c r="AO16" s="12" t="e">
        <f>H16*0</f>
        <v>#REF!</v>
      </c>
      <c r="AP16" s="12" t="e">
        <f>H16*(1-0)</f>
        <v>#REF!</v>
      </c>
      <c r="AQ16" s="49" t="s">
        <v>556</v>
      </c>
      <c r="AV16" s="12" t="e">
        <f>AW16+AX16</f>
        <v>#REF!</v>
      </c>
      <c r="AW16" s="12" t="e">
        <f>G16*AO16</f>
        <v>#REF!</v>
      </c>
      <c r="AX16" s="12" t="e">
        <f>G16*AP16</f>
        <v>#REF!</v>
      </c>
      <c r="AY16" s="49" t="s">
        <v>557</v>
      </c>
      <c r="AZ16" s="49" t="s">
        <v>558</v>
      </c>
      <c r="BA16" s="10" t="s">
        <v>559</v>
      </c>
      <c r="BC16" s="12" t="e">
        <f>AW16+AX16</f>
        <v>#REF!</v>
      </c>
      <c r="BD16" s="12" t="e">
        <f>H16/(100-BE16)*100</f>
        <v>#REF!</v>
      </c>
      <c r="BE16" s="12">
        <v>0</v>
      </c>
      <c r="BF16" s="12" t="e">
        <f>O16</f>
        <v>#REF!</v>
      </c>
      <c r="BH16" s="12" t="e">
        <f>G16*AO16</f>
        <v>#REF!</v>
      </c>
      <c r="BI16" s="12" t="e">
        <f>G16*AP16</f>
        <v>#REF!</v>
      </c>
      <c r="BJ16" s="12" t="e">
        <f>G16*H16</f>
        <v>#REF!</v>
      </c>
      <c r="BK16" s="12"/>
      <c r="BL16" s="12"/>
      <c r="BM16" s="12" t="e">
        <f>G16*H16</f>
        <v>#REF!</v>
      </c>
      <c r="BW16" s="12" t="str">
        <f>I16</f>
        <v>21</v>
      </c>
      <c r="BX16" s="3" t="s">
        <v>31</v>
      </c>
    </row>
    <row r="17" spans="1:76">
      <c r="A17" s="46" t="s">
        <v>21</v>
      </c>
      <c r="B17" s="9" t="s">
        <v>552</v>
      </c>
      <c r="C17" s="9" t="s">
        <v>32</v>
      </c>
      <c r="D17" s="359" t="s">
        <v>33</v>
      </c>
      <c r="E17" s="360"/>
      <c r="F17" s="47" t="s">
        <v>20</v>
      </c>
      <c r="G17" s="47" t="s">
        <v>20</v>
      </c>
      <c r="H17" s="47" t="s">
        <v>20</v>
      </c>
      <c r="I17" s="47" t="s">
        <v>20</v>
      </c>
      <c r="J17" s="11" t="e">
        <f>SUM(J18:J20)</f>
        <v>#REF!</v>
      </c>
      <c r="K17" s="11" t="e">
        <f>SUM(K18:K20)</f>
        <v>#REF!</v>
      </c>
      <c r="L17" s="11" t="e">
        <f>SUM(L18:L20)</f>
        <v>#REF!</v>
      </c>
      <c r="M17" s="11" t="e">
        <f>SUM(M18:M20)</f>
        <v>#REF!</v>
      </c>
      <c r="N17" s="10" t="s">
        <v>21</v>
      </c>
      <c r="O17" s="11" t="e">
        <f>SUM(O18:O20)</f>
        <v>#REF!</v>
      </c>
      <c r="P17" s="48" t="s">
        <v>21</v>
      </c>
      <c r="AI17" s="10" t="s">
        <v>552</v>
      </c>
      <c r="AS17" s="11">
        <f>SUM(AJ18:AJ20)</f>
        <v>0</v>
      </c>
      <c r="AT17" s="11">
        <f>SUM(AK18:AK20)</f>
        <v>0</v>
      </c>
      <c r="AU17" s="11" t="e">
        <f>SUM(AL18:AL20)</f>
        <v>#REF!</v>
      </c>
    </row>
    <row r="18" spans="1:76">
      <c r="A18" s="1" t="s">
        <v>561</v>
      </c>
      <c r="B18" s="2" t="s">
        <v>552</v>
      </c>
      <c r="C18" s="2" t="s">
        <v>34</v>
      </c>
      <c r="D18" s="349" t="s">
        <v>33</v>
      </c>
      <c r="E18" s="342"/>
      <c r="F18" s="2" t="s">
        <v>29</v>
      </c>
      <c r="G18" s="12" t="e">
        <f>#REF!</f>
        <v>#REF!</v>
      </c>
      <c r="H18" s="12" t="e">
        <f>#REF!</f>
        <v>#REF!</v>
      </c>
      <c r="I18" s="49" t="s">
        <v>554</v>
      </c>
      <c r="J18" s="12" t="e">
        <f>G18*AO18</f>
        <v>#REF!</v>
      </c>
      <c r="K18" s="12" t="e">
        <f>G18*AP18</f>
        <v>#REF!</v>
      </c>
      <c r="L18" s="12" t="e">
        <f>G18*H18</f>
        <v>#REF!</v>
      </c>
      <c r="M18" s="12" t="e">
        <f>L18*(1+BW18/100)</f>
        <v>#REF!</v>
      </c>
      <c r="N18" s="12">
        <v>0</v>
      </c>
      <c r="O18" s="12" t="e">
        <f>G18*N18</f>
        <v>#REF!</v>
      </c>
      <c r="P18" s="50" t="s">
        <v>555</v>
      </c>
      <c r="Z18" s="12">
        <f>IF(AQ18="5",BJ18,0)</f>
        <v>0</v>
      </c>
      <c r="AB18" s="12">
        <f>IF(AQ18="1",BH18,0)</f>
        <v>0</v>
      </c>
      <c r="AC18" s="12">
        <f>IF(AQ18="1",BI18,0)</f>
        <v>0</v>
      </c>
      <c r="AD18" s="12">
        <f>IF(AQ18="7",BH18,0)</f>
        <v>0</v>
      </c>
      <c r="AE18" s="12">
        <f>IF(AQ18="7",BI18,0)</f>
        <v>0</v>
      </c>
      <c r="AF18" s="12">
        <f>IF(AQ18="2",BH18,0)</f>
        <v>0</v>
      </c>
      <c r="AG18" s="12">
        <f>IF(AQ18="2",BI18,0)</f>
        <v>0</v>
      </c>
      <c r="AH18" s="12">
        <f>IF(AQ18="0",BJ18,0)</f>
        <v>0</v>
      </c>
      <c r="AI18" s="10" t="s">
        <v>552</v>
      </c>
      <c r="AJ18" s="12">
        <f>IF(AN18=0,L18,0)</f>
        <v>0</v>
      </c>
      <c r="AK18" s="12">
        <f>IF(AN18=12,L18,0)</f>
        <v>0</v>
      </c>
      <c r="AL18" s="12" t="e">
        <f>IF(AN18=21,L18,0)</f>
        <v>#REF!</v>
      </c>
      <c r="AN18" s="12">
        <v>21</v>
      </c>
      <c r="AO18" s="12" t="e">
        <f>H18*0</f>
        <v>#REF!</v>
      </c>
      <c r="AP18" s="12" t="e">
        <f>H18*(1-0)</f>
        <v>#REF!</v>
      </c>
      <c r="AQ18" s="49" t="s">
        <v>556</v>
      </c>
      <c r="AV18" s="12" t="e">
        <f>AW18+AX18</f>
        <v>#REF!</v>
      </c>
      <c r="AW18" s="12" t="e">
        <f>G18*AO18</f>
        <v>#REF!</v>
      </c>
      <c r="AX18" s="12" t="e">
        <f>G18*AP18</f>
        <v>#REF!</v>
      </c>
      <c r="AY18" s="49" t="s">
        <v>562</v>
      </c>
      <c r="AZ18" s="49" t="s">
        <v>558</v>
      </c>
      <c r="BA18" s="10" t="s">
        <v>559</v>
      </c>
      <c r="BC18" s="12" t="e">
        <f>AW18+AX18</f>
        <v>#REF!</v>
      </c>
      <c r="BD18" s="12" t="e">
        <f>H18/(100-BE18)*100</f>
        <v>#REF!</v>
      </c>
      <c r="BE18" s="12">
        <v>0</v>
      </c>
      <c r="BF18" s="12" t="e">
        <f>O18</f>
        <v>#REF!</v>
      </c>
      <c r="BH18" s="12" t="e">
        <f>G18*AO18</f>
        <v>#REF!</v>
      </c>
      <c r="BI18" s="12" t="e">
        <f>G18*AP18</f>
        <v>#REF!</v>
      </c>
      <c r="BJ18" s="12" t="e">
        <f>G18*H18</f>
        <v>#REF!</v>
      </c>
      <c r="BK18" s="12"/>
      <c r="BL18" s="12"/>
      <c r="BN18" s="12" t="e">
        <f>G18*H18</f>
        <v>#REF!</v>
      </c>
      <c r="BW18" s="12" t="str">
        <f>I18</f>
        <v>21</v>
      </c>
      <c r="BX18" s="3" t="s">
        <v>33</v>
      </c>
    </row>
    <row r="19" spans="1:76">
      <c r="A19" s="1" t="s">
        <v>563</v>
      </c>
      <c r="B19" s="2" t="s">
        <v>552</v>
      </c>
      <c r="C19" s="2" t="s">
        <v>35</v>
      </c>
      <c r="D19" s="349" t="s">
        <v>36</v>
      </c>
      <c r="E19" s="342"/>
      <c r="F19" s="2" t="s">
        <v>29</v>
      </c>
      <c r="G19" s="12" t="e">
        <f>#REF!</f>
        <v>#REF!</v>
      </c>
      <c r="H19" s="12" t="e">
        <f>#REF!</f>
        <v>#REF!</v>
      </c>
      <c r="I19" s="49" t="s">
        <v>554</v>
      </c>
      <c r="J19" s="12" t="e">
        <f>G19*AO19</f>
        <v>#REF!</v>
      </c>
      <c r="K19" s="12" t="e">
        <f>G19*AP19</f>
        <v>#REF!</v>
      </c>
      <c r="L19" s="12" t="e">
        <f>G19*H19</f>
        <v>#REF!</v>
      </c>
      <c r="M19" s="12" t="e">
        <f>L19*(1+BW19/100)</f>
        <v>#REF!</v>
      </c>
      <c r="N19" s="12">
        <v>0</v>
      </c>
      <c r="O19" s="12" t="e">
        <f>G19*N19</f>
        <v>#REF!</v>
      </c>
      <c r="P19" s="50" t="s">
        <v>555</v>
      </c>
      <c r="Z19" s="12">
        <f>IF(AQ19="5",BJ19,0)</f>
        <v>0</v>
      </c>
      <c r="AB19" s="12">
        <f>IF(AQ19="1",BH19,0)</f>
        <v>0</v>
      </c>
      <c r="AC19" s="12">
        <f>IF(AQ19="1",BI19,0)</f>
        <v>0</v>
      </c>
      <c r="AD19" s="12">
        <f>IF(AQ19="7",BH19,0)</f>
        <v>0</v>
      </c>
      <c r="AE19" s="12">
        <f>IF(AQ19="7",BI19,0)</f>
        <v>0</v>
      </c>
      <c r="AF19" s="12">
        <f>IF(AQ19="2",BH19,0)</f>
        <v>0</v>
      </c>
      <c r="AG19" s="12">
        <f>IF(AQ19="2",BI19,0)</f>
        <v>0</v>
      </c>
      <c r="AH19" s="12">
        <f>IF(AQ19="0",BJ19,0)</f>
        <v>0</v>
      </c>
      <c r="AI19" s="10" t="s">
        <v>552</v>
      </c>
      <c r="AJ19" s="12">
        <f>IF(AN19=0,L19,0)</f>
        <v>0</v>
      </c>
      <c r="AK19" s="12">
        <f>IF(AN19=12,L19,0)</f>
        <v>0</v>
      </c>
      <c r="AL19" s="12" t="e">
        <f>IF(AN19=21,L19,0)</f>
        <v>#REF!</v>
      </c>
      <c r="AN19" s="12">
        <v>21</v>
      </c>
      <c r="AO19" s="12" t="e">
        <f>H19*0.157894737</f>
        <v>#REF!</v>
      </c>
      <c r="AP19" s="12" t="e">
        <f>H19*(1-0.157894737)</f>
        <v>#REF!</v>
      </c>
      <c r="AQ19" s="49" t="s">
        <v>556</v>
      </c>
      <c r="AV19" s="12" t="e">
        <f>AW19+AX19</f>
        <v>#REF!</v>
      </c>
      <c r="AW19" s="12" t="e">
        <f>G19*AO19</f>
        <v>#REF!</v>
      </c>
      <c r="AX19" s="12" t="e">
        <f>G19*AP19</f>
        <v>#REF!</v>
      </c>
      <c r="AY19" s="49" t="s">
        <v>562</v>
      </c>
      <c r="AZ19" s="49" t="s">
        <v>558</v>
      </c>
      <c r="BA19" s="10" t="s">
        <v>559</v>
      </c>
      <c r="BC19" s="12" t="e">
        <f>AW19+AX19</f>
        <v>#REF!</v>
      </c>
      <c r="BD19" s="12" t="e">
        <f>H19/(100-BE19)*100</f>
        <v>#REF!</v>
      </c>
      <c r="BE19" s="12">
        <v>0</v>
      </c>
      <c r="BF19" s="12" t="e">
        <f>O19</f>
        <v>#REF!</v>
      </c>
      <c r="BH19" s="12" t="e">
        <f>G19*AO19</f>
        <v>#REF!</v>
      </c>
      <c r="BI19" s="12" t="e">
        <f>G19*AP19</f>
        <v>#REF!</v>
      </c>
      <c r="BJ19" s="12" t="e">
        <f>G19*H19</f>
        <v>#REF!</v>
      </c>
      <c r="BK19" s="12"/>
      <c r="BL19" s="12"/>
      <c r="BN19" s="12" t="e">
        <f>G19*H19</f>
        <v>#REF!</v>
      </c>
      <c r="BW19" s="12" t="str">
        <f>I19</f>
        <v>21</v>
      </c>
      <c r="BX19" s="3" t="s">
        <v>36</v>
      </c>
    </row>
    <row r="20" spans="1:76" ht="25.5">
      <c r="A20" s="1" t="s">
        <v>564</v>
      </c>
      <c r="B20" s="2" t="s">
        <v>552</v>
      </c>
      <c r="C20" s="2" t="s">
        <v>37</v>
      </c>
      <c r="D20" s="349" t="s">
        <v>38</v>
      </c>
      <c r="E20" s="342"/>
      <c r="F20" s="2" t="s">
        <v>29</v>
      </c>
      <c r="G20" s="12" t="e">
        <f>#REF!</f>
        <v>#REF!</v>
      </c>
      <c r="H20" s="12" t="e">
        <f>#REF!</f>
        <v>#REF!</v>
      </c>
      <c r="I20" s="49" t="s">
        <v>554</v>
      </c>
      <c r="J20" s="12" t="e">
        <f>G20*AO20</f>
        <v>#REF!</v>
      </c>
      <c r="K20" s="12" t="e">
        <f>G20*AP20</f>
        <v>#REF!</v>
      </c>
      <c r="L20" s="12" t="e">
        <f>G20*H20</f>
        <v>#REF!</v>
      </c>
      <c r="M20" s="12" t="e">
        <f>L20*(1+BW20/100)</f>
        <v>#REF!</v>
      </c>
      <c r="N20" s="12">
        <v>0</v>
      </c>
      <c r="O20" s="12" t="e">
        <f>G20*N20</f>
        <v>#REF!</v>
      </c>
      <c r="P20" s="50" t="s">
        <v>555</v>
      </c>
      <c r="Z20" s="12">
        <f>IF(AQ20="5",BJ20,0)</f>
        <v>0</v>
      </c>
      <c r="AB20" s="12">
        <f>IF(AQ20="1",BH20,0)</f>
        <v>0</v>
      </c>
      <c r="AC20" s="12">
        <f>IF(AQ20="1",BI20,0)</f>
        <v>0</v>
      </c>
      <c r="AD20" s="12">
        <f>IF(AQ20="7",BH20,0)</f>
        <v>0</v>
      </c>
      <c r="AE20" s="12">
        <f>IF(AQ20="7",BI20,0)</f>
        <v>0</v>
      </c>
      <c r="AF20" s="12">
        <f>IF(AQ20="2",BH20,0)</f>
        <v>0</v>
      </c>
      <c r="AG20" s="12">
        <f>IF(AQ20="2",BI20,0)</f>
        <v>0</v>
      </c>
      <c r="AH20" s="12">
        <f>IF(AQ20="0",BJ20,0)</f>
        <v>0</v>
      </c>
      <c r="AI20" s="10" t="s">
        <v>552</v>
      </c>
      <c r="AJ20" s="12">
        <f>IF(AN20=0,L20,0)</f>
        <v>0</v>
      </c>
      <c r="AK20" s="12">
        <f>IF(AN20=12,L20,0)</f>
        <v>0</v>
      </c>
      <c r="AL20" s="12" t="e">
        <f>IF(AN20=21,L20,0)</f>
        <v>#REF!</v>
      </c>
      <c r="AN20" s="12">
        <v>21</v>
      </c>
      <c r="AO20" s="12" t="e">
        <f>H20*0</f>
        <v>#REF!</v>
      </c>
      <c r="AP20" s="12" t="e">
        <f>H20*(1-0)</f>
        <v>#REF!</v>
      </c>
      <c r="AQ20" s="49" t="s">
        <v>556</v>
      </c>
      <c r="AV20" s="12" t="e">
        <f>AW20+AX20</f>
        <v>#REF!</v>
      </c>
      <c r="AW20" s="12" t="e">
        <f>G20*AO20</f>
        <v>#REF!</v>
      </c>
      <c r="AX20" s="12" t="e">
        <f>G20*AP20</f>
        <v>#REF!</v>
      </c>
      <c r="AY20" s="49" t="s">
        <v>562</v>
      </c>
      <c r="AZ20" s="49" t="s">
        <v>558</v>
      </c>
      <c r="BA20" s="10" t="s">
        <v>559</v>
      </c>
      <c r="BC20" s="12" t="e">
        <f>AW20+AX20</f>
        <v>#REF!</v>
      </c>
      <c r="BD20" s="12" t="e">
        <f>H20/(100-BE20)*100</f>
        <v>#REF!</v>
      </c>
      <c r="BE20" s="12">
        <v>0</v>
      </c>
      <c r="BF20" s="12" t="e">
        <f>O20</f>
        <v>#REF!</v>
      </c>
      <c r="BH20" s="12" t="e">
        <f>G20*AO20</f>
        <v>#REF!</v>
      </c>
      <c r="BI20" s="12" t="e">
        <f>G20*AP20</f>
        <v>#REF!</v>
      </c>
      <c r="BJ20" s="12" t="e">
        <f>G20*H20</f>
        <v>#REF!</v>
      </c>
      <c r="BK20" s="12"/>
      <c r="BL20" s="12"/>
      <c r="BN20" s="12" t="e">
        <f>G20*H20</f>
        <v>#REF!</v>
      </c>
      <c r="BW20" s="12" t="str">
        <f>I20</f>
        <v>21</v>
      </c>
      <c r="BX20" s="3" t="s">
        <v>38</v>
      </c>
    </row>
    <row r="21" spans="1:76">
      <c r="A21" s="46" t="s">
        <v>21</v>
      </c>
      <c r="B21" s="9" t="s">
        <v>552</v>
      </c>
      <c r="C21" s="9" t="s">
        <v>39</v>
      </c>
      <c r="D21" s="359" t="s">
        <v>40</v>
      </c>
      <c r="E21" s="360"/>
      <c r="F21" s="47" t="s">
        <v>20</v>
      </c>
      <c r="G21" s="47" t="s">
        <v>20</v>
      </c>
      <c r="H21" s="47" t="s">
        <v>20</v>
      </c>
      <c r="I21" s="47" t="s">
        <v>20</v>
      </c>
      <c r="J21" s="11" t="e">
        <f>SUM(J22:J22)</f>
        <v>#REF!</v>
      </c>
      <c r="K21" s="11" t="e">
        <f>SUM(K22:K22)</f>
        <v>#REF!</v>
      </c>
      <c r="L21" s="11" t="e">
        <f>SUM(L22:L22)</f>
        <v>#REF!</v>
      </c>
      <c r="M21" s="11" t="e">
        <f>SUM(M22:M22)</f>
        <v>#REF!</v>
      </c>
      <c r="N21" s="10" t="s">
        <v>21</v>
      </c>
      <c r="O21" s="11" t="e">
        <f>SUM(O22:O22)</f>
        <v>#REF!</v>
      </c>
      <c r="P21" s="48" t="s">
        <v>21</v>
      </c>
      <c r="AI21" s="10" t="s">
        <v>552</v>
      </c>
      <c r="AS21" s="11">
        <f>SUM(AJ22:AJ22)</f>
        <v>0</v>
      </c>
      <c r="AT21" s="11">
        <f>SUM(AK22:AK22)</f>
        <v>0</v>
      </c>
      <c r="AU21" s="11" t="e">
        <f>SUM(AL22:AL22)</f>
        <v>#REF!</v>
      </c>
    </row>
    <row r="22" spans="1:76" ht="25.5">
      <c r="A22" s="1" t="s">
        <v>565</v>
      </c>
      <c r="B22" s="2" t="s">
        <v>552</v>
      </c>
      <c r="C22" s="2" t="s">
        <v>41</v>
      </c>
      <c r="D22" s="349" t="s">
        <v>42</v>
      </c>
      <c r="E22" s="342"/>
      <c r="F22" s="2" t="s">
        <v>29</v>
      </c>
      <c r="G22" s="12" t="e">
        <f>#REF!</f>
        <v>#REF!</v>
      </c>
      <c r="H22" s="12" t="e">
        <f>#REF!</f>
        <v>#REF!</v>
      </c>
      <c r="I22" s="49" t="s">
        <v>554</v>
      </c>
      <c r="J22" s="12" t="e">
        <f>G22*AO22</f>
        <v>#REF!</v>
      </c>
      <c r="K22" s="12" t="e">
        <f>G22*AP22</f>
        <v>#REF!</v>
      </c>
      <c r="L22" s="12" t="e">
        <f>G22*H22</f>
        <v>#REF!</v>
      </c>
      <c r="M22" s="12" t="e">
        <f>L22*(1+BW22/100)</f>
        <v>#REF!</v>
      </c>
      <c r="N22" s="12">
        <v>0</v>
      </c>
      <c r="O22" s="12" t="e">
        <f>G22*N22</f>
        <v>#REF!</v>
      </c>
      <c r="P22" s="50" t="s">
        <v>555</v>
      </c>
      <c r="Z22" s="12">
        <f>IF(AQ22="5",BJ22,0)</f>
        <v>0</v>
      </c>
      <c r="AB22" s="12">
        <f>IF(AQ22="1",BH22,0)</f>
        <v>0</v>
      </c>
      <c r="AC22" s="12">
        <f>IF(AQ22="1",BI22,0)</f>
        <v>0</v>
      </c>
      <c r="AD22" s="12">
        <f>IF(AQ22="7",BH22,0)</f>
        <v>0</v>
      </c>
      <c r="AE22" s="12">
        <f>IF(AQ22="7",BI22,0)</f>
        <v>0</v>
      </c>
      <c r="AF22" s="12">
        <f>IF(AQ22="2",BH22,0)</f>
        <v>0</v>
      </c>
      <c r="AG22" s="12">
        <f>IF(AQ22="2",BI22,0)</f>
        <v>0</v>
      </c>
      <c r="AH22" s="12">
        <f>IF(AQ22="0",BJ22,0)</f>
        <v>0</v>
      </c>
      <c r="AI22" s="10" t="s">
        <v>552</v>
      </c>
      <c r="AJ22" s="12">
        <f>IF(AN22=0,L22,0)</f>
        <v>0</v>
      </c>
      <c r="AK22" s="12">
        <f>IF(AN22=12,L22,0)</f>
        <v>0</v>
      </c>
      <c r="AL22" s="12" t="e">
        <f>IF(AN22=21,L22,0)</f>
        <v>#REF!</v>
      </c>
      <c r="AN22" s="12">
        <v>21</v>
      </c>
      <c r="AO22" s="12" t="e">
        <f>H22*0</f>
        <v>#REF!</v>
      </c>
      <c r="AP22" s="12" t="e">
        <f>H22*(1-0)</f>
        <v>#REF!</v>
      </c>
      <c r="AQ22" s="49" t="s">
        <v>556</v>
      </c>
      <c r="AV22" s="12" t="e">
        <f>AW22+AX22</f>
        <v>#REF!</v>
      </c>
      <c r="AW22" s="12" t="e">
        <f>G22*AO22</f>
        <v>#REF!</v>
      </c>
      <c r="AX22" s="12" t="e">
        <f>G22*AP22</f>
        <v>#REF!</v>
      </c>
      <c r="AY22" s="49" t="s">
        <v>566</v>
      </c>
      <c r="AZ22" s="49" t="s">
        <v>558</v>
      </c>
      <c r="BA22" s="10" t="s">
        <v>559</v>
      </c>
      <c r="BC22" s="12" t="e">
        <f>AW22+AX22</f>
        <v>#REF!</v>
      </c>
      <c r="BD22" s="12" t="e">
        <f>H22/(100-BE22)*100</f>
        <v>#REF!</v>
      </c>
      <c r="BE22" s="12">
        <v>0</v>
      </c>
      <c r="BF22" s="12" t="e">
        <f>O22</f>
        <v>#REF!</v>
      </c>
      <c r="BH22" s="12" t="e">
        <f>G22*AO22</f>
        <v>#REF!</v>
      </c>
      <c r="BI22" s="12" t="e">
        <f>G22*AP22</f>
        <v>#REF!</v>
      </c>
      <c r="BJ22" s="12" t="e">
        <f>G22*H22</f>
        <v>#REF!</v>
      </c>
      <c r="BK22" s="12"/>
      <c r="BL22" s="12"/>
      <c r="BO22" s="12" t="e">
        <f>G22*H22</f>
        <v>#REF!</v>
      </c>
      <c r="BW22" s="12" t="str">
        <f>I22</f>
        <v>21</v>
      </c>
      <c r="BX22" s="3" t="s">
        <v>42</v>
      </c>
    </row>
    <row r="23" spans="1:76">
      <c r="A23" s="46" t="s">
        <v>21</v>
      </c>
      <c r="B23" s="9" t="s">
        <v>552</v>
      </c>
      <c r="C23" s="9" t="s">
        <v>43</v>
      </c>
      <c r="D23" s="359" t="s">
        <v>44</v>
      </c>
      <c r="E23" s="360"/>
      <c r="F23" s="47" t="s">
        <v>20</v>
      </c>
      <c r="G23" s="47" t="s">
        <v>20</v>
      </c>
      <c r="H23" s="47" t="s">
        <v>20</v>
      </c>
      <c r="I23" s="47" t="s">
        <v>20</v>
      </c>
      <c r="J23" s="11" t="e">
        <f>SUM(J24:J25)</f>
        <v>#REF!</v>
      </c>
      <c r="K23" s="11" t="e">
        <f>SUM(K24:K25)</f>
        <v>#REF!</v>
      </c>
      <c r="L23" s="11" t="e">
        <f>SUM(L24:L25)</f>
        <v>#REF!</v>
      </c>
      <c r="M23" s="11" t="e">
        <f>SUM(M24:M25)</f>
        <v>#REF!</v>
      </c>
      <c r="N23" s="10" t="s">
        <v>21</v>
      </c>
      <c r="O23" s="11" t="e">
        <f>SUM(O24:O25)</f>
        <v>#REF!</v>
      </c>
      <c r="P23" s="48" t="s">
        <v>21</v>
      </c>
      <c r="AI23" s="10" t="s">
        <v>552</v>
      </c>
      <c r="AS23" s="11">
        <f>SUM(AJ24:AJ25)</f>
        <v>0</v>
      </c>
      <c r="AT23" s="11">
        <f>SUM(AK24:AK25)</f>
        <v>0</v>
      </c>
      <c r="AU23" s="11" t="e">
        <f>SUM(AL24:AL25)</f>
        <v>#REF!</v>
      </c>
    </row>
    <row r="24" spans="1:76">
      <c r="A24" s="1" t="s">
        <v>567</v>
      </c>
      <c r="B24" s="2" t="s">
        <v>552</v>
      </c>
      <c r="C24" s="2" t="s">
        <v>45</v>
      </c>
      <c r="D24" s="349" t="s">
        <v>46</v>
      </c>
      <c r="E24" s="342"/>
      <c r="F24" s="2" t="s">
        <v>29</v>
      </c>
      <c r="G24" s="12" t="e">
        <f>#REF!</f>
        <v>#REF!</v>
      </c>
      <c r="H24" s="12" t="e">
        <f>#REF!</f>
        <v>#REF!</v>
      </c>
      <c r="I24" s="49" t="s">
        <v>554</v>
      </c>
      <c r="J24" s="12" t="e">
        <f>G24*AO24</f>
        <v>#REF!</v>
      </c>
      <c r="K24" s="12" t="e">
        <f>G24*AP24</f>
        <v>#REF!</v>
      </c>
      <c r="L24" s="12" t="e">
        <f>G24*H24</f>
        <v>#REF!</v>
      </c>
      <c r="M24" s="12" t="e">
        <f>L24*(1+BW24/100)</f>
        <v>#REF!</v>
      </c>
      <c r="N24" s="12">
        <v>0</v>
      </c>
      <c r="O24" s="12" t="e">
        <f>G24*N24</f>
        <v>#REF!</v>
      </c>
      <c r="P24" s="50" t="s">
        <v>555</v>
      </c>
      <c r="Z24" s="12">
        <f>IF(AQ24="5",BJ24,0)</f>
        <v>0</v>
      </c>
      <c r="AB24" s="12">
        <f>IF(AQ24="1",BH24,0)</f>
        <v>0</v>
      </c>
      <c r="AC24" s="12">
        <f>IF(AQ24="1",BI24,0)</f>
        <v>0</v>
      </c>
      <c r="AD24" s="12">
        <f>IF(AQ24="7",BH24,0)</f>
        <v>0</v>
      </c>
      <c r="AE24" s="12">
        <f>IF(AQ24="7",BI24,0)</f>
        <v>0</v>
      </c>
      <c r="AF24" s="12">
        <f>IF(AQ24="2",BH24,0)</f>
        <v>0</v>
      </c>
      <c r="AG24" s="12">
        <f>IF(AQ24="2",BI24,0)</f>
        <v>0</v>
      </c>
      <c r="AH24" s="12">
        <f>IF(AQ24="0",BJ24,0)</f>
        <v>0</v>
      </c>
      <c r="AI24" s="10" t="s">
        <v>552</v>
      </c>
      <c r="AJ24" s="12">
        <f>IF(AN24=0,L24,0)</f>
        <v>0</v>
      </c>
      <c r="AK24" s="12">
        <f>IF(AN24=12,L24,0)</f>
        <v>0</v>
      </c>
      <c r="AL24" s="12" t="e">
        <f>IF(AN24=21,L24,0)</f>
        <v>#REF!</v>
      </c>
      <c r="AN24" s="12">
        <v>21</v>
      </c>
      <c r="AO24" s="12" t="e">
        <f>H24*0.1</f>
        <v>#REF!</v>
      </c>
      <c r="AP24" s="12" t="e">
        <f>H24*(1-0.1)</f>
        <v>#REF!</v>
      </c>
      <c r="AQ24" s="49" t="s">
        <v>556</v>
      </c>
      <c r="AV24" s="12" t="e">
        <f>AW24+AX24</f>
        <v>#REF!</v>
      </c>
      <c r="AW24" s="12" t="e">
        <f>G24*AO24</f>
        <v>#REF!</v>
      </c>
      <c r="AX24" s="12" t="e">
        <f>G24*AP24</f>
        <v>#REF!</v>
      </c>
      <c r="AY24" s="49" t="s">
        <v>568</v>
      </c>
      <c r="AZ24" s="49" t="s">
        <v>558</v>
      </c>
      <c r="BA24" s="10" t="s">
        <v>559</v>
      </c>
      <c r="BC24" s="12" t="e">
        <f>AW24+AX24</f>
        <v>#REF!</v>
      </c>
      <c r="BD24" s="12" t="e">
        <f>H24/(100-BE24)*100</f>
        <v>#REF!</v>
      </c>
      <c r="BE24" s="12">
        <v>0</v>
      </c>
      <c r="BF24" s="12" t="e">
        <f>O24</f>
        <v>#REF!</v>
      </c>
      <c r="BH24" s="12" t="e">
        <f>G24*AO24</f>
        <v>#REF!</v>
      </c>
      <c r="BI24" s="12" t="e">
        <f>G24*AP24</f>
        <v>#REF!</v>
      </c>
      <c r="BJ24" s="12" t="e">
        <f>G24*H24</f>
        <v>#REF!</v>
      </c>
      <c r="BK24" s="12"/>
      <c r="BL24" s="12"/>
      <c r="BP24" s="12" t="e">
        <f>G24*H24</f>
        <v>#REF!</v>
      </c>
      <c r="BW24" s="12" t="str">
        <f>I24</f>
        <v>21</v>
      </c>
      <c r="BX24" s="3" t="s">
        <v>46</v>
      </c>
    </row>
    <row r="25" spans="1:76">
      <c r="A25" s="1" t="s">
        <v>569</v>
      </c>
      <c r="B25" s="2" t="s">
        <v>552</v>
      </c>
      <c r="C25" s="2" t="s">
        <v>47</v>
      </c>
      <c r="D25" s="349" t="s">
        <v>48</v>
      </c>
      <c r="E25" s="342"/>
      <c r="F25" s="2" t="s">
        <v>29</v>
      </c>
      <c r="G25" s="12" t="e">
        <f>#REF!</f>
        <v>#REF!</v>
      </c>
      <c r="H25" s="12" t="e">
        <f>#REF!</f>
        <v>#REF!</v>
      </c>
      <c r="I25" s="49" t="s">
        <v>554</v>
      </c>
      <c r="J25" s="12" t="e">
        <f>G25*AO25</f>
        <v>#REF!</v>
      </c>
      <c r="K25" s="12" t="e">
        <f>G25*AP25</f>
        <v>#REF!</v>
      </c>
      <c r="L25" s="12" t="e">
        <f>G25*H25</f>
        <v>#REF!</v>
      </c>
      <c r="M25" s="12" t="e">
        <f>L25*(1+BW25/100)</f>
        <v>#REF!</v>
      </c>
      <c r="N25" s="12">
        <v>0</v>
      </c>
      <c r="O25" s="12" t="e">
        <f>G25*N25</f>
        <v>#REF!</v>
      </c>
      <c r="P25" s="50" t="s">
        <v>555</v>
      </c>
      <c r="Z25" s="12">
        <f>IF(AQ25="5",BJ25,0)</f>
        <v>0</v>
      </c>
      <c r="AB25" s="12">
        <f>IF(AQ25="1",BH25,0)</f>
        <v>0</v>
      </c>
      <c r="AC25" s="12">
        <f>IF(AQ25="1",BI25,0)</f>
        <v>0</v>
      </c>
      <c r="AD25" s="12">
        <f>IF(AQ25="7",BH25,0)</f>
        <v>0</v>
      </c>
      <c r="AE25" s="12">
        <f>IF(AQ25="7",BI25,0)</f>
        <v>0</v>
      </c>
      <c r="AF25" s="12">
        <f>IF(AQ25="2",BH25,0)</f>
        <v>0</v>
      </c>
      <c r="AG25" s="12">
        <f>IF(AQ25="2",BI25,0)</f>
        <v>0</v>
      </c>
      <c r="AH25" s="12">
        <f>IF(AQ25="0",BJ25,0)</f>
        <v>0</v>
      </c>
      <c r="AI25" s="10" t="s">
        <v>552</v>
      </c>
      <c r="AJ25" s="12">
        <f>IF(AN25=0,L25,0)</f>
        <v>0</v>
      </c>
      <c r="AK25" s="12">
        <f>IF(AN25=12,L25,0)</f>
        <v>0</v>
      </c>
      <c r="AL25" s="12" t="e">
        <f>IF(AN25=21,L25,0)</f>
        <v>#REF!</v>
      </c>
      <c r="AN25" s="12">
        <v>21</v>
      </c>
      <c r="AO25" s="12" t="e">
        <f>H25*0</f>
        <v>#REF!</v>
      </c>
      <c r="AP25" s="12" t="e">
        <f>H25*(1-0)</f>
        <v>#REF!</v>
      </c>
      <c r="AQ25" s="49" t="s">
        <v>556</v>
      </c>
      <c r="AV25" s="12" t="e">
        <f>AW25+AX25</f>
        <v>#REF!</v>
      </c>
      <c r="AW25" s="12" t="e">
        <f>G25*AO25</f>
        <v>#REF!</v>
      </c>
      <c r="AX25" s="12" t="e">
        <f>G25*AP25</f>
        <v>#REF!</v>
      </c>
      <c r="AY25" s="49" t="s">
        <v>568</v>
      </c>
      <c r="AZ25" s="49" t="s">
        <v>558</v>
      </c>
      <c r="BA25" s="10" t="s">
        <v>559</v>
      </c>
      <c r="BC25" s="12" t="e">
        <f>AW25+AX25</f>
        <v>#REF!</v>
      </c>
      <c r="BD25" s="12" t="e">
        <f>H25/(100-BE25)*100</f>
        <v>#REF!</v>
      </c>
      <c r="BE25" s="12">
        <v>0</v>
      </c>
      <c r="BF25" s="12" t="e">
        <f>O25</f>
        <v>#REF!</v>
      </c>
      <c r="BH25" s="12" t="e">
        <f>G25*AO25</f>
        <v>#REF!</v>
      </c>
      <c r="BI25" s="12" t="e">
        <f>G25*AP25</f>
        <v>#REF!</v>
      </c>
      <c r="BJ25" s="12" t="e">
        <f>G25*H25</f>
        <v>#REF!</v>
      </c>
      <c r="BK25" s="12"/>
      <c r="BL25" s="12"/>
      <c r="BP25" s="12" t="e">
        <f>G25*H25</f>
        <v>#REF!</v>
      </c>
      <c r="BW25" s="12" t="str">
        <f>I25</f>
        <v>21</v>
      </c>
      <c r="BX25" s="3" t="s">
        <v>48</v>
      </c>
    </row>
    <row r="26" spans="1:76">
      <c r="A26" s="46" t="s">
        <v>21</v>
      </c>
      <c r="B26" s="9" t="s">
        <v>552</v>
      </c>
      <c r="C26" s="9" t="s">
        <v>49</v>
      </c>
      <c r="D26" s="359" t="s">
        <v>50</v>
      </c>
      <c r="E26" s="360"/>
      <c r="F26" s="47" t="s">
        <v>20</v>
      </c>
      <c r="G26" s="47" t="s">
        <v>20</v>
      </c>
      <c r="H26" s="47" t="s">
        <v>20</v>
      </c>
      <c r="I26" s="47" t="s">
        <v>20</v>
      </c>
      <c r="J26" s="11" t="e">
        <f>SUM(J27:J27)</f>
        <v>#REF!</v>
      </c>
      <c r="K26" s="11" t="e">
        <f>SUM(K27:K27)</f>
        <v>#REF!</v>
      </c>
      <c r="L26" s="11" t="e">
        <f>SUM(L27:L27)</f>
        <v>#REF!</v>
      </c>
      <c r="M26" s="11" t="e">
        <f>SUM(M27:M27)</f>
        <v>#REF!</v>
      </c>
      <c r="N26" s="10" t="s">
        <v>21</v>
      </c>
      <c r="O26" s="11" t="e">
        <f>SUM(O27:O27)</f>
        <v>#REF!</v>
      </c>
      <c r="P26" s="48" t="s">
        <v>21</v>
      </c>
      <c r="AI26" s="10" t="s">
        <v>552</v>
      </c>
      <c r="AS26" s="11">
        <f>SUM(AJ27:AJ27)</f>
        <v>0</v>
      </c>
      <c r="AT26" s="11">
        <f>SUM(AK27:AK27)</f>
        <v>0</v>
      </c>
      <c r="AU26" s="11" t="e">
        <f>SUM(AL27:AL27)</f>
        <v>#REF!</v>
      </c>
    </row>
    <row r="27" spans="1:76">
      <c r="A27" s="1" t="s">
        <v>570</v>
      </c>
      <c r="B27" s="2" t="s">
        <v>552</v>
      </c>
      <c r="C27" s="2" t="s">
        <v>51</v>
      </c>
      <c r="D27" s="349" t="s">
        <v>52</v>
      </c>
      <c r="E27" s="342"/>
      <c r="F27" s="2" t="s">
        <v>29</v>
      </c>
      <c r="G27" s="12" t="e">
        <f>#REF!</f>
        <v>#REF!</v>
      </c>
      <c r="H27" s="12" t="e">
        <f>#REF!</f>
        <v>#REF!</v>
      </c>
      <c r="I27" s="49" t="s">
        <v>554</v>
      </c>
      <c r="J27" s="12" t="e">
        <f>G27*AO27</f>
        <v>#REF!</v>
      </c>
      <c r="K27" s="12" t="e">
        <f>G27*AP27</f>
        <v>#REF!</v>
      </c>
      <c r="L27" s="12" t="e">
        <f>G27*H27</f>
        <v>#REF!</v>
      </c>
      <c r="M27" s="12" t="e">
        <f>L27*(1+BW27/100)</f>
        <v>#REF!</v>
      </c>
      <c r="N27" s="12">
        <v>0</v>
      </c>
      <c r="O27" s="12" t="e">
        <f>G27*N27</f>
        <v>#REF!</v>
      </c>
      <c r="P27" s="50" t="s">
        <v>555</v>
      </c>
      <c r="Z27" s="12">
        <f>IF(AQ27="5",BJ27,0)</f>
        <v>0</v>
      </c>
      <c r="AB27" s="12">
        <f>IF(AQ27="1",BH27,0)</f>
        <v>0</v>
      </c>
      <c r="AC27" s="12">
        <f>IF(AQ27="1",BI27,0)</f>
        <v>0</v>
      </c>
      <c r="AD27" s="12">
        <f>IF(AQ27="7",BH27,0)</f>
        <v>0</v>
      </c>
      <c r="AE27" s="12">
        <f>IF(AQ27="7",BI27,0)</f>
        <v>0</v>
      </c>
      <c r="AF27" s="12">
        <f>IF(AQ27="2",BH27,0)</f>
        <v>0</v>
      </c>
      <c r="AG27" s="12">
        <f>IF(AQ27="2",BI27,0)</f>
        <v>0</v>
      </c>
      <c r="AH27" s="12">
        <f>IF(AQ27="0",BJ27,0)</f>
        <v>0</v>
      </c>
      <c r="AI27" s="10" t="s">
        <v>552</v>
      </c>
      <c r="AJ27" s="12">
        <f>IF(AN27=0,L27,0)</f>
        <v>0</v>
      </c>
      <c r="AK27" s="12">
        <f>IF(AN27=12,L27,0)</f>
        <v>0</v>
      </c>
      <c r="AL27" s="12" t="e">
        <f>IF(AN27=21,L27,0)</f>
        <v>#REF!</v>
      </c>
      <c r="AN27" s="12">
        <v>21</v>
      </c>
      <c r="AO27" s="12" t="e">
        <f>H27*0</f>
        <v>#REF!</v>
      </c>
      <c r="AP27" s="12" t="e">
        <f>H27*(1-0)</f>
        <v>#REF!</v>
      </c>
      <c r="AQ27" s="49" t="s">
        <v>556</v>
      </c>
      <c r="AV27" s="12" t="e">
        <f>AW27+AX27</f>
        <v>#REF!</v>
      </c>
      <c r="AW27" s="12" t="e">
        <f>G27*AO27</f>
        <v>#REF!</v>
      </c>
      <c r="AX27" s="12" t="e">
        <f>G27*AP27</f>
        <v>#REF!</v>
      </c>
      <c r="AY27" s="49" t="s">
        <v>571</v>
      </c>
      <c r="AZ27" s="49" t="s">
        <v>558</v>
      </c>
      <c r="BA27" s="10" t="s">
        <v>559</v>
      </c>
      <c r="BC27" s="12" t="e">
        <f>AW27+AX27</f>
        <v>#REF!</v>
      </c>
      <c r="BD27" s="12" t="e">
        <f>H27/(100-BE27)*100</f>
        <v>#REF!</v>
      </c>
      <c r="BE27" s="12">
        <v>0</v>
      </c>
      <c r="BF27" s="12" t="e">
        <f>O27</f>
        <v>#REF!</v>
      </c>
      <c r="BH27" s="12" t="e">
        <f>G27*AO27</f>
        <v>#REF!</v>
      </c>
      <c r="BI27" s="12" t="e">
        <f>G27*AP27</f>
        <v>#REF!</v>
      </c>
      <c r="BJ27" s="12" t="e">
        <f>G27*H27</f>
        <v>#REF!</v>
      </c>
      <c r="BK27" s="12"/>
      <c r="BL27" s="12"/>
      <c r="BU27" s="12" t="e">
        <f>G27*H27</f>
        <v>#REF!</v>
      </c>
      <c r="BW27" s="12" t="str">
        <f>I27</f>
        <v>21</v>
      </c>
      <c r="BX27" s="3" t="s">
        <v>52</v>
      </c>
    </row>
    <row r="28" spans="1:76">
      <c r="A28" s="46" t="s">
        <v>21</v>
      </c>
      <c r="B28" s="9" t="s">
        <v>572</v>
      </c>
      <c r="C28" s="9" t="s">
        <v>21</v>
      </c>
      <c r="D28" s="359" t="s">
        <v>53</v>
      </c>
      <c r="E28" s="360"/>
      <c r="F28" s="47" t="s">
        <v>20</v>
      </c>
      <c r="G28" s="47" t="s">
        <v>20</v>
      </c>
      <c r="H28" s="47" t="s">
        <v>20</v>
      </c>
      <c r="I28" s="47" t="s">
        <v>20</v>
      </c>
      <c r="J28" s="11" t="e">
        <f>J29+J31+J33+J43+J48+J51</f>
        <v>#REF!</v>
      </c>
      <c r="K28" s="11" t="e">
        <f>K29+K31+K33+K43+K48+K51</f>
        <v>#REF!</v>
      </c>
      <c r="L28" s="11" t="e">
        <f>L29+L31+L33+L43+L48+L51</f>
        <v>#REF!</v>
      </c>
      <c r="M28" s="11" t="e">
        <f>M29+M31+M33+M43+M48+M51</f>
        <v>#REF!</v>
      </c>
      <c r="N28" s="10" t="s">
        <v>21</v>
      </c>
      <c r="O28" s="11" t="e">
        <f>O29+O31+O33+O43+O48+O51</f>
        <v>#REF!</v>
      </c>
      <c r="P28" s="48" t="s">
        <v>21</v>
      </c>
    </row>
    <row r="29" spans="1:76">
      <c r="A29" s="46" t="s">
        <v>21</v>
      </c>
      <c r="B29" s="9" t="s">
        <v>572</v>
      </c>
      <c r="C29" s="9" t="s">
        <v>54</v>
      </c>
      <c r="D29" s="359" t="s">
        <v>55</v>
      </c>
      <c r="E29" s="360"/>
      <c r="F29" s="47" t="s">
        <v>20</v>
      </c>
      <c r="G29" s="47" t="s">
        <v>20</v>
      </c>
      <c r="H29" s="47" t="s">
        <v>20</v>
      </c>
      <c r="I29" s="47" t="s">
        <v>20</v>
      </c>
      <c r="J29" s="11" t="e">
        <f>SUM(J30:J30)</f>
        <v>#REF!</v>
      </c>
      <c r="K29" s="11" t="e">
        <f>SUM(K30:K30)</f>
        <v>#REF!</v>
      </c>
      <c r="L29" s="11" t="e">
        <f>SUM(L30:L30)</f>
        <v>#REF!</v>
      </c>
      <c r="M29" s="11" t="e">
        <f>SUM(M30:M30)</f>
        <v>#REF!</v>
      </c>
      <c r="N29" s="10" t="s">
        <v>21</v>
      </c>
      <c r="O29" s="11" t="e">
        <f>SUM(O30:O30)</f>
        <v>#REF!</v>
      </c>
      <c r="P29" s="48" t="s">
        <v>21</v>
      </c>
      <c r="AI29" s="10" t="s">
        <v>572</v>
      </c>
      <c r="AS29" s="11">
        <f>SUM(AJ30:AJ30)</f>
        <v>0</v>
      </c>
      <c r="AT29" s="11">
        <f>SUM(AK30:AK30)</f>
        <v>0</v>
      </c>
      <c r="AU29" s="11" t="e">
        <f>SUM(AL30:AL30)</f>
        <v>#REF!</v>
      </c>
    </row>
    <row r="30" spans="1:76">
      <c r="A30" s="1" t="s">
        <v>573</v>
      </c>
      <c r="B30" s="2" t="s">
        <v>572</v>
      </c>
      <c r="C30" s="2" t="s">
        <v>56</v>
      </c>
      <c r="D30" s="349" t="s">
        <v>57</v>
      </c>
      <c r="E30" s="342"/>
      <c r="F30" s="2" t="s">
        <v>58</v>
      </c>
      <c r="G30" s="12" t="e">
        <f>#REF!</f>
        <v>#REF!</v>
      </c>
      <c r="H30" s="12" t="e">
        <f>#REF!</f>
        <v>#REF!</v>
      </c>
      <c r="I30" s="49" t="s">
        <v>554</v>
      </c>
      <c r="J30" s="12" t="e">
        <f>G30*AO30</f>
        <v>#REF!</v>
      </c>
      <c r="K30" s="12" t="e">
        <f>G30*AP30</f>
        <v>#REF!</v>
      </c>
      <c r="L30" s="12" t="e">
        <f>G30*H30</f>
        <v>#REF!</v>
      </c>
      <c r="M30" s="12" t="e">
        <f>L30*(1+BW30/100)</f>
        <v>#REF!</v>
      </c>
      <c r="N30" s="12">
        <v>0</v>
      </c>
      <c r="O30" s="12" t="e">
        <f>G30*N30</f>
        <v>#REF!</v>
      </c>
      <c r="P30" s="50" t="s">
        <v>21</v>
      </c>
      <c r="Z30" s="12">
        <f>IF(AQ30="5",BJ30,0)</f>
        <v>0</v>
      </c>
      <c r="AB30" s="12" t="e">
        <f>IF(AQ30="1",BH30,0)</f>
        <v>#REF!</v>
      </c>
      <c r="AC30" s="12" t="e">
        <f>IF(AQ30="1",BI30,0)</f>
        <v>#REF!</v>
      </c>
      <c r="AD30" s="12">
        <f>IF(AQ30="7",BH30,0)</f>
        <v>0</v>
      </c>
      <c r="AE30" s="12">
        <f>IF(AQ30="7",BI30,0)</f>
        <v>0</v>
      </c>
      <c r="AF30" s="12">
        <f>IF(AQ30="2",BH30,0)</f>
        <v>0</v>
      </c>
      <c r="AG30" s="12">
        <f>IF(AQ30="2",BI30,0)</f>
        <v>0</v>
      </c>
      <c r="AH30" s="12">
        <f>IF(AQ30="0",BJ30,0)</f>
        <v>0</v>
      </c>
      <c r="AI30" s="10" t="s">
        <v>572</v>
      </c>
      <c r="AJ30" s="12">
        <f>IF(AN30=0,L30,0)</f>
        <v>0</v>
      </c>
      <c r="AK30" s="12">
        <f>IF(AN30=12,L30,0)</f>
        <v>0</v>
      </c>
      <c r="AL30" s="12" t="e">
        <f>IF(AN30=21,L30,0)</f>
        <v>#REF!</v>
      </c>
      <c r="AN30" s="12">
        <v>21</v>
      </c>
      <c r="AO30" s="12" t="e">
        <f>H30*0.166666667</f>
        <v>#REF!</v>
      </c>
      <c r="AP30" s="12" t="e">
        <f>H30*(1-0.166666667)</f>
        <v>#REF!</v>
      </c>
      <c r="AQ30" s="49" t="s">
        <v>553</v>
      </c>
      <c r="AV30" s="12" t="e">
        <f>AW30+AX30</f>
        <v>#REF!</v>
      </c>
      <c r="AW30" s="12" t="e">
        <f>G30*AO30</f>
        <v>#REF!</v>
      </c>
      <c r="AX30" s="12" t="e">
        <f>G30*AP30</f>
        <v>#REF!</v>
      </c>
      <c r="AY30" s="49" t="s">
        <v>574</v>
      </c>
      <c r="AZ30" s="49" t="s">
        <v>575</v>
      </c>
      <c r="BA30" s="10" t="s">
        <v>576</v>
      </c>
      <c r="BC30" s="12" t="e">
        <f>AW30+AX30</f>
        <v>#REF!</v>
      </c>
      <c r="BD30" s="12" t="e">
        <f>H30/(100-BE30)*100</f>
        <v>#REF!</v>
      </c>
      <c r="BE30" s="12">
        <v>0</v>
      </c>
      <c r="BF30" s="12" t="e">
        <f>O30</f>
        <v>#REF!</v>
      </c>
      <c r="BH30" s="12" t="e">
        <f>G30*AO30</f>
        <v>#REF!</v>
      </c>
      <c r="BI30" s="12" t="e">
        <f>G30*AP30</f>
        <v>#REF!</v>
      </c>
      <c r="BJ30" s="12" t="e">
        <f>G30*H30</f>
        <v>#REF!</v>
      </c>
      <c r="BK30" s="12"/>
      <c r="BL30" s="12">
        <v>0</v>
      </c>
      <c r="BW30" s="12" t="str">
        <f>I30</f>
        <v>21</v>
      </c>
      <c r="BX30" s="3" t="s">
        <v>57</v>
      </c>
    </row>
    <row r="31" spans="1:76">
      <c r="A31" s="46" t="s">
        <v>21</v>
      </c>
      <c r="B31" s="9" t="s">
        <v>572</v>
      </c>
      <c r="C31" s="9" t="s">
        <v>59</v>
      </c>
      <c r="D31" s="359" t="s">
        <v>60</v>
      </c>
      <c r="E31" s="360"/>
      <c r="F31" s="47" t="s">
        <v>20</v>
      </c>
      <c r="G31" s="47" t="s">
        <v>20</v>
      </c>
      <c r="H31" s="47" t="s">
        <v>20</v>
      </c>
      <c r="I31" s="47" t="s">
        <v>20</v>
      </c>
      <c r="J31" s="11" t="e">
        <f>SUM(J32:J32)</f>
        <v>#REF!</v>
      </c>
      <c r="K31" s="11" t="e">
        <f>SUM(K32:K32)</f>
        <v>#REF!</v>
      </c>
      <c r="L31" s="11" t="e">
        <f>SUM(L32:L32)</f>
        <v>#REF!</v>
      </c>
      <c r="M31" s="11" t="e">
        <f>SUM(M32:M32)</f>
        <v>#REF!</v>
      </c>
      <c r="N31" s="10" t="s">
        <v>21</v>
      </c>
      <c r="O31" s="11" t="e">
        <f>SUM(O32:O32)</f>
        <v>#REF!</v>
      </c>
      <c r="P31" s="48" t="s">
        <v>21</v>
      </c>
      <c r="AI31" s="10" t="s">
        <v>572</v>
      </c>
      <c r="AS31" s="11">
        <f>SUM(AJ32:AJ32)</f>
        <v>0</v>
      </c>
      <c r="AT31" s="11">
        <f>SUM(AK32:AK32)</f>
        <v>0</v>
      </c>
      <c r="AU31" s="11" t="e">
        <f>SUM(AL32:AL32)</f>
        <v>#REF!</v>
      </c>
    </row>
    <row r="32" spans="1:76">
      <c r="A32" s="1" t="s">
        <v>241</v>
      </c>
      <c r="B32" s="2" t="s">
        <v>572</v>
      </c>
      <c r="C32" s="2" t="s">
        <v>61</v>
      </c>
      <c r="D32" s="349" t="s">
        <v>62</v>
      </c>
      <c r="E32" s="342"/>
      <c r="F32" s="2" t="s">
        <v>63</v>
      </c>
      <c r="G32" s="12" t="e">
        <f>#REF!</f>
        <v>#REF!</v>
      </c>
      <c r="H32" s="12" t="e">
        <f>#REF!</f>
        <v>#REF!</v>
      </c>
      <c r="I32" s="49" t="s">
        <v>554</v>
      </c>
      <c r="J32" s="12" t="e">
        <f>G32*AO32</f>
        <v>#REF!</v>
      </c>
      <c r="K32" s="12" t="e">
        <f>G32*AP32</f>
        <v>#REF!</v>
      </c>
      <c r="L32" s="12" t="e">
        <f>G32*H32</f>
        <v>#REF!</v>
      </c>
      <c r="M32" s="12" t="e">
        <f>L32*(1+BW32/100)</f>
        <v>#REF!</v>
      </c>
      <c r="N32" s="12">
        <v>2.0999999999999999E-3</v>
      </c>
      <c r="O32" s="12" t="e">
        <f>G32*N32</f>
        <v>#REF!</v>
      </c>
      <c r="P32" s="50" t="s">
        <v>577</v>
      </c>
      <c r="Z32" s="12">
        <f>IF(AQ32="5",BJ32,0)</f>
        <v>0</v>
      </c>
      <c r="AB32" s="12">
        <f>IF(AQ32="1",BH32,0)</f>
        <v>0</v>
      </c>
      <c r="AC32" s="12">
        <f>IF(AQ32="1",BI32,0)</f>
        <v>0</v>
      </c>
      <c r="AD32" s="12" t="e">
        <f>IF(AQ32="7",BH32,0)</f>
        <v>#REF!</v>
      </c>
      <c r="AE32" s="12" t="e">
        <f>IF(AQ32="7",BI32,0)</f>
        <v>#REF!</v>
      </c>
      <c r="AF32" s="12">
        <f>IF(AQ32="2",BH32,0)</f>
        <v>0</v>
      </c>
      <c r="AG32" s="12">
        <f>IF(AQ32="2",BI32,0)</f>
        <v>0</v>
      </c>
      <c r="AH32" s="12">
        <f>IF(AQ32="0",BJ32,0)</f>
        <v>0</v>
      </c>
      <c r="AI32" s="10" t="s">
        <v>572</v>
      </c>
      <c r="AJ32" s="12">
        <f>IF(AN32=0,L32,0)</f>
        <v>0</v>
      </c>
      <c r="AK32" s="12">
        <f>IF(AN32=12,L32,0)</f>
        <v>0</v>
      </c>
      <c r="AL32" s="12" t="e">
        <f>IF(AN32=21,L32,0)</f>
        <v>#REF!</v>
      </c>
      <c r="AN32" s="12">
        <v>21</v>
      </c>
      <c r="AO32" s="12" t="e">
        <f>H32*0</f>
        <v>#REF!</v>
      </c>
      <c r="AP32" s="12" t="e">
        <f>H32*(1-0)</f>
        <v>#REF!</v>
      </c>
      <c r="AQ32" s="49" t="s">
        <v>567</v>
      </c>
      <c r="AV32" s="12" t="e">
        <f>AW32+AX32</f>
        <v>#REF!</v>
      </c>
      <c r="AW32" s="12" t="e">
        <f>G32*AO32</f>
        <v>#REF!</v>
      </c>
      <c r="AX32" s="12" t="e">
        <f>G32*AP32</f>
        <v>#REF!</v>
      </c>
      <c r="AY32" s="49" t="s">
        <v>578</v>
      </c>
      <c r="AZ32" s="49" t="s">
        <v>579</v>
      </c>
      <c r="BA32" s="10" t="s">
        <v>576</v>
      </c>
      <c r="BC32" s="12" t="e">
        <f>AW32+AX32</f>
        <v>#REF!</v>
      </c>
      <c r="BD32" s="12" t="e">
        <f>H32/(100-BE32)*100</f>
        <v>#REF!</v>
      </c>
      <c r="BE32" s="12">
        <v>0</v>
      </c>
      <c r="BF32" s="12" t="e">
        <f>O32</f>
        <v>#REF!</v>
      </c>
      <c r="BH32" s="12" t="e">
        <f>G32*AO32</f>
        <v>#REF!</v>
      </c>
      <c r="BI32" s="12" t="e">
        <f>G32*AP32</f>
        <v>#REF!</v>
      </c>
      <c r="BJ32" s="12" t="e">
        <f>G32*H32</f>
        <v>#REF!</v>
      </c>
      <c r="BK32" s="12"/>
      <c r="BL32" s="12">
        <v>713</v>
      </c>
      <c r="BW32" s="12" t="str">
        <f>I32</f>
        <v>21</v>
      </c>
      <c r="BX32" s="3" t="s">
        <v>62</v>
      </c>
    </row>
    <row r="33" spans="1:76">
      <c r="A33" s="46" t="s">
        <v>21</v>
      </c>
      <c r="B33" s="9" t="s">
        <v>572</v>
      </c>
      <c r="C33" s="9" t="s">
        <v>64</v>
      </c>
      <c r="D33" s="359" t="s">
        <v>65</v>
      </c>
      <c r="E33" s="360"/>
      <c r="F33" s="47" t="s">
        <v>20</v>
      </c>
      <c r="G33" s="47" t="s">
        <v>20</v>
      </c>
      <c r="H33" s="47" t="s">
        <v>20</v>
      </c>
      <c r="I33" s="47" t="s">
        <v>20</v>
      </c>
      <c r="J33" s="11" t="e">
        <f>SUM(J34:J42)</f>
        <v>#REF!</v>
      </c>
      <c r="K33" s="11" t="e">
        <f>SUM(K34:K42)</f>
        <v>#REF!</v>
      </c>
      <c r="L33" s="11" t="e">
        <f>SUM(L34:L42)</f>
        <v>#REF!</v>
      </c>
      <c r="M33" s="11" t="e">
        <f>SUM(M34:M42)</f>
        <v>#REF!</v>
      </c>
      <c r="N33" s="10" t="s">
        <v>21</v>
      </c>
      <c r="O33" s="11" t="e">
        <f>SUM(O34:O42)</f>
        <v>#REF!</v>
      </c>
      <c r="P33" s="48" t="s">
        <v>21</v>
      </c>
      <c r="AI33" s="10" t="s">
        <v>572</v>
      </c>
      <c r="AS33" s="11">
        <f>SUM(AJ34:AJ42)</f>
        <v>0</v>
      </c>
      <c r="AT33" s="11">
        <f>SUM(AK34:AK42)</f>
        <v>0</v>
      </c>
      <c r="AU33" s="11" t="e">
        <f>SUM(AL34:AL42)</f>
        <v>#REF!</v>
      </c>
    </row>
    <row r="34" spans="1:76">
      <c r="A34" s="1" t="s">
        <v>256</v>
      </c>
      <c r="B34" s="2" t="s">
        <v>572</v>
      </c>
      <c r="C34" s="2" t="s">
        <v>66</v>
      </c>
      <c r="D34" s="349" t="s">
        <v>67</v>
      </c>
      <c r="E34" s="342"/>
      <c r="F34" s="2" t="s">
        <v>68</v>
      </c>
      <c r="G34" s="12" t="e">
        <f>#REF!</f>
        <v>#REF!</v>
      </c>
      <c r="H34" s="12" t="e">
        <f>#REF!</f>
        <v>#REF!</v>
      </c>
      <c r="I34" s="49" t="s">
        <v>554</v>
      </c>
      <c r="J34" s="12" t="e">
        <f t="shared" ref="J34:J42" si="0">G34*AO34</f>
        <v>#REF!</v>
      </c>
      <c r="K34" s="12" t="e">
        <f t="shared" ref="K34:K42" si="1">G34*AP34</f>
        <v>#REF!</v>
      </c>
      <c r="L34" s="12" t="e">
        <f t="shared" ref="L34:L42" si="2">G34*H34</f>
        <v>#REF!</v>
      </c>
      <c r="M34" s="12" t="e">
        <f t="shared" ref="M34:M42" si="3">L34*(1+BW34/100)</f>
        <v>#REF!</v>
      </c>
      <c r="N34" s="12">
        <v>0</v>
      </c>
      <c r="O34" s="12" t="e">
        <f t="shared" ref="O34:O42" si="4">G34*N34</f>
        <v>#REF!</v>
      </c>
      <c r="P34" s="50" t="s">
        <v>577</v>
      </c>
      <c r="Z34" s="12">
        <f t="shared" ref="Z34:Z42" si="5">IF(AQ34="5",BJ34,0)</f>
        <v>0</v>
      </c>
      <c r="AB34" s="12">
        <f t="shared" ref="AB34:AB42" si="6">IF(AQ34="1",BH34,0)</f>
        <v>0</v>
      </c>
      <c r="AC34" s="12">
        <f t="shared" ref="AC34:AC42" si="7">IF(AQ34="1",BI34,0)</f>
        <v>0</v>
      </c>
      <c r="AD34" s="12" t="e">
        <f t="shared" ref="AD34:AD42" si="8">IF(AQ34="7",BH34,0)</f>
        <v>#REF!</v>
      </c>
      <c r="AE34" s="12" t="e">
        <f t="shared" ref="AE34:AE42" si="9">IF(AQ34="7",BI34,0)</f>
        <v>#REF!</v>
      </c>
      <c r="AF34" s="12">
        <f t="shared" ref="AF34:AF42" si="10">IF(AQ34="2",BH34,0)</f>
        <v>0</v>
      </c>
      <c r="AG34" s="12">
        <f t="shared" ref="AG34:AG42" si="11">IF(AQ34="2",BI34,0)</f>
        <v>0</v>
      </c>
      <c r="AH34" s="12">
        <f t="shared" ref="AH34:AH42" si="12">IF(AQ34="0",BJ34,0)</f>
        <v>0</v>
      </c>
      <c r="AI34" s="10" t="s">
        <v>572</v>
      </c>
      <c r="AJ34" s="12">
        <f t="shared" ref="AJ34:AJ42" si="13">IF(AN34=0,L34,0)</f>
        <v>0</v>
      </c>
      <c r="AK34" s="12">
        <f t="shared" ref="AK34:AK42" si="14">IF(AN34=12,L34,0)</f>
        <v>0</v>
      </c>
      <c r="AL34" s="12" t="e">
        <f t="shared" ref="AL34:AL42" si="15">IF(AN34=21,L34,0)</f>
        <v>#REF!</v>
      </c>
      <c r="AN34" s="12">
        <v>21</v>
      </c>
      <c r="AO34" s="12" t="e">
        <f>H34*0</f>
        <v>#REF!</v>
      </c>
      <c r="AP34" s="12" t="e">
        <f>H34*(1-0)</f>
        <v>#REF!</v>
      </c>
      <c r="AQ34" s="49" t="s">
        <v>567</v>
      </c>
      <c r="AV34" s="12" t="e">
        <f t="shared" ref="AV34:AV42" si="16">AW34+AX34</f>
        <v>#REF!</v>
      </c>
      <c r="AW34" s="12" t="e">
        <f t="shared" ref="AW34:AW42" si="17">G34*AO34</f>
        <v>#REF!</v>
      </c>
      <c r="AX34" s="12" t="e">
        <f t="shared" ref="AX34:AX42" si="18">G34*AP34</f>
        <v>#REF!</v>
      </c>
      <c r="AY34" s="49" t="s">
        <v>580</v>
      </c>
      <c r="AZ34" s="49" t="s">
        <v>581</v>
      </c>
      <c r="BA34" s="10" t="s">
        <v>576</v>
      </c>
      <c r="BC34" s="12" t="e">
        <f t="shared" ref="BC34:BC42" si="19">AW34+AX34</f>
        <v>#REF!</v>
      </c>
      <c r="BD34" s="12" t="e">
        <f t="shared" ref="BD34:BD42" si="20">H34/(100-BE34)*100</f>
        <v>#REF!</v>
      </c>
      <c r="BE34" s="12">
        <v>0</v>
      </c>
      <c r="BF34" s="12" t="e">
        <f t="shared" ref="BF34:BF42" si="21">O34</f>
        <v>#REF!</v>
      </c>
      <c r="BH34" s="12" t="e">
        <f t="shared" ref="BH34:BH42" si="22">G34*AO34</f>
        <v>#REF!</v>
      </c>
      <c r="BI34" s="12" t="e">
        <f t="shared" ref="BI34:BI42" si="23">G34*AP34</f>
        <v>#REF!</v>
      </c>
      <c r="BJ34" s="12" t="e">
        <f t="shared" ref="BJ34:BJ42" si="24">G34*H34</f>
        <v>#REF!</v>
      </c>
      <c r="BK34" s="12"/>
      <c r="BL34" s="12">
        <v>732</v>
      </c>
      <c r="BW34" s="12" t="str">
        <f t="shared" ref="BW34:BW42" si="25">I34</f>
        <v>21</v>
      </c>
      <c r="BX34" s="3" t="s">
        <v>67</v>
      </c>
    </row>
    <row r="35" spans="1:76">
      <c r="A35" s="1" t="s">
        <v>582</v>
      </c>
      <c r="B35" s="2" t="s">
        <v>572</v>
      </c>
      <c r="C35" s="2" t="s">
        <v>69</v>
      </c>
      <c r="D35" s="349" t="s">
        <v>70</v>
      </c>
      <c r="E35" s="342"/>
      <c r="F35" s="2" t="s">
        <v>68</v>
      </c>
      <c r="G35" s="12" t="e">
        <f>#REF!</f>
        <v>#REF!</v>
      </c>
      <c r="H35" s="12" t="e">
        <f>#REF!</f>
        <v>#REF!</v>
      </c>
      <c r="I35" s="49" t="s">
        <v>554</v>
      </c>
      <c r="J35" s="12" t="e">
        <f t="shared" si="0"/>
        <v>#REF!</v>
      </c>
      <c r="K35" s="12" t="e">
        <f t="shared" si="1"/>
        <v>#REF!</v>
      </c>
      <c r="L35" s="12" t="e">
        <f t="shared" si="2"/>
        <v>#REF!</v>
      </c>
      <c r="M35" s="12" t="e">
        <f t="shared" si="3"/>
        <v>#REF!</v>
      </c>
      <c r="N35" s="12">
        <v>0</v>
      </c>
      <c r="O35" s="12" t="e">
        <f t="shared" si="4"/>
        <v>#REF!</v>
      </c>
      <c r="P35" s="50" t="s">
        <v>577</v>
      </c>
      <c r="Z35" s="12">
        <f t="shared" si="5"/>
        <v>0</v>
      </c>
      <c r="AB35" s="12">
        <f t="shared" si="6"/>
        <v>0</v>
      </c>
      <c r="AC35" s="12">
        <f t="shared" si="7"/>
        <v>0</v>
      </c>
      <c r="AD35" s="12" t="e">
        <f t="shared" si="8"/>
        <v>#REF!</v>
      </c>
      <c r="AE35" s="12" t="e">
        <f t="shared" si="9"/>
        <v>#REF!</v>
      </c>
      <c r="AF35" s="12">
        <f t="shared" si="10"/>
        <v>0</v>
      </c>
      <c r="AG35" s="12">
        <f t="shared" si="11"/>
        <v>0</v>
      </c>
      <c r="AH35" s="12">
        <f t="shared" si="12"/>
        <v>0</v>
      </c>
      <c r="AI35" s="10" t="s">
        <v>572</v>
      </c>
      <c r="AJ35" s="12">
        <f t="shared" si="13"/>
        <v>0</v>
      </c>
      <c r="AK35" s="12">
        <f t="shared" si="14"/>
        <v>0</v>
      </c>
      <c r="AL35" s="12" t="e">
        <f t="shared" si="15"/>
        <v>#REF!</v>
      </c>
      <c r="AN35" s="12">
        <v>21</v>
      </c>
      <c r="AO35" s="12" t="e">
        <f>H35*0</f>
        <v>#REF!</v>
      </c>
      <c r="AP35" s="12" t="e">
        <f>H35*(1-0)</f>
        <v>#REF!</v>
      </c>
      <c r="AQ35" s="49" t="s">
        <v>567</v>
      </c>
      <c r="AV35" s="12" t="e">
        <f t="shared" si="16"/>
        <v>#REF!</v>
      </c>
      <c r="AW35" s="12" t="e">
        <f t="shared" si="17"/>
        <v>#REF!</v>
      </c>
      <c r="AX35" s="12" t="e">
        <f t="shared" si="18"/>
        <v>#REF!</v>
      </c>
      <c r="AY35" s="49" t="s">
        <v>580</v>
      </c>
      <c r="AZ35" s="49" t="s">
        <v>581</v>
      </c>
      <c r="BA35" s="10" t="s">
        <v>576</v>
      </c>
      <c r="BC35" s="12" t="e">
        <f t="shared" si="19"/>
        <v>#REF!</v>
      </c>
      <c r="BD35" s="12" t="e">
        <f t="shared" si="20"/>
        <v>#REF!</v>
      </c>
      <c r="BE35" s="12">
        <v>0</v>
      </c>
      <c r="BF35" s="12" t="e">
        <f t="shared" si="21"/>
        <v>#REF!</v>
      </c>
      <c r="BH35" s="12" t="e">
        <f t="shared" si="22"/>
        <v>#REF!</v>
      </c>
      <c r="BI35" s="12" t="e">
        <f t="shared" si="23"/>
        <v>#REF!</v>
      </c>
      <c r="BJ35" s="12" t="e">
        <f t="shared" si="24"/>
        <v>#REF!</v>
      </c>
      <c r="BK35" s="12"/>
      <c r="BL35" s="12">
        <v>732</v>
      </c>
      <c r="BW35" s="12" t="str">
        <f t="shared" si="25"/>
        <v>21</v>
      </c>
      <c r="BX35" s="3" t="s">
        <v>70</v>
      </c>
    </row>
    <row r="36" spans="1:76">
      <c r="A36" s="1" t="s">
        <v>583</v>
      </c>
      <c r="B36" s="2" t="s">
        <v>572</v>
      </c>
      <c r="C36" s="2" t="s">
        <v>71</v>
      </c>
      <c r="D36" s="349" t="s">
        <v>72</v>
      </c>
      <c r="E36" s="342"/>
      <c r="F36" s="2" t="s">
        <v>58</v>
      </c>
      <c r="G36" s="12" t="e">
        <f>#REF!</f>
        <v>#REF!</v>
      </c>
      <c r="H36" s="12" t="e">
        <f>#REF!</f>
        <v>#REF!</v>
      </c>
      <c r="I36" s="49" t="s">
        <v>554</v>
      </c>
      <c r="J36" s="12" t="e">
        <f t="shared" si="0"/>
        <v>#REF!</v>
      </c>
      <c r="K36" s="12" t="e">
        <f t="shared" si="1"/>
        <v>#REF!</v>
      </c>
      <c r="L36" s="12" t="e">
        <f t="shared" si="2"/>
        <v>#REF!</v>
      </c>
      <c r="M36" s="12" t="e">
        <f t="shared" si="3"/>
        <v>#REF!</v>
      </c>
      <c r="N36" s="12">
        <v>3.8999999999999999E-4</v>
      </c>
      <c r="O36" s="12" t="e">
        <f t="shared" si="4"/>
        <v>#REF!</v>
      </c>
      <c r="P36" s="50" t="s">
        <v>577</v>
      </c>
      <c r="Z36" s="12">
        <f t="shared" si="5"/>
        <v>0</v>
      </c>
      <c r="AB36" s="12">
        <f t="shared" si="6"/>
        <v>0</v>
      </c>
      <c r="AC36" s="12">
        <f t="shared" si="7"/>
        <v>0</v>
      </c>
      <c r="AD36" s="12" t="e">
        <f t="shared" si="8"/>
        <v>#REF!</v>
      </c>
      <c r="AE36" s="12" t="e">
        <f t="shared" si="9"/>
        <v>#REF!</v>
      </c>
      <c r="AF36" s="12">
        <f t="shared" si="10"/>
        <v>0</v>
      </c>
      <c r="AG36" s="12">
        <f t="shared" si="11"/>
        <v>0</v>
      </c>
      <c r="AH36" s="12">
        <f t="shared" si="12"/>
        <v>0</v>
      </c>
      <c r="AI36" s="10" t="s">
        <v>572</v>
      </c>
      <c r="AJ36" s="12">
        <f t="shared" si="13"/>
        <v>0</v>
      </c>
      <c r="AK36" s="12">
        <f t="shared" si="14"/>
        <v>0</v>
      </c>
      <c r="AL36" s="12" t="e">
        <f t="shared" si="15"/>
        <v>#REF!</v>
      </c>
      <c r="AN36" s="12">
        <v>21</v>
      </c>
      <c r="AO36" s="12" t="e">
        <f>H36*0.615509036</f>
        <v>#REF!</v>
      </c>
      <c r="AP36" s="12" t="e">
        <f>H36*(1-0.615509036)</f>
        <v>#REF!</v>
      </c>
      <c r="AQ36" s="49" t="s">
        <v>567</v>
      </c>
      <c r="AV36" s="12" t="e">
        <f t="shared" si="16"/>
        <v>#REF!</v>
      </c>
      <c r="AW36" s="12" t="e">
        <f t="shared" si="17"/>
        <v>#REF!</v>
      </c>
      <c r="AX36" s="12" t="e">
        <f t="shared" si="18"/>
        <v>#REF!</v>
      </c>
      <c r="AY36" s="49" t="s">
        <v>580</v>
      </c>
      <c r="AZ36" s="49" t="s">
        <v>581</v>
      </c>
      <c r="BA36" s="10" t="s">
        <v>576</v>
      </c>
      <c r="BC36" s="12" t="e">
        <f t="shared" si="19"/>
        <v>#REF!</v>
      </c>
      <c r="BD36" s="12" t="e">
        <f t="shared" si="20"/>
        <v>#REF!</v>
      </c>
      <c r="BE36" s="12">
        <v>0</v>
      </c>
      <c r="BF36" s="12" t="e">
        <f t="shared" si="21"/>
        <v>#REF!</v>
      </c>
      <c r="BH36" s="12" t="e">
        <f t="shared" si="22"/>
        <v>#REF!</v>
      </c>
      <c r="BI36" s="12" t="e">
        <f t="shared" si="23"/>
        <v>#REF!</v>
      </c>
      <c r="BJ36" s="12" t="e">
        <f t="shared" si="24"/>
        <v>#REF!</v>
      </c>
      <c r="BK36" s="12"/>
      <c r="BL36" s="12">
        <v>732</v>
      </c>
      <c r="BW36" s="12" t="str">
        <f t="shared" si="25"/>
        <v>21</v>
      </c>
      <c r="BX36" s="3" t="s">
        <v>72</v>
      </c>
    </row>
    <row r="37" spans="1:76">
      <c r="A37" s="1" t="s">
        <v>584</v>
      </c>
      <c r="B37" s="2" t="s">
        <v>572</v>
      </c>
      <c r="C37" s="2" t="s">
        <v>73</v>
      </c>
      <c r="D37" s="349" t="s">
        <v>74</v>
      </c>
      <c r="E37" s="342"/>
      <c r="F37" s="2" t="s">
        <v>58</v>
      </c>
      <c r="G37" s="12" t="e">
        <f>#REF!</f>
        <v>#REF!</v>
      </c>
      <c r="H37" s="12" t="e">
        <f>#REF!</f>
        <v>#REF!</v>
      </c>
      <c r="I37" s="49" t="s">
        <v>554</v>
      </c>
      <c r="J37" s="12" t="e">
        <f t="shared" si="0"/>
        <v>#REF!</v>
      </c>
      <c r="K37" s="12" t="e">
        <f t="shared" si="1"/>
        <v>#REF!</v>
      </c>
      <c r="L37" s="12" t="e">
        <f t="shared" si="2"/>
        <v>#REF!</v>
      </c>
      <c r="M37" s="12" t="e">
        <f t="shared" si="3"/>
        <v>#REF!</v>
      </c>
      <c r="N37" s="12">
        <v>0.11700000000000001</v>
      </c>
      <c r="O37" s="12" t="e">
        <f t="shared" si="4"/>
        <v>#REF!</v>
      </c>
      <c r="P37" s="50" t="s">
        <v>577</v>
      </c>
      <c r="Z37" s="12">
        <f t="shared" si="5"/>
        <v>0</v>
      </c>
      <c r="AB37" s="12">
        <f t="shared" si="6"/>
        <v>0</v>
      </c>
      <c r="AC37" s="12">
        <f t="shared" si="7"/>
        <v>0</v>
      </c>
      <c r="AD37" s="12" t="e">
        <f t="shared" si="8"/>
        <v>#REF!</v>
      </c>
      <c r="AE37" s="12" t="e">
        <f t="shared" si="9"/>
        <v>#REF!</v>
      </c>
      <c r="AF37" s="12">
        <f t="shared" si="10"/>
        <v>0</v>
      </c>
      <c r="AG37" s="12">
        <f t="shared" si="11"/>
        <v>0</v>
      </c>
      <c r="AH37" s="12">
        <f t="shared" si="12"/>
        <v>0</v>
      </c>
      <c r="AI37" s="10" t="s">
        <v>572</v>
      </c>
      <c r="AJ37" s="12">
        <f t="shared" si="13"/>
        <v>0</v>
      </c>
      <c r="AK37" s="12">
        <f t="shared" si="14"/>
        <v>0</v>
      </c>
      <c r="AL37" s="12" t="e">
        <f t="shared" si="15"/>
        <v>#REF!</v>
      </c>
      <c r="AN37" s="12">
        <v>21</v>
      </c>
      <c r="AO37" s="12" t="e">
        <f>H37*0</f>
        <v>#REF!</v>
      </c>
      <c r="AP37" s="12" t="e">
        <f>H37*(1-0)</f>
        <v>#REF!</v>
      </c>
      <c r="AQ37" s="49" t="s">
        <v>567</v>
      </c>
      <c r="AV37" s="12" t="e">
        <f t="shared" si="16"/>
        <v>#REF!</v>
      </c>
      <c r="AW37" s="12" t="e">
        <f t="shared" si="17"/>
        <v>#REF!</v>
      </c>
      <c r="AX37" s="12" t="e">
        <f t="shared" si="18"/>
        <v>#REF!</v>
      </c>
      <c r="AY37" s="49" t="s">
        <v>580</v>
      </c>
      <c r="AZ37" s="49" t="s">
        <v>581</v>
      </c>
      <c r="BA37" s="10" t="s">
        <v>576</v>
      </c>
      <c r="BC37" s="12" t="e">
        <f t="shared" si="19"/>
        <v>#REF!</v>
      </c>
      <c r="BD37" s="12" t="e">
        <f t="shared" si="20"/>
        <v>#REF!</v>
      </c>
      <c r="BE37" s="12">
        <v>0</v>
      </c>
      <c r="BF37" s="12" t="e">
        <f t="shared" si="21"/>
        <v>#REF!</v>
      </c>
      <c r="BH37" s="12" t="e">
        <f t="shared" si="22"/>
        <v>#REF!</v>
      </c>
      <c r="BI37" s="12" t="e">
        <f t="shared" si="23"/>
        <v>#REF!</v>
      </c>
      <c r="BJ37" s="12" t="e">
        <f t="shared" si="24"/>
        <v>#REF!</v>
      </c>
      <c r="BK37" s="12"/>
      <c r="BL37" s="12">
        <v>732</v>
      </c>
      <c r="BW37" s="12" t="str">
        <f t="shared" si="25"/>
        <v>21</v>
      </c>
      <c r="BX37" s="3" t="s">
        <v>74</v>
      </c>
    </row>
    <row r="38" spans="1:76">
      <c r="A38" s="1" t="s">
        <v>585</v>
      </c>
      <c r="B38" s="2" t="s">
        <v>572</v>
      </c>
      <c r="C38" s="2" t="s">
        <v>75</v>
      </c>
      <c r="D38" s="349" t="s">
        <v>76</v>
      </c>
      <c r="E38" s="342"/>
      <c r="F38" s="2" t="s">
        <v>68</v>
      </c>
      <c r="G38" s="12" t="e">
        <f>#REF!</f>
        <v>#REF!</v>
      </c>
      <c r="H38" s="12" t="e">
        <f>#REF!</f>
        <v>#REF!</v>
      </c>
      <c r="I38" s="49" t="s">
        <v>554</v>
      </c>
      <c r="J38" s="12" t="e">
        <f t="shared" si="0"/>
        <v>#REF!</v>
      </c>
      <c r="K38" s="12" t="e">
        <f t="shared" si="1"/>
        <v>#REF!</v>
      </c>
      <c r="L38" s="12" t="e">
        <f t="shared" si="2"/>
        <v>#REF!</v>
      </c>
      <c r="M38" s="12" t="e">
        <f t="shared" si="3"/>
        <v>#REF!</v>
      </c>
      <c r="N38" s="12">
        <v>0</v>
      </c>
      <c r="O38" s="12" t="e">
        <f t="shared" si="4"/>
        <v>#REF!</v>
      </c>
      <c r="P38" s="50" t="s">
        <v>577</v>
      </c>
      <c r="Z38" s="12">
        <f t="shared" si="5"/>
        <v>0</v>
      </c>
      <c r="AB38" s="12">
        <f t="shared" si="6"/>
        <v>0</v>
      </c>
      <c r="AC38" s="12">
        <f t="shared" si="7"/>
        <v>0</v>
      </c>
      <c r="AD38" s="12" t="e">
        <f t="shared" si="8"/>
        <v>#REF!</v>
      </c>
      <c r="AE38" s="12" t="e">
        <f t="shared" si="9"/>
        <v>#REF!</v>
      </c>
      <c r="AF38" s="12">
        <f t="shared" si="10"/>
        <v>0</v>
      </c>
      <c r="AG38" s="12">
        <f t="shared" si="11"/>
        <v>0</v>
      </c>
      <c r="AH38" s="12">
        <f t="shared" si="12"/>
        <v>0</v>
      </c>
      <c r="AI38" s="10" t="s">
        <v>572</v>
      </c>
      <c r="AJ38" s="12">
        <f t="shared" si="13"/>
        <v>0</v>
      </c>
      <c r="AK38" s="12">
        <f t="shared" si="14"/>
        <v>0</v>
      </c>
      <c r="AL38" s="12" t="e">
        <f t="shared" si="15"/>
        <v>#REF!</v>
      </c>
      <c r="AN38" s="12">
        <v>21</v>
      </c>
      <c r="AO38" s="12" t="e">
        <f>H38*0</f>
        <v>#REF!</v>
      </c>
      <c r="AP38" s="12" t="e">
        <f>H38*(1-0)</f>
        <v>#REF!</v>
      </c>
      <c r="AQ38" s="49" t="s">
        <v>567</v>
      </c>
      <c r="AV38" s="12" t="e">
        <f t="shared" si="16"/>
        <v>#REF!</v>
      </c>
      <c r="AW38" s="12" t="e">
        <f t="shared" si="17"/>
        <v>#REF!</v>
      </c>
      <c r="AX38" s="12" t="e">
        <f t="shared" si="18"/>
        <v>#REF!</v>
      </c>
      <c r="AY38" s="49" t="s">
        <v>580</v>
      </c>
      <c r="AZ38" s="49" t="s">
        <v>581</v>
      </c>
      <c r="BA38" s="10" t="s">
        <v>576</v>
      </c>
      <c r="BC38" s="12" t="e">
        <f t="shared" si="19"/>
        <v>#REF!</v>
      </c>
      <c r="BD38" s="12" t="e">
        <f t="shared" si="20"/>
        <v>#REF!</v>
      </c>
      <c r="BE38" s="12">
        <v>0</v>
      </c>
      <c r="BF38" s="12" t="e">
        <f t="shared" si="21"/>
        <v>#REF!</v>
      </c>
      <c r="BH38" s="12" t="e">
        <f t="shared" si="22"/>
        <v>#REF!</v>
      </c>
      <c r="BI38" s="12" t="e">
        <f t="shared" si="23"/>
        <v>#REF!</v>
      </c>
      <c r="BJ38" s="12" t="e">
        <f t="shared" si="24"/>
        <v>#REF!</v>
      </c>
      <c r="BK38" s="12"/>
      <c r="BL38" s="12">
        <v>732</v>
      </c>
      <c r="BW38" s="12" t="str">
        <f t="shared" si="25"/>
        <v>21</v>
      </c>
      <c r="BX38" s="3" t="s">
        <v>76</v>
      </c>
    </row>
    <row r="39" spans="1:76">
      <c r="A39" s="1" t="s">
        <v>264</v>
      </c>
      <c r="B39" s="2" t="s">
        <v>572</v>
      </c>
      <c r="C39" s="2" t="s">
        <v>77</v>
      </c>
      <c r="D39" s="349" t="s">
        <v>78</v>
      </c>
      <c r="E39" s="342"/>
      <c r="F39" s="2" t="s">
        <v>68</v>
      </c>
      <c r="G39" s="12" t="e">
        <f>#REF!</f>
        <v>#REF!</v>
      </c>
      <c r="H39" s="12" t="e">
        <f>#REF!</f>
        <v>#REF!</v>
      </c>
      <c r="I39" s="49" t="s">
        <v>554</v>
      </c>
      <c r="J39" s="12" t="e">
        <f t="shared" si="0"/>
        <v>#REF!</v>
      </c>
      <c r="K39" s="12" t="e">
        <f t="shared" si="1"/>
        <v>#REF!</v>
      </c>
      <c r="L39" s="12" t="e">
        <f t="shared" si="2"/>
        <v>#REF!</v>
      </c>
      <c r="M39" s="12" t="e">
        <f t="shared" si="3"/>
        <v>#REF!</v>
      </c>
      <c r="N39" s="12">
        <v>0.51195999999999997</v>
      </c>
      <c r="O39" s="12" t="e">
        <f t="shared" si="4"/>
        <v>#REF!</v>
      </c>
      <c r="P39" s="50" t="s">
        <v>577</v>
      </c>
      <c r="Z39" s="12">
        <f t="shared" si="5"/>
        <v>0</v>
      </c>
      <c r="AB39" s="12">
        <f t="shared" si="6"/>
        <v>0</v>
      </c>
      <c r="AC39" s="12">
        <f t="shared" si="7"/>
        <v>0</v>
      </c>
      <c r="AD39" s="12" t="e">
        <f t="shared" si="8"/>
        <v>#REF!</v>
      </c>
      <c r="AE39" s="12" t="e">
        <f t="shared" si="9"/>
        <v>#REF!</v>
      </c>
      <c r="AF39" s="12">
        <f t="shared" si="10"/>
        <v>0</v>
      </c>
      <c r="AG39" s="12">
        <f t="shared" si="11"/>
        <v>0</v>
      </c>
      <c r="AH39" s="12">
        <f t="shared" si="12"/>
        <v>0</v>
      </c>
      <c r="AI39" s="10" t="s">
        <v>572</v>
      </c>
      <c r="AJ39" s="12">
        <f t="shared" si="13"/>
        <v>0</v>
      </c>
      <c r="AK39" s="12">
        <f t="shared" si="14"/>
        <v>0</v>
      </c>
      <c r="AL39" s="12" t="e">
        <f t="shared" si="15"/>
        <v>#REF!</v>
      </c>
      <c r="AN39" s="12">
        <v>21</v>
      </c>
      <c r="AO39" s="12" t="e">
        <f>H39*0</f>
        <v>#REF!</v>
      </c>
      <c r="AP39" s="12" t="e">
        <f>H39*(1-0)</f>
        <v>#REF!</v>
      </c>
      <c r="AQ39" s="49" t="s">
        <v>567</v>
      </c>
      <c r="AV39" s="12" t="e">
        <f t="shared" si="16"/>
        <v>#REF!</v>
      </c>
      <c r="AW39" s="12" t="e">
        <f t="shared" si="17"/>
        <v>#REF!</v>
      </c>
      <c r="AX39" s="12" t="e">
        <f t="shared" si="18"/>
        <v>#REF!</v>
      </c>
      <c r="AY39" s="49" t="s">
        <v>580</v>
      </c>
      <c r="AZ39" s="49" t="s">
        <v>581</v>
      </c>
      <c r="BA39" s="10" t="s">
        <v>576</v>
      </c>
      <c r="BC39" s="12" t="e">
        <f t="shared" si="19"/>
        <v>#REF!</v>
      </c>
      <c r="BD39" s="12" t="e">
        <f t="shared" si="20"/>
        <v>#REF!</v>
      </c>
      <c r="BE39" s="12">
        <v>0</v>
      </c>
      <c r="BF39" s="12" t="e">
        <f t="shared" si="21"/>
        <v>#REF!</v>
      </c>
      <c r="BH39" s="12" t="e">
        <f t="shared" si="22"/>
        <v>#REF!</v>
      </c>
      <c r="BI39" s="12" t="e">
        <f t="shared" si="23"/>
        <v>#REF!</v>
      </c>
      <c r="BJ39" s="12" t="e">
        <f t="shared" si="24"/>
        <v>#REF!</v>
      </c>
      <c r="BK39" s="12"/>
      <c r="BL39" s="12">
        <v>732</v>
      </c>
      <c r="BW39" s="12" t="str">
        <f t="shared" si="25"/>
        <v>21</v>
      </c>
      <c r="BX39" s="3" t="s">
        <v>78</v>
      </c>
    </row>
    <row r="40" spans="1:76">
      <c r="A40" s="1" t="s">
        <v>274</v>
      </c>
      <c r="B40" s="2" t="s">
        <v>572</v>
      </c>
      <c r="C40" s="2" t="s">
        <v>79</v>
      </c>
      <c r="D40" s="349" t="s">
        <v>80</v>
      </c>
      <c r="E40" s="342"/>
      <c r="F40" s="2" t="s">
        <v>58</v>
      </c>
      <c r="G40" s="12" t="e">
        <f>#REF!</f>
        <v>#REF!</v>
      </c>
      <c r="H40" s="12" t="e">
        <f>#REF!</f>
        <v>#REF!</v>
      </c>
      <c r="I40" s="49" t="s">
        <v>554</v>
      </c>
      <c r="J40" s="12" t="e">
        <f t="shared" si="0"/>
        <v>#REF!</v>
      </c>
      <c r="K40" s="12" t="e">
        <f t="shared" si="1"/>
        <v>#REF!</v>
      </c>
      <c r="L40" s="12" t="e">
        <f t="shared" si="2"/>
        <v>#REF!</v>
      </c>
      <c r="M40" s="12" t="e">
        <f t="shared" si="3"/>
        <v>#REF!</v>
      </c>
      <c r="N40" s="12">
        <v>2.7289999999999998E-2</v>
      </c>
      <c r="O40" s="12" t="e">
        <f t="shared" si="4"/>
        <v>#REF!</v>
      </c>
      <c r="P40" s="50" t="s">
        <v>577</v>
      </c>
      <c r="Z40" s="12">
        <f t="shared" si="5"/>
        <v>0</v>
      </c>
      <c r="AB40" s="12">
        <f t="shared" si="6"/>
        <v>0</v>
      </c>
      <c r="AC40" s="12">
        <f t="shared" si="7"/>
        <v>0</v>
      </c>
      <c r="AD40" s="12" t="e">
        <f t="shared" si="8"/>
        <v>#REF!</v>
      </c>
      <c r="AE40" s="12" t="e">
        <f t="shared" si="9"/>
        <v>#REF!</v>
      </c>
      <c r="AF40" s="12">
        <f t="shared" si="10"/>
        <v>0</v>
      </c>
      <c r="AG40" s="12">
        <f t="shared" si="11"/>
        <v>0</v>
      </c>
      <c r="AH40" s="12">
        <f t="shared" si="12"/>
        <v>0</v>
      </c>
      <c r="AI40" s="10" t="s">
        <v>572</v>
      </c>
      <c r="AJ40" s="12">
        <f t="shared" si="13"/>
        <v>0</v>
      </c>
      <c r="AK40" s="12">
        <f t="shared" si="14"/>
        <v>0</v>
      </c>
      <c r="AL40" s="12" t="e">
        <f t="shared" si="15"/>
        <v>#REF!</v>
      </c>
      <c r="AN40" s="12">
        <v>21</v>
      </c>
      <c r="AO40" s="12" t="e">
        <f>H40*0.135168539</f>
        <v>#REF!</v>
      </c>
      <c r="AP40" s="12" t="e">
        <f>H40*(1-0.135168539)</f>
        <v>#REF!</v>
      </c>
      <c r="AQ40" s="49" t="s">
        <v>567</v>
      </c>
      <c r="AV40" s="12" t="e">
        <f t="shared" si="16"/>
        <v>#REF!</v>
      </c>
      <c r="AW40" s="12" t="e">
        <f t="shared" si="17"/>
        <v>#REF!</v>
      </c>
      <c r="AX40" s="12" t="e">
        <f t="shared" si="18"/>
        <v>#REF!</v>
      </c>
      <c r="AY40" s="49" t="s">
        <v>580</v>
      </c>
      <c r="AZ40" s="49" t="s">
        <v>581</v>
      </c>
      <c r="BA40" s="10" t="s">
        <v>576</v>
      </c>
      <c r="BC40" s="12" t="e">
        <f t="shared" si="19"/>
        <v>#REF!</v>
      </c>
      <c r="BD40" s="12" t="e">
        <f t="shared" si="20"/>
        <v>#REF!</v>
      </c>
      <c r="BE40" s="12">
        <v>0</v>
      </c>
      <c r="BF40" s="12" t="e">
        <f t="shared" si="21"/>
        <v>#REF!</v>
      </c>
      <c r="BH40" s="12" t="e">
        <f t="shared" si="22"/>
        <v>#REF!</v>
      </c>
      <c r="BI40" s="12" t="e">
        <f t="shared" si="23"/>
        <v>#REF!</v>
      </c>
      <c r="BJ40" s="12" t="e">
        <f t="shared" si="24"/>
        <v>#REF!</v>
      </c>
      <c r="BK40" s="12"/>
      <c r="BL40" s="12">
        <v>732</v>
      </c>
      <c r="BW40" s="12" t="str">
        <f t="shared" si="25"/>
        <v>21</v>
      </c>
      <c r="BX40" s="3" t="s">
        <v>80</v>
      </c>
    </row>
    <row r="41" spans="1:76">
      <c r="A41" s="1" t="s">
        <v>586</v>
      </c>
      <c r="B41" s="2" t="s">
        <v>572</v>
      </c>
      <c r="C41" s="2" t="s">
        <v>81</v>
      </c>
      <c r="D41" s="349" t="s">
        <v>82</v>
      </c>
      <c r="E41" s="342"/>
      <c r="F41" s="2" t="s">
        <v>68</v>
      </c>
      <c r="G41" s="12" t="e">
        <f>#REF!</f>
        <v>#REF!</v>
      </c>
      <c r="H41" s="12" t="e">
        <f>#REF!</f>
        <v>#REF!</v>
      </c>
      <c r="I41" s="49" t="s">
        <v>554</v>
      </c>
      <c r="J41" s="12" t="e">
        <f t="shared" si="0"/>
        <v>#REF!</v>
      </c>
      <c r="K41" s="12" t="e">
        <f t="shared" si="1"/>
        <v>#REF!</v>
      </c>
      <c r="L41" s="12" t="e">
        <f t="shared" si="2"/>
        <v>#REF!</v>
      </c>
      <c r="M41" s="12" t="e">
        <f t="shared" si="3"/>
        <v>#REF!</v>
      </c>
      <c r="N41" s="12">
        <v>6.1399999999999996E-3</v>
      </c>
      <c r="O41" s="12" t="e">
        <f t="shared" si="4"/>
        <v>#REF!</v>
      </c>
      <c r="P41" s="50" t="s">
        <v>577</v>
      </c>
      <c r="Z41" s="12">
        <f t="shared" si="5"/>
        <v>0</v>
      </c>
      <c r="AB41" s="12">
        <f t="shared" si="6"/>
        <v>0</v>
      </c>
      <c r="AC41" s="12">
        <f t="shared" si="7"/>
        <v>0</v>
      </c>
      <c r="AD41" s="12" t="e">
        <f t="shared" si="8"/>
        <v>#REF!</v>
      </c>
      <c r="AE41" s="12" t="e">
        <f t="shared" si="9"/>
        <v>#REF!</v>
      </c>
      <c r="AF41" s="12">
        <f t="shared" si="10"/>
        <v>0</v>
      </c>
      <c r="AG41" s="12">
        <f t="shared" si="11"/>
        <v>0</v>
      </c>
      <c r="AH41" s="12">
        <f t="shared" si="12"/>
        <v>0</v>
      </c>
      <c r="AI41" s="10" t="s">
        <v>572</v>
      </c>
      <c r="AJ41" s="12">
        <f t="shared" si="13"/>
        <v>0</v>
      </c>
      <c r="AK41" s="12">
        <f t="shared" si="14"/>
        <v>0</v>
      </c>
      <c r="AL41" s="12" t="e">
        <f t="shared" si="15"/>
        <v>#REF!</v>
      </c>
      <c r="AN41" s="12">
        <v>21</v>
      </c>
      <c r="AO41" s="12" t="e">
        <f>H41*0.528509088</f>
        <v>#REF!</v>
      </c>
      <c r="AP41" s="12" t="e">
        <f>H41*(1-0.528509088)</f>
        <v>#REF!</v>
      </c>
      <c r="AQ41" s="49" t="s">
        <v>567</v>
      </c>
      <c r="AV41" s="12" t="e">
        <f t="shared" si="16"/>
        <v>#REF!</v>
      </c>
      <c r="AW41" s="12" t="e">
        <f t="shared" si="17"/>
        <v>#REF!</v>
      </c>
      <c r="AX41" s="12" t="e">
        <f t="shared" si="18"/>
        <v>#REF!</v>
      </c>
      <c r="AY41" s="49" t="s">
        <v>580</v>
      </c>
      <c r="AZ41" s="49" t="s">
        <v>581</v>
      </c>
      <c r="BA41" s="10" t="s">
        <v>576</v>
      </c>
      <c r="BC41" s="12" t="e">
        <f t="shared" si="19"/>
        <v>#REF!</v>
      </c>
      <c r="BD41" s="12" t="e">
        <f t="shared" si="20"/>
        <v>#REF!</v>
      </c>
      <c r="BE41" s="12">
        <v>0</v>
      </c>
      <c r="BF41" s="12" t="e">
        <f t="shared" si="21"/>
        <v>#REF!</v>
      </c>
      <c r="BH41" s="12" t="e">
        <f t="shared" si="22"/>
        <v>#REF!</v>
      </c>
      <c r="BI41" s="12" t="e">
        <f t="shared" si="23"/>
        <v>#REF!</v>
      </c>
      <c r="BJ41" s="12" t="e">
        <f t="shared" si="24"/>
        <v>#REF!</v>
      </c>
      <c r="BK41" s="12"/>
      <c r="BL41" s="12">
        <v>732</v>
      </c>
      <c r="BW41" s="12" t="str">
        <f t="shared" si="25"/>
        <v>21</v>
      </c>
      <c r="BX41" s="3" t="s">
        <v>82</v>
      </c>
    </row>
    <row r="42" spans="1:76">
      <c r="A42" s="1" t="s">
        <v>587</v>
      </c>
      <c r="B42" s="2" t="s">
        <v>572</v>
      </c>
      <c r="C42" s="2" t="s">
        <v>83</v>
      </c>
      <c r="D42" s="349" t="s">
        <v>84</v>
      </c>
      <c r="E42" s="342"/>
      <c r="F42" s="2" t="s">
        <v>58</v>
      </c>
      <c r="G42" s="12" t="e">
        <f>#REF!</f>
        <v>#REF!</v>
      </c>
      <c r="H42" s="12" t="e">
        <f>#REF!</f>
        <v>#REF!</v>
      </c>
      <c r="I42" s="49" t="s">
        <v>554</v>
      </c>
      <c r="J42" s="12" t="e">
        <f t="shared" si="0"/>
        <v>#REF!</v>
      </c>
      <c r="K42" s="12" t="e">
        <f t="shared" si="1"/>
        <v>#REF!</v>
      </c>
      <c r="L42" s="12" t="e">
        <f t="shared" si="2"/>
        <v>#REF!</v>
      </c>
      <c r="M42" s="12" t="e">
        <f t="shared" si="3"/>
        <v>#REF!</v>
      </c>
      <c r="N42" s="12">
        <v>0</v>
      </c>
      <c r="O42" s="12" t="e">
        <f t="shared" si="4"/>
        <v>#REF!</v>
      </c>
      <c r="P42" s="50" t="s">
        <v>21</v>
      </c>
      <c r="Z42" s="12">
        <f t="shared" si="5"/>
        <v>0</v>
      </c>
      <c r="AB42" s="12">
        <f t="shared" si="6"/>
        <v>0</v>
      </c>
      <c r="AC42" s="12">
        <f t="shared" si="7"/>
        <v>0</v>
      </c>
      <c r="AD42" s="12" t="e">
        <f t="shared" si="8"/>
        <v>#REF!</v>
      </c>
      <c r="AE42" s="12" t="e">
        <f t="shared" si="9"/>
        <v>#REF!</v>
      </c>
      <c r="AF42" s="12">
        <f t="shared" si="10"/>
        <v>0</v>
      </c>
      <c r="AG42" s="12">
        <f t="shared" si="11"/>
        <v>0</v>
      </c>
      <c r="AH42" s="12">
        <f t="shared" si="12"/>
        <v>0</v>
      </c>
      <c r="AI42" s="10" t="s">
        <v>572</v>
      </c>
      <c r="AJ42" s="12">
        <f t="shared" si="13"/>
        <v>0</v>
      </c>
      <c r="AK42" s="12">
        <f t="shared" si="14"/>
        <v>0</v>
      </c>
      <c r="AL42" s="12" t="e">
        <f t="shared" si="15"/>
        <v>#REF!</v>
      </c>
      <c r="AN42" s="12">
        <v>21</v>
      </c>
      <c r="AO42" s="12" t="e">
        <f>H42*0.455580866</f>
        <v>#REF!</v>
      </c>
      <c r="AP42" s="12" t="e">
        <f>H42*(1-0.455580866)</f>
        <v>#REF!</v>
      </c>
      <c r="AQ42" s="49" t="s">
        <v>567</v>
      </c>
      <c r="AV42" s="12" t="e">
        <f t="shared" si="16"/>
        <v>#REF!</v>
      </c>
      <c r="AW42" s="12" t="e">
        <f t="shared" si="17"/>
        <v>#REF!</v>
      </c>
      <c r="AX42" s="12" t="e">
        <f t="shared" si="18"/>
        <v>#REF!</v>
      </c>
      <c r="AY42" s="49" t="s">
        <v>580</v>
      </c>
      <c r="AZ42" s="49" t="s">
        <v>581</v>
      </c>
      <c r="BA42" s="10" t="s">
        <v>576</v>
      </c>
      <c r="BC42" s="12" t="e">
        <f t="shared" si="19"/>
        <v>#REF!</v>
      </c>
      <c r="BD42" s="12" t="e">
        <f t="shared" si="20"/>
        <v>#REF!</v>
      </c>
      <c r="BE42" s="12">
        <v>0</v>
      </c>
      <c r="BF42" s="12" t="e">
        <f t="shared" si="21"/>
        <v>#REF!</v>
      </c>
      <c r="BH42" s="12" t="e">
        <f t="shared" si="22"/>
        <v>#REF!</v>
      </c>
      <c r="BI42" s="12" t="e">
        <f t="shared" si="23"/>
        <v>#REF!</v>
      </c>
      <c r="BJ42" s="12" t="e">
        <f t="shared" si="24"/>
        <v>#REF!</v>
      </c>
      <c r="BK42" s="12"/>
      <c r="BL42" s="12">
        <v>732</v>
      </c>
      <c r="BW42" s="12" t="str">
        <f t="shared" si="25"/>
        <v>21</v>
      </c>
      <c r="BX42" s="3" t="s">
        <v>84</v>
      </c>
    </row>
    <row r="43" spans="1:76">
      <c r="A43" s="46" t="s">
        <v>21</v>
      </c>
      <c r="B43" s="9" t="s">
        <v>572</v>
      </c>
      <c r="C43" s="9" t="s">
        <v>85</v>
      </c>
      <c r="D43" s="359" t="s">
        <v>86</v>
      </c>
      <c r="E43" s="360"/>
      <c r="F43" s="47" t="s">
        <v>20</v>
      </c>
      <c r="G43" s="47" t="s">
        <v>20</v>
      </c>
      <c r="H43" s="47" t="s">
        <v>20</v>
      </c>
      <c r="I43" s="47" t="s">
        <v>20</v>
      </c>
      <c r="J43" s="11" t="e">
        <f>SUM(J44:J47)</f>
        <v>#REF!</v>
      </c>
      <c r="K43" s="11" t="e">
        <f>SUM(K44:K47)</f>
        <v>#REF!</v>
      </c>
      <c r="L43" s="11" t="e">
        <f>SUM(L44:L47)</f>
        <v>#REF!</v>
      </c>
      <c r="M43" s="11" t="e">
        <f>SUM(M44:M47)</f>
        <v>#REF!</v>
      </c>
      <c r="N43" s="10" t="s">
        <v>21</v>
      </c>
      <c r="O43" s="11" t="e">
        <f>SUM(O44:O47)</f>
        <v>#REF!</v>
      </c>
      <c r="P43" s="48" t="s">
        <v>21</v>
      </c>
      <c r="AI43" s="10" t="s">
        <v>572</v>
      </c>
      <c r="AS43" s="11">
        <f>SUM(AJ44:AJ47)</f>
        <v>0</v>
      </c>
      <c r="AT43" s="11">
        <f>SUM(AK44:AK47)</f>
        <v>0</v>
      </c>
      <c r="AU43" s="11" t="e">
        <f>SUM(AL44:AL47)</f>
        <v>#REF!</v>
      </c>
    </row>
    <row r="44" spans="1:76">
      <c r="A44" s="1" t="s">
        <v>554</v>
      </c>
      <c r="B44" s="2" t="s">
        <v>572</v>
      </c>
      <c r="C44" s="2" t="s">
        <v>87</v>
      </c>
      <c r="D44" s="349" t="s">
        <v>88</v>
      </c>
      <c r="E44" s="342"/>
      <c r="F44" s="2" t="s">
        <v>68</v>
      </c>
      <c r="G44" s="12" t="e">
        <f>#REF!</f>
        <v>#REF!</v>
      </c>
      <c r="H44" s="12" t="e">
        <f>#REF!</f>
        <v>#REF!</v>
      </c>
      <c r="I44" s="49" t="s">
        <v>554</v>
      </c>
      <c r="J44" s="12" t="e">
        <f>G44*AO44</f>
        <v>#REF!</v>
      </c>
      <c r="K44" s="12" t="e">
        <f>G44*AP44</f>
        <v>#REF!</v>
      </c>
      <c r="L44" s="12" t="e">
        <f>G44*H44</f>
        <v>#REF!</v>
      </c>
      <c r="M44" s="12" t="e">
        <f>L44*(1+BW44/100)</f>
        <v>#REF!</v>
      </c>
      <c r="N44" s="12">
        <v>7.9000000000000001E-4</v>
      </c>
      <c r="O44" s="12" t="e">
        <f>G44*N44</f>
        <v>#REF!</v>
      </c>
      <c r="P44" s="50" t="s">
        <v>577</v>
      </c>
      <c r="Z44" s="12">
        <f>IF(AQ44="5",BJ44,0)</f>
        <v>0</v>
      </c>
      <c r="AB44" s="12">
        <f>IF(AQ44="1",BH44,0)</f>
        <v>0</v>
      </c>
      <c r="AC44" s="12">
        <f>IF(AQ44="1",BI44,0)</f>
        <v>0</v>
      </c>
      <c r="AD44" s="12" t="e">
        <f>IF(AQ44="7",BH44,0)</f>
        <v>#REF!</v>
      </c>
      <c r="AE44" s="12" t="e">
        <f>IF(AQ44="7",BI44,0)</f>
        <v>#REF!</v>
      </c>
      <c r="AF44" s="12">
        <f>IF(AQ44="2",BH44,0)</f>
        <v>0</v>
      </c>
      <c r="AG44" s="12">
        <f>IF(AQ44="2",BI44,0)</f>
        <v>0</v>
      </c>
      <c r="AH44" s="12">
        <f>IF(AQ44="0",BJ44,0)</f>
        <v>0</v>
      </c>
      <c r="AI44" s="10" t="s">
        <v>572</v>
      </c>
      <c r="AJ44" s="12">
        <f>IF(AN44=0,L44,0)</f>
        <v>0</v>
      </c>
      <c r="AK44" s="12">
        <f>IF(AN44=12,L44,0)</f>
        <v>0</v>
      </c>
      <c r="AL44" s="12" t="e">
        <f>IF(AN44=21,L44,0)</f>
        <v>#REF!</v>
      </c>
      <c r="AN44" s="12">
        <v>21</v>
      </c>
      <c r="AO44" s="12" t="e">
        <f>H44*0.254457323</f>
        <v>#REF!</v>
      </c>
      <c r="AP44" s="12" t="e">
        <f>H44*(1-0.254457323)</f>
        <v>#REF!</v>
      </c>
      <c r="AQ44" s="49" t="s">
        <v>567</v>
      </c>
      <c r="AV44" s="12" t="e">
        <f>AW44+AX44</f>
        <v>#REF!</v>
      </c>
      <c r="AW44" s="12" t="e">
        <f>G44*AO44</f>
        <v>#REF!</v>
      </c>
      <c r="AX44" s="12" t="e">
        <f>G44*AP44</f>
        <v>#REF!</v>
      </c>
      <c r="AY44" s="49" t="s">
        <v>588</v>
      </c>
      <c r="AZ44" s="49" t="s">
        <v>581</v>
      </c>
      <c r="BA44" s="10" t="s">
        <v>576</v>
      </c>
      <c r="BC44" s="12" t="e">
        <f>AW44+AX44</f>
        <v>#REF!</v>
      </c>
      <c r="BD44" s="12" t="e">
        <f>H44/(100-BE44)*100</f>
        <v>#REF!</v>
      </c>
      <c r="BE44" s="12">
        <v>0</v>
      </c>
      <c r="BF44" s="12" t="e">
        <f>O44</f>
        <v>#REF!</v>
      </c>
      <c r="BH44" s="12" t="e">
        <f>G44*AO44</f>
        <v>#REF!</v>
      </c>
      <c r="BI44" s="12" t="e">
        <f>G44*AP44</f>
        <v>#REF!</v>
      </c>
      <c r="BJ44" s="12" t="e">
        <f>G44*H44</f>
        <v>#REF!</v>
      </c>
      <c r="BK44" s="12"/>
      <c r="BL44" s="12">
        <v>733</v>
      </c>
      <c r="BW44" s="12" t="str">
        <f>I44</f>
        <v>21</v>
      </c>
      <c r="BX44" s="3" t="s">
        <v>88</v>
      </c>
    </row>
    <row r="45" spans="1:76">
      <c r="A45" s="1" t="s">
        <v>589</v>
      </c>
      <c r="B45" s="2" t="s">
        <v>572</v>
      </c>
      <c r="C45" s="2" t="s">
        <v>89</v>
      </c>
      <c r="D45" s="349" t="s">
        <v>90</v>
      </c>
      <c r="E45" s="342"/>
      <c r="F45" s="2" t="s">
        <v>68</v>
      </c>
      <c r="G45" s="12" t="e">
        <f>#REF!</f>
        <v>#REF!</v>
      </c>
      <c r="H45" s="12" t="e">
        <f>#REF!</f>
        <v>#REF!</v>
      </c>
      <c r="I45" s="49" t="s">
        <v>554</v>
      </c>
      <c r="J45" s="12" t="e">
        <f>G45*AO45</f>
        <v>#REF!</v>
      </c>
      <c r="K45" s="12" t="e">
        <f>G45*AP45</f>
        <v>#REF!</v>
      </c>
      <c r="L45" s="12" t="e">
        <f>G45*H45</f>
        <v>#REF!</v>
      </c>
      <c r="M45" s="12" t="e">
        <f>L45*(1+BW45/100)</f>
        <v>#REF!</v>
      </c>
      <c r="N45" s="12">
        <v>0</v>
      </c>
      <c r="O45" s="12" t="e">
        <f>G45*N45</f>
        <v>#REF!</v>
      </c>
      <c r="P45" s="50" t="s">
        <v>577</v>
      </c>
      <c r="Z45" s="12">
        <f>IF(AQ45="5",BJ45,0)</f>
        <v>0</v>
      </c>
      <c r="AB45" s="12">
        <f>IF(AQ45="1",BH45,0)</f>
        <v>0</v>
      </c>
      <c r="AC45" s="12">
        <f>IF(AQ45="1",BI45,0)</f>
        <v>0</v>
      </c>
      <c r="AD45" s="12" t="e">
        <f>IF(AQ45="7",BH45,0)</f>
        <v>#REF!</v>
      </c>
      <c r="AE45" s="12" t="e">
        <f>IF(AQ45="7",BI45,0)</f>
        <v>#REF!</v>
      </c>
      <c r="AF45" s="12">
        <f>IF(AQ45="2",BH45,0)</f>
        <v>0</v>
      </c>
      <c r="AG45" s="12">
        <f>IF(AQ45="2",BI45,0)</f>
        <v>0</v>
      </c>
      <c r="AH45" s="12">
        <f>IF(AQ45="0",BJ45,0)</f>
        <v>0</v>
      </c>
      <c r="AI45" s="10" t="s">
        <v>572</v>
      </c>
      <c r="AJ45" s="12">
        <f>IF(AN45=0,L45,0)</f>
        <v>0</v>
      </c>
      <c r="AK45" s="12">
        <f>IF(AN45=12,L45,0)</f>
        <v>0</v>
      </c>
      <c r="AL45" s="12" t="e">
        <f>IF(AN45=21,L45,0)</f>
        <v>#REF!</v>
      </c>
      <c r="AN45" s="12">
        <v>21</v>
      </c>
      <c r="AO45" s="12" t="e">
        <f>H45*0</f>
        <v>#REF!</v>
      </c>
      <c r="AP45" s="12" t="e">
        <f>H45*(1-0)</f>
        <v>#REF!</v>
      </c>
      <c r="AQ45" s="49" t="s">
        <v>567</v>
      </c>
      <c r="AV45" s="12" t="e">
        <f>AW45+AX45</f>
        <v>#REF!</v>
      </c>
      <c r="AW45" s="12" t="e">
        <f>G45*AO45</f>
        <v>#REF!</v>
      </c>
      <c r="AX45" s="12" t="e">
        <f>G45*AP45</f>
        <v>#REF!</v>
      </c>
      <c r="AY45" s="49" t="s">
        <v>588</v>
      </c>
      <c r="AZ45" s="49" t="s">
        <v>581</v>
      </c>
      <c r="BA45" s="10" t="s">
        <v>576</v>
      </c>
      <c r="BC45" s="12" t="e">
        <f>AW45+AX45</f>
        <v>#REF!</v>
      </c>
      <c r="BD45" s="12" t="e">
        <f>H45/(100-BE45)*100</f>
        <v>#REF!</v>
      </c>
      <c r="BE45" s="12">
        <v>0</v>
      </c>
      <c r="BF45" s="12" t="e">
        <f>O45</f>
        <v>#REF!</v>
      </c>
      <c r="BH45" s="12" t="e">
        <f>G45*AO45</f>
        <v>#REF!</v>
      </c>
      <c r="BI45" s="12" t="e">
        <f>G45*AP45</f>
        <v>#REF!</v>
      </c>
      <c r="BJ45" s="12" t="e">
        <f>G45*H45</f>
        <v>#REF!</v>
      </c>
      <c r="BK45" s="12"/>
      <c r="BL45" s="12">
        <v>733</v>
      </c>
      <c r="BW45" s="12" t="str">
        <f>I45</f>
        <v>21</v>
      </c>
      <c r="BX45" s="3" t="s">
        <v>90</v>
      </c>
    </row>
    <row r="46" spans="1:76">
      <c r="A46" s="1" t="s">
        <v>590</v>
      </c>
      <c r="B46" s="2" t="s">
        <v>572</v>
      </c>
      <c r="C46" s="2" t="s">
        <v>91</v>
      </c>
      <c r="D46" s="349" t="s">
        <v>92</v>
      </c>
      <c r="E46" s="342"/>
      <c r="F46" s="2" t="s">
        <v>63</v>
      </c>
      <c r="G46" s="12" t="e">
        <f>#REF!</f>
        <v>#REF!</v>
      </c>
      <c r="H46" s="12" t="e">
        <f>#REF!</f>
        <v>#REF!</v>
      </c>
      <c r="I46" s="49" t="s">
        <v>554</v>
      </c>
      <c r="J46" s="12" t="e">
        <f>G46*AO46</f>
        <v>#REF!</v>
      </c>
      <c r="K46" s="12" t="e">
        <f>G46*AP46</f>
        <v>#REF!</v>
      </c>
      <c r="L46" s="12" t="e">
        <f>G46*H46</f>
        <v>#REF!</v>
      </c>
      <c r="M46" s="12" t="e">
        <f>L46*(1+BW46/100)</f>
        <v>#REF!</v>
      </c>
      <c r="N46" s="12">
        <v>1.3939999999999999E-2</v>
      </c>
      <c r="O46" s="12" t="e">
        <f>G46*N46</f>
        <v>#REF!</v>
      </c>
      <c r="P46" s="50" t="s">
        <v>577</v>
      </c>
      <c r="Z46" s="12">
        <f>IF(AQ46="5",BJ46,0)</f>
        <v>0</v>
      </c>
      <c r="AB46" s="12">
        <f>IF(AQ46="1",BH46,0)</f>
        <v>0</v>
      </c>
      <c r="AC46" s="12">
        <f>IF(AQ46="1",BI46,0)</f>
        <v>0</v>
      </c>
      <c r="AD46" s="12" t="e">
        <f>IF(AQ46="7",BH46,0)</f>
        <v>#REF!</v>
      </c>
      <c r="AE46" s="12" t="e">
        <f>IF(AQ46="7",BI46,0)</f>
        <v>#REF!</v>
      </c>
      <c r="AF46" s="12">
        <f>IF(AQ46="2",BH46,0)</f>
        <v>0</v>
      </c>
      <c r="AG46" s="12">
        <f>IF(AQ46="2",BI46,0)</f>
        <v>0</v>
      </c>
      <c r="AH46" s="12">
        <f>IF(AQ46="0",BJ46,0)</f>
        <v>0</v>
      </c>
      <c r="AI46" s="10" t="s">
        <v>572</v>
      </c>
      <c r="AJ46" s="12">
        <f>IF(AN46=0,L46,0)</f>
        <v>0</v>
      </c>
      <c r="AK46" s="12">
        <f>IF(AN46=12,L46,0)</f>
        <v>0</v>
      </c>
      <c r="AL46" s="12" t="e">
        <f>IF(AN46=21,L46,0)</f>
        <v>#REF!</v>
      </c>
      <c r="AN46" s="12">
        <v>21</v>
      </c>
      <c r="AO46" s="12" t="e">
        <f>H46*0.26017563</f>
        <v>#REF!</v>
      </c>
      <c r="AP46" s="12" t="e">
        <f>H46*(1-0.26017563)</f>
        <v>#REF!</v>
      </c>
      <c r="AQ46" s="49" t="s">
        <v>567</v>
      </c>
      <c r="AV46" s="12" t="e">
        <f>AW46+AX46</f>
        <v>#REF!</v>
      </c>
      <c r="AW46" s="12" t="e">
        <f>G46*AO46</f>
        <v>#REF!</v>
      </c>
      <c r="AX46" s="12" t="e">
        <f>G46*AP46</f>
        <v>#REF!</v>
      </c>
      <c r="AY46" s="49" t="s">
        <v>588</v>
      </c>
      <c r="AZ46" s="49" t="s">
        <v>581</v>
      </c>
      <c r="BA46" s="10" t="s">
        <v>576</v>
      </c>
      <c r="BC46" s="12" t="e">
        <f>AW46+AX46</f>
        <v>#REF!</v>
      </c>
      <c r="BD46" s="12" t="e">
        <f>H46/(100-BE46)*100</f>
        <v>#REF!</v>
      </c>
      <c r="BE46" s="12">
        <v>0</v>
      </c>
      <c r="BF46" s="12" t="e">
        <f>O46</f>
        <v>#REF!</v>
      </c>
      <c r="BH46" s="12" t="e">
        <f>G46*AO46</f>
        <v>#REF!</v>
      </c>
      <c r="BI46" s="12" t="e">
        <f>G46*AP46</f>
        <v>#REF!</v>
      </c>
      <c r="BJ46" s="12" t="e">
        <f>G46*H46</f>
        <v>#REF!</v>
      </c>
      <c r="BK46" s="12"/>
      <c r="BL46" s="12">
        <v>733</v>
      </c>
      <c r="BW46" s="12" t="str">
        <f>I46</f>
        <v>21</v>
      </c>
      <c r="BX46" s="3" t="s">
        <v>92</v>
      </c>
    </row>
    <row r="47" spans="1:76">
      <c r="A47" s="1" t="s">
        <v>591</v>
      </c>
      <c r="B47" s="2" t="s">
        <v>572</v>
      </c>
      <c r="C47" s="2" t="s">
        <v>93</v>
      </c>
      <c r="D47" s="349" t="s">
        <v>94</v>
      </c>
      <c r="E47" s="342"/>
      <c r="F47" s="2" t="s">
        <v>63</v>
      </c>
      <c r="G47" s="12" t="e">
        <f>#REF!</f>
        <v>#REF!</v>
      </c>
      <c r="H47" s="12" t="e">
        <f>#REF!</f>
        <v>#REF!</v>
      </c>
      <c r="I47" s="49" t="s">
        <v>554</v>
      </c>
      <c r="J47" s="12" t="e">
        <f>G47*AO47</f>
        <v>#REF!</v>
      </c>
      <c r="K47" s="12" t="e">
        <f>G47*AP47</f>
        <v>#REF!</v>
      </c>
      <c r="L47" s="12" t="e">
        <f>G47*H47</f>
        <v>#REF!</v>
      </c>
      <c r="M47" s="12" t="e">
        <f>L47*(1+BW47/100)</f>
        <v>#REF!</v>
      </c>
      <c r="N47" s="12">
        <v>1.5E-3</v>
      </c>
      <c r="O47" s="12" t="e">
        <f>G47*N47</f>
        <v>#REF!</v>
      </c>
      <c r="P47" s="50" t="s">
        <v>577</v>
      </c>
      <c r="Z47" s="12">
        <f>IF(AQ47="5",BJ47,0)</f>
        <v>0</v>
      </c>
      <c r="AB47" s="12">
        <f>IF(AQ47="1",BH47,0)</f>
        <v>0</v>
      </c>
      <c r="AC47" s="12">
        <f>IF(AQ47="1",BI47,0)</f>
        <v>0</v>
      </c>
      <c r="AD47" s="12" t="e">
        <f>IF(AQ47="7",BH47,0)</f>
        <v>#REF!</v>
      </c>
      <c r="AE47" s="12" t="e">
        <f>IF(AQ47="7",BI47,0)</f>
        <v>#REF!</v>
      </c>
      <c r="AF47" s="12">
        <f>IF(AQ47="2",BH47,0)</f>
        <v>0</v>
      </c>
      <c r="AG47" s="12">
        <f>IF(AQ47="2",BI47,0)</f>
        <v>0</v>
      </c>
      <c r="AH47" s="12">
        <f>IF(AQ47="0",BJ47,0)</f>
        <v>0</v>
      </c>
      <c r="AI47" s="10" t="s">
        <v>572</v>
      </c>
      <c r="AJ47" s="12">
        <f>IF(AN47=0,L47,0)</f>
        <v>0</v>
      </c>
      <c r="AK47" s="12">
        <f>IF(AN47=12,L47,0)</f>
        <v>0</v>
      </c>
      <c r="AL47" s="12" t="e">
        <f>IF(AN47=21,L47,0)</f>
        <v>#REF!</v>
      </c>
      <c r="AN47" s="12">
        <v>21</v>
      </c>
      <c r="AO47" s="12" t="e">
        <f>H47*0</f>
        <v>#REF!</v>
      </c>
      <c r="AP47" s="12" t="e">
        <f>H47*(1-0)</f>
        <v>#REF!</v>
      </c>
      <c r="AQ47" s="49" t="s">
        <v>567</v>
      </c>
      <c r="AV47" s="12" t="e">
        <f>AW47+AX47</f>
        <v>#REF!</v>
      </c>
      <c r="AW47" s="12" t="e">
        <f>G47*AO47</f>
        <v>#REF!</v>
      </c>
      <c r="AX47" s="12" t="e">
        <f>G47*AP47</f>
        <v>#REF!</v>
      </c>
      <c r="AY47" s="49" t="s">
        <v>588</v>
      </c>
      <c r="AZ47" s="49" t="s">
        <v>581</v>
      </c>
      <c r="BA47" s="10" t="s">
        <v>576</v>
      </c>
      <c r="BC47" s="12" t="e">
        <f>AW47+AX47</f>
        <v>#REF!</v>
      </c>
      <c r="BD47" s="12" t="e">
        <f>H47/(100-BE47)*100</f>
        <v>#REF!</v>
      </c>
      <c r="BE47" s="12">
        <v>0</v>
      </c>
      <c r="BF47" s="12" t="e">
        <f>O47</f>
        <v>#REF!</v>
      </c>
      <c r="BH47" s="12" t="e">
        <f>G47*AO47</f>
        <v>#REF!</v>
      </c>
      <c r="BI47" s="12" t="e">
        <f>G47*AP47</f>
        <v>#REF!</v>
      </c>
      <c r="BJ47" s="12" t="e">
        <f>G47*H47</f>
        <v>#REF!</v>
      </c>
      <c r="BK47" s="12"/>
      <c r="BL47" s="12">
        <v>733</v>
      </c>
      <c r="BW47" s="12" t="str">
        <f>I47</f>
        <v>21</v>
      </c>
      <c r="BX47" s="3" t="s">
        <v>94</v>
      </c>
    </row>
    <row r="48" spans="1:76">
      <c r="A48" s="46" t="s">
        <v>21</v>
      </c>
      <c r="B48" s="9" t="s">
        <v>572</v>
      </c>
      <c r="C48" s="9" t="s">
        <v>95</v>
      </c>
      <c r="D48" s="359" t="s">
        <v>96</v>
      </c>
      <c r="E48" s="360"/>
      <c r="F48" s="47" t="s">
        <v>20</v>
      </c>
      <c r="G48" s="47" t="s">
        <v>20</v>
      </c>
      <c r="H48" s="47" t="s">
        <v>20</v>
      </c>
      <c r="I48" s="47" t="s">
        <v>20</v>
      </c>
      <c r="J48" s="11" t="e">
        <f>SUM(J49:J50)</f>
        <v>#REF!</v>
      </c>
      <c r="K48" s="11" t="e">
        <f>SUM(K49:K50)</f>
        <v>#REF!</v>
      </c>
      <c r="L48" s="11" t="e">
        <f>SUM(L49:L50)</f>
        <v>#REF!</v>
      </c>
      <c r="M48" s="11" t="e">
        <f>SUM(M49:M50)</f>
        <v>#REF!</v>
      </c>
      <c r="N48" s="10" t="s">
        <v>21</v>
      </c>
      <c r="O48" s="11" t="e">
        <f>SUM(O49:O50)</f>
        <v>#REF!</v>
      </c>
      <c r="P48" s="48" t="s">
        <v>21</v>
      </c>
      <c r="AI48" s="10" t="s">
        <v>572</v>
      </c>
      <c r="AS48" s="11">
        <f>SUM(AJ49:AJ50)</f>
        <v>0</v>
      </c>
      <c r="AT48" s="11">
        <f>SUM(AK49:AK50)</f>
        <v>0</v>
      </c>
      <c r="AU48" s="11" t="e">
        <f>SUM(AL49:AL50)</f>
        <v>#REF!</v>
      </c>
    </row>
    <row r="49" spans="1:76">
      <c r="A49" s="1" t="s">
        <v>592</v>
      </c>
      <c r="B49" s="2" t="s">
        <v>572</v>
      </c>
      <c r="C49" s="2" t="s">
        <v>97</v>
      </c>
      <c r="D49" s="349" t="s">
        <v>98</v>
      </c>
      <c r="E49" s="342"/>
      <c r="F49" s="2" t="s">
        <v>68</v>
      </c>
      <c r="G49" s="12" t="e">
        <f>#REF!</f>
        <v>#REF!</v>
      </c>
      <c r="H49" s="12" t="e">
        <f>#REF!</f>
        <v>#REF!</v>
      </c>
      <c r="I49" s="49" t="s">
        <v>554</v>
      </c>
      <c r="J49" s="12" t="e">
        <f>G49*AO49</f>
        <v>#REF!</v>
      </c>
      <c r="K49" s="12" t="e">
        <f>G49*AP49</f>
        <v>#REF!</v>
      </c>
      <c r="L49" s="12" t="e">
        <f>G49*H49</f>
        <v>#REF!</v>
      </c>
      <c r="M49" s="12" t="e">
        <f>L49*(1+BW49/100)</f>
        <v>#REF!</v>
      </c>
      <c r="N49" s="12">
        <v>3.9019999999999999E-2</v>
      </c>
      <c r="O49" s="12" t="e">
        <f>G49*N49</f>
        <v>#REF!</v>
      </c>
      <c r="P49" s="50" t="s">
        <v>577</v>
      </c>
      <c r="Z49" s="12">
        <f>IF(AQ49="5",BJ49,0)</f>
        <v>0</v>
      </c>
      <c r="AB49" s="12">
        <f>IF(AQ49="1",BH49,0)</f>
        <v>0</v>
      </c>
      <c r="AC49" s="12">
        <f>IF(AQ49="1",BI49,0)</f>
        <v>0</v>
      </c>
      <c r="AD49" s="12" t="e">
        <f>IF(AQ49="7",BH49,0)</f>
        <v>#REF!</v>
      </c>
      <c r="AE49" s="12" t="e">
        <f>IF(AQ49="7",BI49,0)</f>
        <v>#REF!</v>
      </c>
      <c r="AF49" s="12">
        <f>IF(AQ49="2",BH49,0)</f>
        <v>0</v>
      </c>
      <c r="AG49" s="12">
        <f>IF(AQ49="2",BI49,0)</f>
        <v>0</v>
      </c>
      <c r="AH49" s="12">
        <f>IF(AQ49="0",BJ49,0)</f>
        <v>0</v>
      </c>
      <c r="AI49" s="10" t="s">
        <v>572</v>
      </c>
      <c r="AJ49" s="12">
        <f>IF(AN49=0,L49,0)</f>
        <v>0</v>
      </c>
      <c r="AK49" s="12">
        <f>IF(AN49=12,L49,0)</f>
        <v>0</v>
      </c>
      <c r="AL49" s="12" t="e">
        <f>IF(AN49=21,L49,0)</f>
        <v>#REF!</v>
      </c>
      <c r="AN49" s="12">
        <v>21</v>
      </c>
      <c r="AO49" s="12" t="e">
        <f>H49*0.004836759</f>
        <v>#REF!</v>
      </c>
      <c r="AP49" s="12" t="e">
        <f>H49*(1-0.004836759)</f>
        <v>#REF!</v>
      </c>
      <c r="AQ49" s="49" t="s">
        <v>567</v>
      </c>
      <c r="AV49" s="12" t="e">
        <f>AW49+AX49</f>
        <v>#REF!</v>
      </c>
      <c r="AW49" s="12" t="e">
        <f>G49*AO49</f>
        <v>#REF!</v>
      </c>
      <c r="AX49" s="12" t="e">
        <f>G49*AP49</f>
        <v>#REF!</v>
      </c>
      <c r="AY49" s="49" t="s">
        <v>593</v>
      </c>
      <c r="AZ49" s="49" t="s">
        <v>581</v>
      </c>
      <c r="BA49" s="10" t="s">
        <v>576</v>
      </c>
      <c r="BC49" s="12" t="e">
        <f>AW49+AX49</f>
        <v>#REF!</v>
      </c>
      <c r="BD49" s="12" t="e">
        <f>H49/(100-BE49)*100</f>
        <v>#REF!</v>
      </c>
      <c r="BE49" s="12">
        <v>0</v>
      </c>
      <c r="BF49" s="12" t="e">
        <f>O49</f>
        <v>#REF!</v>
      </c>
      <c r="BH49" s="12" t="e">
        <f>G49*AO49</f>
        <v>#REF!</v>
      </c>
      <c r="BI49" s="12" t="e">
        <f>G49*AP49</f>
        <v>#REF!</v>
      </c>
      <c r="BJ49" s="12" t="e">
        <f>G49*H49</f>
        <v>#REF!</v>
      </c>
      <c r="BK49" s="12"/>
      <c r="BL49" s="12">
        <v>734</v>
      </c>
      <c r="BW49" s="12" t="str">
        <f>I49</f>
        <v>21</v>
      </c>
      <c r="BX49" s="3" t="s">
        <v>98</v>
      </c>
    </row>
    <row r="50" spans="1:76">
      <c r="A50" s="1" t="s">
        <v>594</v>
      </c>
      <c r="B50" s="2" t="s">
        <v>572</v>
      </c>
      <c r="C50" s="2" t="s">
        <v>99</v>
      </c>
      <c r="D50" s="349" t="s">
        <v>100</v>
      </c>
      <c r="E50" s="342"/>
      <c r="F50" s="2" t="s">
        <v>68</v>
      </c>
      <c r="G50" s="12" t="e">
        <f>#REF!</f>
        <v>#REF!</v>
      </c>
      <c r="H50" s="12" t="e">
        <f>#REF!</f>
        <v>#REF!</v>
      </c>
      <c r="I50" s="49" t="s">
        <v>554</v>
      </c>
      <c r="J50" s="12" t="e">
        <f>G50*AO50</f>
        <v>#REF!</v>
      </c>
      <c r="K50" s="12" t="e">
        <f>G50*AP50</f>
        <v>#REF!</v>
      </c>
      <c r="L50" s="12" t="e">
        <f>G50*H50</f>
        <v>#REF!</v>
      </c>
      <c r="M50" s="12" t="e">
        <f>L50*(1+BW50/100)</f>
        <v>#REF!</v>
      </c>
      <c r="N50" s="12">
        <v>3.7100000000000002E-3</v>
      </c>
      <c r="O50" s="12" t="e">
        <f>G50*N50</f>
        <v>#REF!</v>
      </c>
      <c r="P50" s="50" t="s">
        <v>577</v>
      </c>
      <c r="Z50" s="12">
        <f>IF(AQ50="5",BJ50,0)</f>
        <v>0</v>
      </c>
      <c r="AB50" s="12">
        <f>IF(AQ50="1",BH50,0)</f>
        <v>0</v>
      </c>
      <c r="AC50" s="12">
        <f>IF(AQ50="1",BI50,0)</f>
        <v>0</v>
      </c>
      <c r="AD50" s="12" t="e">
        <f>IF(AQ50="7",BH50,0)</f>
        <v>#REF!</v>
      </c>
      <c r="AE50" s="12" t="e">
        <f>IF(AQ50="7",BI50,0)</f>
        <v>#REF!</v>
      </c>
      <c r="AF50" s="12">
        <f>IF(AQ50="2",BH50,0)</f>
        <v>0</v>
      </c>
      <c r="AG50" s="12">
        <f>IF(AQ50="2",BI50,0)</f>
        <v>0</v>
      </c>
      <c r="AH50" s="12">
        <f>IF(AQ50="0",BJ50,0)</f>
        <v>0</v>
      </c>
      <c r="AI50" s="10" t="s">
        <v>572</v>
      </c>
      <c r="AJ50" s="12">
        <f>IF(AN50=0,L50,0)</f>
        <v>0</v>
      </c>
      <c r="AK50" s="12">
        <f>IF(AN50=12,L50,0)</f>
        <v>0</v>
      </c>
      <c r="AL50" s="12" t="e">
        <f>IF(AN50=21,L50,0)</f>
        <v>#REF!</v>
      </c>
      <c r="AN50" s="12">
        <v>21</v>
      </c>
      <c r="AO50" s="12" t="e">
        <f>H50*0.265479277</f>
        <v>#REF!</v>
      </c>
      <c r="AP50" s="12" t="e">
        <f>H50*(1-0.265479277)</f>
        <v>#REF!</v>
      </c>
      <c r="AQ50" s="49" t="s">
        <v>567</v>
      </c>
      <c r="AV50" s="12" t="e">
        <f>AW50+AX50</f>
        <v>#REF!</v>
      </c>
      <c r="AW50" s="12" t="e">
        <f>G50*AO50</f>
        <v>#REF!</v>
      </c>
      <c r="AX50" s="12" t="e">
        <f>G50*AP50</f>
        <v>#REF!</v>
      </c>
      <c r="AY50" s="49" t="s">
        <v>593</v>
      </c>
      <c r="AZ50" s="49" t="s">
        <v>581</v>
      </c>
      <c r="BA50" s="10" t="s">
        <v>576</v>
      </c>
      <c r="BC50" s="12" t="e">
        <f>AW50+AX50</f>
        <v>#REF!</v>
      </c>
      <c r="BD50" s="12" t="e">
        <f>H50/(100-BE50)*100</f>
        <v>#REF!</v>
      </c>
      <c r="BE50" s="12">
        <v>0</v>
      </c>
      <c r="BF50" s="12" t="e">
        <f>O50</f>
        <v>#REF!</v>
      </c>
      <c r="BH50" s="12" t="e">
        <f>G50*AO50</f>
        <v>#REF!</v>
      </c>
      <c r="BI50" s="12" t="e">
        <f>G50*AP50</f>
        <v>#REF!</v>
      </c>
      <c r="BJ50" s="12" t="e">
        <f>G50*H50</f>
        <v>#REF!</v>
      </c>
      <c r="BK50" s="12"/>
      <c r="BL50" s="12">
        <v>734</v>
      </c>
      <c r="BW50" s="12" t="str">
        <f>I50</f>
        <v>21</v>
      </c>
      <c r="BX50" s="3" t="s">
        <v>100</v>
      </c>
    </row>
    <row r="51" spans="1:76">
      <c r="A51" s="46" t="s">
        <v>21</v>
      </c>
      <c r="B51" s="9" t="s">
        <v>572</v>
      </c>
      <c r="C51" s="9" t="s">
        <v>101</v>
      </c>
      <c r="D51" s="359" t="s">
        <v>102</v>
      </c>
      <c r="E51" s="360"/>
      <c r="F51" s="47" t="s">
        <v>20</v>
      </c>
      <c r="G51" s="47" t="s">
        <v>20</v>
      </c>
      <c r="H51" s="47" t="s">
        <v>20</v>
      </c>
      <c r="I51" s="47" t="s">
        <v>20</v>
      </c>
      <c r="J51" s="11" t="e">
        <f>SUM(J52:J52)</f>
        <v>#REF!</v>
      </c>
      <c r="K51" s="11" t="e">
        <f>SUM(K52:K52)</f>
        <v>#REF!</v>
      </c>
      <c r="L51" s="11" t="e">
        <f>SUM(L52:L52)</f>
        <v>#REF!</v>
      </c>
      <c r="M51" s="11" t="e">
        <f>SUM(M52:M52)</f>
        <v>#REF!</v>
      </c>
      <c r="N51" s="10" t="s">
        <v>21</v>
      </c>
      <c r="O51" s="11" t="e">
        <f>SUM(O52:O52)</f>
        <v>#REF!</v>
      </c>
      <c r="P51" s="48" t="s">
        <v>21</v>
      </c>
      <c r="AI51" s="10" t="s">
        <v>572</v>
      </c>
      <c r="AS51" s="11">
        <f>SUM(AJ52:AJ52)</f>
        <v>0</v>
      </c>
      <c r="AT51" s="11">
        <f>SUM(AK52:AK52)</f>
        <v>0</v>
      </c>
      <c r="AU51" s="11" t="e">
        <f>SUM(AL52:AL52)</f>
        <v>#REF!</v>
      </c>
    </row>
    <row r="52" spans="1:76">
      <c r="A52" s="1" t="s">
        <v>595</v>
      </c>
      <c r="B52" s="2" t="s">
        <v>572</v>
      </c>
      <c r="C52" s="2" t="s">
        <v>103</v>
      </c>
      <c r="D52" s="349" t="s">
        <v>104</v>
      </c>
      <c r="E52" s="342"/>
      <c r="F52" s="2" t="s">
        <v>105</v>
      </c>
      <c r="G52" s="12" t="e">
        <f>#REF!</f>
        <v>#REF!</v>
      </c>
      <c r="H52" s="12" t="e">
        <f>#REF!</f>
        <v>#REF!</v>
      </c>
      <c r="I52" s="49" t="s">
        <v>554</v>
      </c>
      <c r="J52" s="12" t="e">
        <f>G52*AO52</f>
        <v>#REF!</v>
      </c>
      <c r="K52" s="12" t="e">
        <f>G52*AP52</f>
        <v>#REF!</v>
      </c>
      <c r="L52" s="12" t="e">
        <f>G52*H52</f>
        <v>#REF!</v>
      </c>
      <c r="M52" s="12" t="e">
        <f>L52*(1+BW52/100)</f>
        <v>#REF!</v>
      </c>
      <c r="N52" s="12">
        <v>1.0499999999999999E-3</v>
      </c>
      <c r="O52" s="12" t="e">
        <f>G52*N52</f>
        <v>#REF!</v>
      </c>
      <c r="P52" s="50" t="s">
        <v>577</v>
      </c>
      <c r="Z52" s="12">
        <f>IF(AQ52="5",BJ52,0)</f>
        <v>0</v>
      </c>
      <c r="AB52" s="12">
        <f>IF(AQ52="1",BH52,0)</f>
        <v>0</v>
      </c>
      <c r="AC52" s="12">
        <f>IF(AQ52="1",BI52,0)</f>
        <v>0</v>
      </c>
      <c r="AD52" s="12" t="e">
        <f>IF(AQ52="7",BH52,0)</f>
        <v>#REF!</v>
      </c>
      <c r="AE52" s="12" t="e">
        <f>IF(AQ52="7",BI52,0)</f>
        <v>#REF!</v>
      </c>
      <c r="AF52" s="12">
        <f>IF(AQ52="2",BH52,0)</f>
        <v>0</v>
      </c>
      <c r="AG52" s="12">
        <f>IF(AQ52="2",BI52,0)</f>
        <v>0</v>
      </c>
      <c r="AH52" s="12">
        <f>IF(AQ52="0",BJ52,0)</f>
        <v>0</v>
      </c>
      <c r="AI52" s="10" t="s">
        <v>572</v>
      </c>
      <c r="AJ52" s="12">
        <f>IF(AN52=0,L52,0)</f>
        <v>0</v>
      </c>
      <c r="AK52" s="12">
        <f>IF(AN52=12,L52,0)</f>
        <v>0</v>
      </c>
      <c r="AL52" s="12" t="e">
        <f>IF(AN52=21,L52,0)</f>
        <v>#REF!</v>
      </c>
      <c r="AN52" s="12">
        <v>21</v>
      </c>
      <c r="AO52" s="12" t="e">
        <f>H52*0.282825485</f>
        <v>#REF!</v>
      </c>
      <c r="AP52" s="12" t="e">
        <f>H52*(1-0.282825485)</f>
        <v>#REF!</v>
      </c>
      <c r="AQ52" s="49" t="s">
        <v>567</v>
      </c>
      <c r="AV52" s="12" t="e">
        <f>AW52+AX52</f>
        <v>#REF!</v>
      </c>
      <c r="AW52" s="12" t="e">
        <f>G52*AO52</f>
        <v>#REF!</v>
      </c>
      <c r="AX52" s="12" t="e">
        <f>G52*AP52</f>
        <v>#REF!</v>
      </c>
      <c r="AY52" s="49" t="s">
        <v>596</v>
      </c>
      <c r="AZ52" s="49" t="s">
        <v>597</v>
      </c>
      <c r="BA52" s="10" t="s">
        <v>576</v>
      </c>
      <c r="BC52" s="12" t="e">
        <f>AW52+AX52</f>
        <v>#REF!</v>
      </c>
      <c r="BD52" s="12" t="e">
        <f>H52/(100-BE52)*100</f>
        <v>#REF!</v>
      </c>
      <c r="BE52" s="12">
        <v>0</v>
      </c>
      <c r="BF52" s="12" t="e">
        <f>O52</f>
        <v>#REF!</v>
      </c>
      <c r="BH52" s="12" t="e">
        <f>G52*AO52</f>
        <v>#REF!</v>
      </c>
      <c r="BI52" s="12" t="e">
        <f>G52*AP52</f>
        <v>#REF!</v>
      </c>
      <c r="BJ52" s="12" t="e">
        <f>G52*H52</f>
        <v>#REF!</v>
      </c>
      <c r="BK52" s="12"/>
      <c r="BL52" s="12">
        <v>767</v>
      </c>
      <c r="BW52" s="12" t="str">
        <f>I52</f>
        <v>21</v>
      </c>
      <c r="BX52" s="3" t="s">
        <v>104</v>
      </c>
    </row>
    <row r="53" spans="1:76">
      <c r="A53" s="46" t="s">
        <v>21</v>
      </c>
      <c r="B53" s="9" t="s">
        <v>598</v>
      </c>
      <c r="C53" s="9" t="s">
        <v>21</v>
      </c>
      <c r="D53" s="359" t="s">
        <v>106</v>
      </c>
      <c r="E53" s="360"/>
      <c r="F53" s="47" t="s">
        <v>20</v>
      </c>
      <c r="G53" s="47" t="s">
        <v>20</v>
      </c>
      <c r="H53" s="47" t="s">
        <v>20</v>
      </c>
      <c r="I53" s="47" t="s">
        <v>20</v>
      </c>
      <c r="J53" s="11" t="e">
        <f>J54+J63+J92+J94+J97+J105+J130</f>
        <v>#REF!</v>
      </c>
      <c r="K53" s="11" t="e">
        <f>K54+K63+K92+K94+K97+K105+K130</f>
        <v>#REF!</v>
      </c>
      <c r="L53" s="11" t="e">
        <f>L54+L63+L92+L94+L97+L105+L130</f>
        <v>#REF!</v>
      </c>
      <c r="M53" s="11" t="e">
        <f>M54+M63+M92+M94+M97+M105+M130</f>
        <v>#REF!</v>
      </c>
      <c r="N53" s="10" t="s">
        <v>21</v>
      </c>
      <c r="O53" s="11" t="e">
        <f>O54+O63+O92+O94+O97+O105+O130</f>
        <v>#REF!</v>
      </c>
      <c r="P53" s="48" t="s">
        <v>21</v>
      </c>
    </row>
    <row r="54" spans="1:76">
      <c r="A54" s="46" t="s">
        <v>21</v>
      </c>
      <c r="B54" s="9" t="s">
        <v>598</v>
      </c>
      <c r="C54" s="9" t="s">
        <v>54</v>
      </c>
      <c r="D54" s="359" t="s">
        <v>55</v>
      </c>
      <c r="E54" s="360"/>
      <c r="F54" s="47" t="s">
        <v>20</v>
      </c>
      <c r="G54" s="47" t="s">
        <v>20</v>
      </c>
      <c r="H54" s="47" t="s">
        <v>20</v>
      </c>
      <c r="I54" s="47" t="s">
        <v>20</v>
      </c>
      <c r="J54" s="11" t="e">
        <f>SUM(J55:J62)</f>
        <v>#REF!</v>
      </c>
      <c r="K54" s="11" t="e">
        <f>SUM(K55:K62)</f>
        <v>#REF!</v>
      </c>
      <c r="L54" s="11" t="e">
        <f>SUM(L55:L62)</f>
        <v>#REF!</v>
      </c>
      <c r="M54" s="11" t="e">
        <f>SUM(M55:M62)</f>
        <v>#REF!</v>
      </c>
      <c r="N54" s="10" t="s">
        <v>21</v>
      </c>
      <c r="O54" s="11" t="e">
        <f>SUM(O55:O62)</f>
        <v>#REF!</v>
      </c>
      <c r="P54" s="48" t="s">
        <v>21</v>
      </c>
      <c r="AI54" s="10" t="s">
        <v>598</v>
      </c>
      <c r="AS54" s="11">
        <f>SUM(AJ55:AJ62)</f>
        <v>0</v>
      </c>
      <c r="AT54" s="11">
        <f>SUM(AK55:AK62)</f>
        <v>0</v>
      </c>
      <c r="AU54" s="11" t="e">
        <f>SUM(AL55:AL62)</f>
        <v>#REF!</v>
      </c>
    </row>
    <row r="55" spans="1:76">
      <c r="A55" s="1" t="s">
        <v>599</v>
      </c>
      <c r="B55" s="2" t="s">
        <v>598</v>
      </c>
      <c r="C55" s="2" t="s">
        <v>107</v>
      </c>
      <c r="D55" s="349" t="s">
        <v>108</v>
      </c>
      <c r="E55" s="342"/>
      <c r="F55" s="2" t="s">
        <v>109</v>
      </c>
      <c r="G55" s="12" t="e">
        <f>#REF!</f>
        <v>#REF!</v>
      </c>
      <c r="H55" s="12" t="e">
        <f>#REF!</f>
        <v>#REF!</v>
      </c>
      <c r="I55" s="49" t="s">
        <v>554</v>
      </c>
      <c r="J55" s="12" t="e">
        <f>G55*AO55</f>
        <v>#REF!</v>
      </c>
      <c r="K55" s="12" t="e">
        <f>G55*AP55</f>
        <v>#REF!</v>
      </c>
      <c r="L55" s="12" t="e">
        <f>G55*H55</f>
        <v>#REF!</v>
      </c>
      <c r="M55" s="12" t="e">
        <f>L55*(1+BW55/100)</f>
        <v>#REF!</v>
      </c>
      <c r="N55" s="12">
        <v>0</v>
      </c>
      <c r="O55" s="12" t="e">
        <f>G55*N55</f>
        <v>#REF!</v>
      </c>
      <c r="P55" s="50" t="s">
        <v>21</v>
      </c>
      <c r="Z55" s="12">
        <f>IF(AQ55="5",BJ55,0)</f>
        <v>0</v>
      </c>
      <c r="AB55" s="12" t="e">
        <f>IF(AQ55="1",BH55,0)</f>
        <v>#REF!</v>
      </c>
      <c r="AC55" s="12" t="e">
        <f>IF(AQ55="1",BI55,0)</f>
        <v>#REF!</v>
      </c>
      <c r="AD55" s="12">
        <f>IF(AQ55="7",BH55,0)</f>
        <v>0</v>
      </c>
      <c r="AE55" s="12">
        <f>IF(AQ55="7",BI55,0)</f>
        <v>0</v>
      </c>
      <c r="AF55" s="12">
        <f>IF(AQ55="2",BH55,0)</f>
        <v>0</v>
      </c>
      <c r="AG55" s="12">
        <f>IF(AQ55="2",BI55,0)</f>
        <v>0</v>
      </c>
      <c r="AH55" s="12">
        <f>IF(AQ55="0",BJ55,0)</f>
        <v>0</v>
      </c>
      <c r="AI55" s="10" t="s">
        <v>598</v>
      </c>
      <c r="AJ55" s="12">
        <f>IF(AN55=0,L55,0)</f>
        <v>0</v>
      </c>
      <c r="AK55" s="12">
        <f>IF(AN55=12,L55,0)</f>
        <v>0</v>
      </c>
      <c r="AL55" s="12" t="e">
        <f>IF(AN55=21,L55,0)</f>
        <v>#REF!</v>
      </c>
      <c r="AN55" s="12">
        <v>21</v>
      </c>
      <c r="AO55" s="12" t="e">
        <f>H55*0</f>
        <v>#REF!</v>
      </c>
      <c r="AP55" s="12" t="e">
        <f>H55*(1-0)</f>
        <v>#REF!</v>
      </c>
      <c r="AQ55" s="49" t="s">
        <v>553</v>
      </c>
      <c r="AV55" s="12" t="e">
        <f>AW55+AX55</f>
        <v>#REF!</v>
      </c>
      <c r="AW55" s="12" t="e">
        <f>G55*AO55</f>
        <v>#REF!</v>
      </c>
      <c r="AX55" s="12" t="e">
        <f>G55*AP55</f>
        <v>#REF!</v>
      </c>
      <c r="AY55" s="49" t="s">
        <v>574</v>
      </c>
      <c r="AZ55" s="49" t="s">
        <v>600</v>
      </c>
      <c r="BA55" s="10" t="s">
        <v>601</v>
      </c>
      <c r="BC55" s="12" t="e">
        <f>AW55+AX55</f>
        <v>#REF!</v>
      </c>
      <c r="BD55" s="12" t="e">
        <f>H55/(100-BE55)*100</f>
        <v>#REF!</v>
      </c>
      <c r="BE55" s="12">
        <v>0</v>
      </c>
      <c r="BF55" s="12" t="e">
        <f>O55</f>
        <v>#REF!</v>
      </c>
      <c r="BH55" s="12" t="e">
        <f>G55*AO55</f>
        <v>#REF!</v>
      </c>
      <c r="BI55" s="12" t="e">
        <f>G55*AP55</f>
        <v>#REF!</v>
      </c>
      <c r="BJ55" s="12" t="e">
        <f>G55*H55</f>
        <v>#REF!</v>
      </c>
      <c r="BK55" s="12"/>
      <c r="BL55" s="12">
        <v>0</v>
      </c>
      <c r="BW55" s="12" t="str">
        <f>I55</f>
        <v>21</v>
      </c>
      <c r="BX55" s="3" t="s">
        <v>108</v>
      </c>
    </row>
    <row r="56" spans="1:76" ht="25.5">
      <c r="A56" s="1" t="s">
        <v>602</v>
      </c>
      <c r="B56" s="2" t="s">
        <v>598</v>
      </c>
      <c r="C56" s="2" t="s">
        <v>110</v>
      </c>
      <c r="D56" s="349" t="s">
        <v>111</v>
      </c>
      <c r="E56" s="342"/>
      <c r="F56" s="2" t="s">
        <v>112</v>
      </c>
      <c r="G56" s="12" t="e">
        <f>#REF!</f>
        <v>#REF!</v>
      </c>
      <c r="H56" s="12" t="e">
        <f>#REF!</f>
        <v>#REF!</v>
      </c>
      <c r="I56" s="49" t="s">
        <v>554</v>
      </c>
      <c r="J56" s="12" t="e">
        <f>G56*AO56</f>
        <v>#REF!</v>
      </c>
      <c r="K56" s="12" t="e">
        <f>G56*AP56</f>
        <v>#REF!</v>
      </c>
      <c r="L56" s="12" t="e">
        <f>G56*H56</f>
        <v>#REF!</v>
      </c>
      <c r="M56" s="12" t="e">
        <f>L56*(1+BW56/100)</f>
        <v>#REF!</v>
      </c>
      <c r="N56" s="12">
        <v>0</v>
      </c>
      <c r="O56" s="12" t="e">
        <f>G56*N56</f>
        <v>#REF!</v>
      </c>
      <c r="P56" s="50" t="s">
        <v>21</v>
      </c>
      <c r="Z56" s="12">
        <f>IF(AQ56="5",BJ56,0)</f>
        <v>0</v>
      </c>
      <c r="AB56" s="12" t="e">
        <f>IF(AQ56="1",BH56,0)</f>
        <v>#REF!</v>
      </c>
      <c r="AC56" s="12" t="e">
        <f>IF(AQ56="1",BI56,0)</f>
        <v>#REF!</v>
      </c>
      <c r="AD56" s="12">
        <f>IF(AQ56="7",BH56,0)</f>
        <v>0</v>
      </c>
      <c r="AE56" s="12">
        <f>IF(AQ56="7",BI56,0)</f>
        <v>0</v>
      </c>
      <c r="AF56" s="12">
        <f>IF(AQ56="2",BH56,0)</f>
        <v>0</v>
      </c>
      <c r="AG56" s="12">
        <f>IF(AQ56="2",BI56,0)</f>
        <v>0</v>
      </c>
      <c r="AH56" s="12">
        <f>IF(AQ56="0",BJ56,0)</f>
        <v>0</v>
      </c>
      <c r="AI56" s="10" t="s">
        <v>598</v>
      </c>
      <c r="AJ56" s="12">
        <f>IF(AN56=0,L56,0)</f>
        <v>0</v>
      </c>
      <c r="AK56" s="12">
        <f>IF(AN56=12,L56,0)</f>
        <v>0</v>
      </c>
      <c r="AL56" s="12" t="e">
        <f>IF(AN56=21,L56,0)</f>
        <v>#REF!</v>
      </c>
      <c r="AN56" s="12">
        <v>21</v>
      </c>
      <c r="AO56" s="12" t="e">
        <f>H56*0.298352654</f>
        <v>#REF!</v>
      </c>
      <c r="AP56" s="12" t="e">
        <f>H56*(1-0.298352654)</f>
        <v>#REF!</v>
      </c>
      <c r="AQ56" s="49" t="s">
        <v>553</v>
      </c>
      <c r="AV56" s="12" t="e">
        <f>AW56+AX56</f>
        <v>#REF!</v>
      </c>
      <c r="AW56" s="12" t="e">
        <f>G56*AO56</f>
        <v>#REF!</v>
      </c>
      <c r="AX56" s="12" t="e">
        <f>G56*AP56</f>
        <v>#REF!</v>
      </c>
      <c r="AY56" s="49" t="s">
        <v>574</v>
      </c>
      <c r="AZ56" s="49" t="s">
        <v>600</v>
      </c>
      <c r="BA56" s="10" t="s">
        <v>601</v>
      </c>
      <c r="BC56" s="12" t="e">
        <f>AW56+AX56</f>
        <v>#REF!</v>
      </c>
      <c r="BD56" s="12" t="e">
        <f>H56/(100-BE56)*100</f>
        <v>#REF!</v>
      </c>
      <c r="BE56" s="12">
        <v>0</v>
      </c>
      <c r="BF56" s="12" t="e">
        <f>O56</f>
        <v>#REF!</v>
      </c>
      <c r="BH56" s="12" t="e">
        <f>G56*AO56</f>
        <v>#REF!</v>
      </c>
      <c r="BI56" s="12" t="e">
        <f>G56*AP56</f>
        <v>#REF!</v>
      </c>
      <c r="BJ56" s="12" t="e">
        <f>G56*H56</f>
        <v>#REF!</v>
      </c>
      <c r="BK56" s="12"/>
      <c r="BL56" s="12">
        <v>0</v>
      </c>
      <c r="BW56" s="12" t="str">
        <f>I56</f>
        <v>21</v>
      </c>
      <c r="BX56" s="3" t="s">
        <v>111</v>
      </c>
    </row>
    <row r="57" spans="1:76">
      <c r="A57" s="1" t="s">
        <v>603</v>
      </c>
      <c r="B57" s="2" t="s">
        <v>598</v>
      </c>
      <c r="C57" s="2" t="s">
        <v>113</v>
      </c>
      <c r="D57" s="349" t="s">
        <v>114</v>
      </c>
      <c r="E57" s="342"/>
      <c r="F57" s="2" t="s">
        <v>58</v>
      </c>
      <c r="G57" s="12" t="e">
        <f>#REF!</f>
        <v>#REF!</v>
      </c>
      <c r="H57" s="12" t="e">
        <f>#REF!</f>
        <v>#REF!</v>
      </c>
      <c r="I57" s="49" t="s">
        <v>554</v>
      </c>
      <c r="J57" s="12" t="e">
        <f>G57*AO57</f>
        <v>#REF!</v>
      </c>
      <c r="K57" s="12" t="e">
        <f>G57*AP57</f>
        <v>#REF!</v>
      </c>
      <c r="L57" s="12" t="e">
        <f>G57*H57</f>
        <v>#REF!</v>
      </c>
      <c r="M57" s="12" t="e">
        <f>L57*(1+BW57/100)</f>
        <v>#REF!</v>
      </c>
      <c r="N57" s="12">
        <v>1.1299999999999999E-3</v>
      </c>
      <c r="O57" s="12" t="e">
        <f>G57*N57</f>
        <v>#REF!</v>
      </c>
      <c r="P57" s="50" t="s">
        <v>577</v>
      </c>
      <c r="Z57" s="12">
        <f>IF(AQ57="5",BJ57,0)</f>
        <v>0</v>
      </c>
      <c r="AB57" s="12" t="e">
        <f>IF(AQ57="1",BH57,0)</f>
        <v>#REF!</v>
      </c>
      <c r="AC57" s="12" t="e">
        <f>IF(AQ57="1",BI57,0)</f>
        <v>#REF!</v>
      </c>
      <c r="AD57" s="12">
        <f>IF(AQ57="7",BH57,0)</f>
        <v>0</v>
      </c>
      <c r="AE57" s="12">
        <f>IF(AQ57="7",BI57,0)</f>
        <v>0</v>
      </c>
      <c r="AF57" s="12">
        <f>IF(AQ57="2",BH57,0)</f>
        <v>0</v>
      </c>
      <c r="AG57" s="12">
        <f>IF(AQ57="2",BI57,0)</f>
        <v>0</v>
      </c>
      <c r="AH57" s="12">
        <f>IF(AQ57="0",BJ57,0)</f>
        <v>0</v>
      </c>
      <c r="AI57" s="10" t="s">
        <v>598</v>
      </c>
      <c r="AJ57" s="12">
        <f>IF(AN57=0,L57,0)</f>
        <v>0</v>
      </c>
      <c r="AK57" s="12">
        <f>IF(AN57=12,L57,0)</f>
        <v>0</v>
      </c>
      <c r="AL57" s="12" t="e">
        <f>IF(AN57=21,L57,0)</f>
        <v>#REF!</v>
      </c>
      <c r="AN57" s="12">
        <v>21</v>
      </c>
      <c r="AO57" s="12" t="e">
        <f>H57*0.76854251</f>
        <v>#REF!</v>
      </c>
      <c r="AP57" s="12" t="e">
        <f>H57*(1-0.76854251)</f>
        <v>#REF!</v>
      </c>
      <c r="AQ57" s="49" t="s">
        <v>553</v>
      </c>
      <c r="AV57" s="12" t="e">
        <f>AW57+AX57</f>
        <v>#REF!</v>
      </c>
      <c r="AW57" s="12" t="e">
        <f>G57*AO57</f>
        <v>#REF!</v>
      </c>
      <c r="AX57" s="12" t="e">
        <f>G57*AP57</f>
        <v>#REF!</v>
      </c>
      <c r="AY57" s="49" t="s">
        <v>574</v>
      </c>
      <c r="AZ57" s="49" t="s">
        <v>600</v>
      </c>
      <c r="BA57" s="10" t="s">
        <v>601</v>
      </c>
      <c r="BC57" s="12" t="e">
        <f>AW57+AX57</f>
        <v>#REF!</v>
      </c>
      <c r="BD57" s="12" t="e">
        <f>H57/(100-BE57)*100</f>
        <v>#REF!</v>
      </c>
      <c r="BE57" s="12">
        <v>0</v>
      </c>
      <c r="BF57" s="12" t="e">
        <f>O57</f>
        <v>#REF!</v>
      </c>
      <c r="BH57" s="12" t="e">
        <f>G57*AO57</f>
        <v>#REF!</v>
      </c>
      <c r="BI57" s="12" t="e">
        <f>G57*AP57</f>
        <v>#REF!</v>
      </c>
      <c r="BJ57" s="12" t="e">
        <f>G57*H57</f>
        <v>#REF!</v>
      </c>
      <c r="BK57" s="12"/>
      <c r="BL57" s="12">
        <v>0</v>
      </c>
      <c r="BW57" s="12" t="str">
        <f>I57</f>
        <v>21</v>
      </c>
      <c r="BX57" s="3" t="s">
        <v>114</v>
      </c>
    </row>
    <row r="58" spans="1:76">
      <c r="A58" s="1" t="s">
        <v>604</v>
      </c>
      <c r="B58" s="2" t="s">
        <v>598</v>
      </c>
      <c r="C58" s="2" t="s">
        <v>115</v>
      </c>
      <c r="D58" s="349" t="s">
        <v>116</v>
      </c>
      <c r="E58" s="342"/>
      <c r="F58" s="2" t="s">
        <v>58</v>
      </c>
      <c r="G58" s="12" t="e">
        <f>#REF!</f>
        <v>#REF!</v>
      </c>
      <c r="H58" s="12" t="e">
        <f>#REF!</f>
        <v>#REF!</v>
      </c>
      <c r="I58" s="49" t="s">
        <v>554</v>
      </c>
      <c r="J58" s="12" t="e">
        <f>G58*AO58</f>
        <v>#REF!</v>
      </c>
      <c r="K58" s="12" t="e">
        <f>G58*AP58</f>
        <v>#REF!</v>
      </c>
      <c r="L58" s="12" t="e">
        <f>G58*H58</f>
        <v>#REF!</v>
      </c>
      <c r="M58" s="12" t="e">
        <f>L58*(1+BW58/100)</f>
        <v>#REF!</v>
      </c>
      <c r="N58" s="12">
        <v>0</v>
      </c>
      <c r="O58" s="12" t="e">
        <f>G58*N58</f>
        <v>#REF!</v>
      </c>
      <c r="P58" s="50" t="s">
        <v>605</v>
      </c>
      <c r="Z58" s="12">
        <f>IF(AQ58="5",BJ58,0)</f>
        <v>0</v>
      </c>
      <c r="AB58" s="12" t="e">
        <f>IF(AQ58="1",BH58,0)</f>
        <v>#REF!</v>
      </c>
      <c r="AC58" s="12" t="e">
        <f>IF(AQ58="1",BI58,0)</f>
        <v>#REF!</v>
      </c>
      <c r="AD58" s="12">
        <f>IF(AQ58="7",BH58,0)</f>
        <v>0</v>
      </c>
      <c r="AE58" s="12">
        <f>IF(AQ58="7",BI58,0)</f>
        <v>0</v>
      </c>
      <c r="AF58" s="12">
        <f>IF(AQ58="2",BH58,0)</f>
        <v>0</v>
      </c>
      <c r="AG58" s="12">
        <f>IF(AQ58="2",BI58,0)</f>
        <v>0</v>
      </c>
      <c r="AH58" s="12">
        <f>IF(AQ58="0",BJ58,0)</f>
        <v>0</v>
      </c>
      <c r="AI58" s="10" t="s">
        <v>598</v>
      </c>
      <c r="AJ58" s="12">
        <f>IF(AN58=0,L58,0)</f>
        <v>0</v>
      </c>
      <c r="AK58" s="12">
        <f>IF(AN58=12,L58,0)</f>
        <v>0</v>
      </c>
      <c r="AL58" s="12" t="e">
        <f>IF(AN58=21,L58,0)</f>
        <v>#REF!</v>
      </c>
      <c r="AN58" s="12">
        <v>21</v>
      </c>
      <c r="AO58" s="12" t="e">
        <f>H58*0</f>
        <v>#REF!</v>
      </c>
      <c r="AP58" s="12" t="e">
        <f>H58*(1-0)</f>
        <v>#REF!</v>
      </c>
      <c r="AQ58" s="49" t="s">
        <v>553</v>
      </c>
      <c r="AV58" s="12" t="e">
        <f>AW58+AX58</f>
        <v>#REF!</v>
      </c>
      <c r="AW58" s="12" t="e">
        <f>G58*AO58</f>
        <v>#REF!</v>
      </c>
      <c r="AX58" s="12" t="e">
        <f>G58*AP58</f>
        <v>#REF!</v>
      </c>
      <c r="AY58" s="49" t="s">
        <v>574</v>
      </c>
      <c r="AZ58" s="49" t="s">
        <v>600</v>
      </c>
      <c r="BA58" s="10" t="s">
        <v>601</v>
      </c>
      <c r="BC58" s="12" t="e">
        <f>AW58+AX58</f>
        <v>#REF!</v>
      </c>
      <c r="BD58" s="12" t="e">
        <f>H58/(100-BE58)*100</f>
        <v>#REF!</v>
      </c>
      <c r="BE58" s="12">
        <v>0</v>
      </c>
      <c r="BF58" s="12" t="e">
        <f>O58</f>
        <v>#REF!</v>
      </c>
      <c r="BH58" s="12" t="e">
        <f>G58*AO58</f>
        <v>#REF!</v>
      </c>
      <c r="BI58" s="12" t="e">
        <f>G58*AP58</f>
        <v>#REF!</v>
      </c>
      <c r="BJ58" s="12" t="e">
        <f>G58*H58</f>
        <v>#REF!</v>
      </c>
      <c r="BK58" s="12"/>
      <c r="BL58" s="12">
        <v>0</v>
      </c>
      <c r="BW58" s="12" t="str">
        <f>I58</f>
        <v>21</v>
      </c>
      <c r="BX58" s="3" t="s">
        <v>116</v>
      </c>
    </row>
    <row r="59" spans="1:76">
      <c r="A59" s="51"/>
      <c r="C59" s="13" t="s">
        <v>117</v>
      </c>
      <c r="D59" s="363" t="s">
        <v>118</v>
      </c>
      <c r="E59" s="364"/>
      <c r="F59" s="364"/>
      <c r="G59" s="364"/>
      <c r="H59" s="364"/>
      <c r="I59" s="364"/>
      <c r="J59" s="364"/>
      <c r="K59" s="364"/>
      <c r="L59" s="364"/>
      <c r="M59" s="364"/>
      <c r="N59" s="364"/>
      <c r="O59" s="364"/>
      <c r="P59" s="365"/>
      <c r="BX59" s="14" t="s">
        <v>118</v>
      </c>
    </row>
    <row r="60" spans="1:76">
      <c r="A60" s="1" t="s">
        <v>606</v>
      </c>
      <c r="B60" s="2" t="s">
        <v>598</v>
      </c>
      <c r="C60" s="2" t="s">
        <v>119</v>
      </c>
      <c r="D60" s="349" t="s">
        <v>120</v>
      </c>
      <c r="E60" s="342"/>
      <c r="F60" s="2" t="s">
        <v>58</v>
      </c>
      <c r="G60" s="12" t="e">
        <f>#REF!</f>
        <v>#REF!</v>
      </c>
      <c r="H60" s="12" t="e">
        <f>#REF!</f>
        <v>#REF!</v>
      </c>
      <c r="I60" s="49" t="s">
        <v>554</v>
      </c>
      <c r="J60" s="12" t="e">
        <f>G60*AO60</f>
        <v>#REF!</v>
      </c>
      <c r="K60" s="12" t="e">
        <f>G60*AP60</f>
        <v>#REF!</v>
      </c>
      <c r="L60" s="12" t="e">
        <f>G60*H60</f>
        <v>#REF!</v>
      </c>
      <c r="M60" s="12" t="e">
        <f>L60*(1+BW60/100)</f>
        <v>#REF!</v>
      </c>
      <c r="N60" s="12">
        <v>0</v>
      </c>
      <c r="O60" s="12" t="e">
        <f>G60*N60</f>
        <v>#REF!</v>
      </c>
      <c r="P60" s="50" t="s">
        <v>605</v>
      </c>
      <c r="Z60" s="12">
        <f>IF(AQ60="5",BJ60,0)</f>
        <v>0</v>
      </c>
      <c r="AB60" s="12" t="e">
        <f>IF(AQ60="1",BH60,0)</f>
        <v>#REF!</v>
      </c>
      <c r="AC60" s="12" t="e">
        <f>IF(AQ60="1",BI60,0)</f>
        <v>#REF!</v>
      </c>
      <c r="AD60" s="12">
        <f>IF(AQ60="7",BH60,0)</f>
        <v>0</v>
      </c>
      <c r="AE60" s="12">
        <f>IF(AQ60="7",BI60,0)</f>
        <v>0</v>
      </c>
      <c r="AF60" s="12">
        <f>IF(AQ60="2",BH60,0)</f>
        <v>0</v>
      </c>
      <c r="AG60" s="12">
        <f>IF(AQ60="2",BI60,0)</f>
        <v>0</v>
      </c>
      <c r="AH60" s="12">
        <f>IF(AQ60="0",BJ60,0)</f>
        <v>0</v>
      </c>
      <c r="AI60" s="10" t="s">
        <v>598</v>
      </c>
      <c r="AJ60" s="12">
        <f>IF(AN60=0,L60,0)</f>
        <v>0</v>
      </c>
      <c r="AK60" s="12">
        <f>IF(AN60=12,L60,0)</f>
        <v>0</v>
      </c>
      <c r="AL60" s="12" t="e">
        <f>IF(AN60=21,L60,0)</f>
        <v>#REF!</v>
      </c>
      <c r="AN60" s="12">
        <v>21</v>
      </c>
      <c r="AO60" s="12" t="e">
        <f>H60*0</f>
        <v>#REF!</v>
      </c>
      <c r="AP60" s="12" t="e">
        <f>H60*(1-0)</f>
        <v>#REF!</v>
      </c>
      <c r="AQ60" s="49" t="s">
        <v>553</v>
      </c>
      <c r="AV60" s="12" t="e">
        <f>AW60+AX60</f>
        <v>#REF!</v>
      </c>
      <c r="AW60" s="12" t="e">
        <f>G60*AO60</f>
        <v>#REF!</v>
      </c>
      <c r="AX60" s="12" t="e">
        <f>G60*AP60</f>
        <v>#REF!</v>
      </c>
      <c r="AY60" s="49" t="s">
        <v>574</v>
      </c>
      <c r="AZ60" s="49" t="s">
        <v>600</v>
      </c>
      <c r="BA60" s="10" t="s">
        <v>601</v>
      </c>
      <c r="BC60" s="12" t="e">
        <f>AW60+AX60</f>
        <v>#REF!</v>
      </c>
      <c r="BD60" s="12" t="e">
        <f>H60/(100-BE60)*100</f>
        <v>#REF!</v>
      </c>
      <c r="BE60" s="12">
        <v>0</v>
      </c>
      <c r="BF60" s="12" t="e">
        <f>O60</f>
        <v>#REF!</v>
      </c>
      <c r="BH60" s="12" t="e">
        <f>G60*AO60</f>
        <v>#REF!</v>
      </c>
      <c r="BI60" s="12" t="e">
        <f>G60*AP60</f>
        <v>#REF!</v>
      </c>
      <c r="BJ60" s="12" t="e">
        <f>G60*H60</f>
        <v>#REF!</v>
      </c>
      <c r="BK60" s="12"/>
      <c r="BL60" s="12">
        <v>0</v>
      </c>
      <c r="BW60" s="12" t="str">
        <f>I60</f>
        <v>21</v>
      </c>
      <c r="BX60" s="3" t="s">
        <v>120</v>
      </c>
    </row>
    <row r="61" spans="1:76">
      <c r="A61" s="1" t="s">
        <v>607</v>
      </c>
      <c r="B61" s="2" t="s">
        <v>598</v>
      </c>
      <c r="C61" s="2" t="s">
        <v>121</v>
      </c>
      <c r="D61" s="349" t="s">
        <v>122</v>
      </c>
      <c r="E61" s="342"/>
      <c r="F61" s="2" t="s">
        <v>123</v>
      </c>
      <c r="G61" s="12" t="e">
        <f>#REF!</f>
        <v>#REF!</v>
      </c>
      <c r="H61" s="12" t="e">
        <f>#REF!</f>
        <v>#REF!</v>
      </c>
      <c r="I61" s="49" t="s">
        <v>554</v>
      </c>
      <c r="J61" s="12" t="e">
        <f>G61*AO61</f>
        <v>#REF!</v>
      </c>
      <c r="K61" s="12" t="e">
        <f>G61*AP61</f>
        <v>#REF!</v>
      </c>
      <c r="L61" s="12" t="e">
        <f>G61*H61</f>
        <v>#REF!</v>
      </c>
      <c r="M61" s="12" t="e">
        <f>L61*(1+BW61/100)</f>
        <v>#REF!</v>
      </c>
      <c r="N61" s="12">
        <v>0</v>
      </c>
      <c r="O61" s="12" t="e">
        <f>G61*N61</f>
        <v>#REF!</v>
      </c>
      <c r="P61" s="50" t="s">
        <v>577</v>
      </c>
      <c r="Z61" s="12" t="e">
        <f>IF(AQ61="5",BJ61,0)</f>
        <v>#REF!</v>
      </c>
      <c r="AB61" s="12">
        <f>IF(AQ61="1",BH61,0)</f>
        <v>0</v>
      </c>
      <c r="AC61" s="12">
        <f>IF(AQ61="1",BI61,0)</f>
        <v>0</v>
      </c>
      <c r="AD61" s="12">
        <f>IF(AQ61="7",BH61,0)</f>
        <v>0</v>
      </c>
      <c r="AE61" s="12">
        <f>IF(AQ61="7",BI61,0)</f>
        <v>0</v>
      </c>
      <c r="AF61" s="12">
        <f>IF(AQ61="2",BH61,0)</f>
        <v>0</v>
      </c>
      <c r="AG61" s="12">
        <f>IF(AQ61="2",BI61,0)</f>
        <v>0</v>
      </c>
      <c r="AH61" s="12">
        <f>IF(AQ61="0",BJ61,0)</f>
        <v>0</v>
      </c>
      <c r="AI61" s="10" t="s">
        <v>598</v>
      </c>
      <c r="AJ61" s="12">
        <f>IF(AN61=0,L61,0)</f>
        <v>0</v>
      </c>
      <c r="AK61" s="12">
        <f>IF(AN61=12,L61,0)</f>
        <v>0</v>
      </c>
      <c r="AL61" s="12" t="e">
        <f>IF(AN61=21,L61,0)</f>
        <v>#REF!</v>
      </c>
      <c r="AN61" s="12">
        <v>21</v>
      </c>
      <c r="AO61" s="12" t="e">
        <f>H61*0</f>
        <v>#REF!</v>
      </c>
      <c r="AP61" s="12" t="e">
        <f>H61*(1-0)</f>
        <v>#REF!</v>
      </c>
      <c r="AQ61" s="49" t="s">
        <v>564</v>
      </c>
      <c r="AV61" s="12" t="e">
        <f>AW61+AX61</f>
        <v>#REF!</v>
      </c>
      <c r="AW61" s="12" t="e">
        <f>G61*AO61</f>
        <v>#REF!</v>
      </c>
      <c r="AX61" s="12" t="e">
        <f>G61*AP61</f>
        <v>#REF!</v>
      </c>
      <c r="AY61" s="49" t="s">
        <v>574</v>
      </c>
      <c r="AZ61" s="49" t="s">
        <v>600</v>
      </c>
      <c r="BA61" s="10" t="s">
        <v>601</v>
      </c>
      <c r="BC61" s="12" t="e">
        <f>AW61+AX61</f>
        <v>#REF!</v>
      </c>
      <c r="BD61" s="12" t="e">
        <f>H61/(100-BE61)*100</f>
        <v>#REF!</v>
      </c>
      <c r="BE61" s="12">
        <v>0</v>
      </c>
      <c r="BF61" s="12" t="e">
        <f>O61</f>
        <v>#REF!</v>
      </c>
      <c r="BH61" s="12" t="e">
        <f>G61*AO61</f>
        <v>#REF!</v>
      </c>
      <c r="BI61" s="12" t="e">
        <f>G61*AP61</f>
        <v>#REF!</v>
      </c>
      <c r="BJ61" s="12" t="e">
        <f>G61*H61</f>
        <v>#REF!</v>
      </c>
      <c r="BK61" s="12"/>
      <c r="BL61" s="12">
        <v>0</v>
      </c>
      <c r="BW61" s="12" t="str">
        <f>I61</f>
        <v>21</v>
      </c>
      <c r="BX61" s="3" t="s">
        <v>122</v>
      </c>
    </row>
    <row r="62" spans="1:76">
      <c r="A62" s="1" t="s">
        <v>608</v>
      </c>
      <c r="B62" s="2" t="s">
        <v>598</v>
      </c>
      <c r="C62" s="2" t="s">
        <v>124</v>
      </c>
      <c r="D62" s="349" t="s">
        <v>125</v>
      </c>
      <c r="E62" s="342"/>
      <c r="F62" s="2" t="s">
        <v>123</v>
      </c>
      <c r="G62" s="12" t="e">
        <f>#REF!</f>
        <v>#REF!</v>
      </c>
      <c r="H62" s="12" t="e">
        <f>#REF!</f>
        <v>#REF!</v>
      </c>
      <c r="I62" s="49" t="s">
        <v>554</v>
      </c>
      <c r="J62" s="12" t="e">
        <f>G62*AO62</f>
        <v>#REF!</v>
      </c>
      <c r="K62" s="12" t="e">
        <f>G62*AP62</f>
        <v>#REF!</v>
      </c>
      <c r="L62" s="12" t="e">
        <f>G62*H62</f>
        <v>#REF!</v>
      </c>
      <c r="M62" s="12" t="e">
        <f>L62*(1+BW62/100)</f>
        <v>#REF!</v>
      </c>
      <c r="N62" s="12">
        <v>0</v>
      </c>
      <c r="O62" s="12" t="e">
        <f>G62*N62</f>
        <v>#REF!</v>
      </c>
      <c r="P62" s="50" t="s">
        <v>577</v>
      </c>
      <c r="Z62" s="12" t="e">
        <f>IF(AQ62="5",BJ62,0)</f>
        <v>#REF!</v>
      </c>
      <c r="AB62" s="12">
        <f>IF(AQ62="1",BH62,0)</f>
        <v>0</v>
      </c>
      <c r="AC62" s="12">
        <f>IF(AQ62="1",BI62,0)</f>
        <v>0</v>
      </c>
      <c r="AD62" s="12">
        <f>IF(AQ62="7",BH62,0)</f>
        <v>0</v>
      </c>
      <c r="AE62" s="12">
        <f>IF(AQ62="7",BI62,0)</f>
        <v>0</v>
      </c>
      <c r="AF62" s="12">
        <f>IF(AQ62="2",BH62,0)</f>
        <v>0</v>
      </c>
      <c r="AG62" s="12">
        <f>IF(AQ62="2",BI62,0)</f>
        <v>0</v>
      </c>
      <c r="AH62" s="12">
        <f>IF(AQ62="0",BJ62,0)</f>
        <v>0</v>
      </c>
      <c r="AI62" s="10" t="s">
        <v>598</v>
      </c>
      <c r="AJ62" s="12">
        <f>IF(AN62=0,L62,0)</f>
        <v>0</v>
      </c>
      <c r="AK62" s="12">
        <f>IF(AN62=12,L62,0)</f>
        <v>0</v>
      </c>
      <c r="AL62" s="12" t="e">
        <f>IF(AN62=21,L62,0)</f>
        <v>#REF!</v>
      </c>
      <c r="AN62" s="12">
        <v>21</v>
      </c>
      <c r="AO62" s="12" t="e">
        <f>H62*0</f>
        <v>#REF!</v>
      </c>
      <c r="AP62" s="12" t="e">
        <f>H62*(1-0)</f>
        <v>#REF!</v>
      </c>
      <c r="AQ62" s="49" t="s">
        <v>564</v>
      </c>
      <c r="AV62" s="12" t="e">
        <f>AW62+AX62</f>
        <v>#REF!</v>
      </c>
      <c r="AW62" s="12" t="e">
        <f>G62*AO62</f>
        <v>#REF!</v>
      </c>
      <c r="AX62" s="12" t="e">
        <f>G62*AP62</f>
        <v>#REF!</v>
      </c>
      <c r="AY62" s="49" t="s">
        <v>574</v>
      </c>
      <c r="AZ62" s="49" t="s">
        <v>600</v>
      </c>
      <c r="BA62" s="10" t="s">
        <v>601</v>
      </c>
      <c r="BC62" s="12" t="e">
        <f>AW62+AX62</f>
        <v>#REF!</v>
      </c>
      <c r="BD62" s="12" t="e">
        <f>H62/(100-BE62)*100</f>
        <v>#REF!</v>
      </c>
      <c r="BE62" s="12">
        <v>0</v>
      </c>
      <c r="BF62" s="12" t="e">
        <f>O62</f>
        <v>#REF!</v>
      </c>
      <c r="BH62" s="12" t="e">
        <f>G62*AO62</f>
        <v>#REF!</v>
      </c>
      <c r="BI62" s="12" t="e">
        <f>G62*AP62</f>
        <v>#REF!</v>
      </c>
      <c r="BJ62" s="12" t="e">
        <f>G62*H62</f>
        <v>#REF!</v>
      </c>
      <c r="BK62" s="12"/>
      <c r="BL62" s="12">
        <v>0</v>
      </c>
      <c r="BW62" s="12" t="str">
        <f>I62</f>
        <v>21</v>
      </c>
      <c r="BX62" s="3" t="s">
        <v>125</v>
      </c>
    </row>
    <row r="63" spans="1:76">
      <c r="A63" s="46" t="s">
        <v>21</v>
      </c>
      <c r="B63" s="9" t="s">
        <v>598</v>
      </c>
      <c r="C63" s="9" t="s">
        <v>126</v>
      </c>
      <c r="D63" s="359" t="s">
        <v>127</v>
      </c>
      <c r="E63" s="360"/>
      <c r="F63" s="47" t="s">
        <v>20</v>
      </c>
      <c r="G63" s="47" t="s">
        <v>20</v>
      </c>
      <c r="H63" s="47" t="s">
        <v>20</v>
      </c>
      <c r="I63" s="47" t="s">
        <v>20</v>
      </c>
      <c r="J63" s="11" t="e">
        <f>SUM(J64:J90)</f>
        <v>#REF!</v>
      </c>
      <c r="K63" s="11" t="e">
        <f>SUM(K64:K90)</f>
        <v>#REF!</v>
      </c>
      <c r="L63" s="11" t="e">
        <f>SUM(L64:L90)</f>
        <v>#REF!</v>
      </c>
      <c r="M63" s="11" t="e">
        <f>SUM(M64:M90)</f>
        <v>#REF!</v>
      </c>
      <c r="N63" s="10" t="s">
        <v>21</v>
      </c>
      <c r="O63" s="11" t="e">
        <f>SUM(O64:O90)</f>
        <v>#REF!</v>
      </c>
      <c r="P63" s="48" t="s">
        <v>21</v>
      </c>
      <c r="AI63" s="10" t="s">
        <v>598</v>
      </c>
      <c r="AS63" s="11">
        <f>SUM(AJ64:AJ90)</f>
        <v>0</v>
      </c>
      <c r="AT63" s="11">
        <f>SUM(AK64:AK90)</f>
        <v>0</v>
      </c>
      <c r="AU63" s="11" t="e">
        <f>SUM(AL64:AL90)</f>
        <v>#REF!</v>
      </c>
    </row>
    <row r="64" spans="1:76">
      <c r="A64" s="1" t="s">
        <v>609</v>
      </c>
      <c r="B64" s="2" t="s">
        <v>598</v>
      </c>
      <c r="C64" s="2" t="s">
        <v>128</v>
      </c>
      <c r="D64" s="349" t="s">
        <v>129</v>
      </c>
      <c r="E64" s="342"/>
      <c r="F64" s="2" t="s">
        <v>68</v>
      </c>
      <c r="G64" s="12" t="e">
        <f>#REF!</f>
        <v>#REF!</v>
      </c>
      <c r="H64" s="12" t="e">
        <f>#REF!</f>
        <v>#REF!</v>
      </c>
      <c r="I64" s="49" t="s">
        <v>554</v>
      </c>
      <c r="J64" s="12" t="e">
        <f t="shared" ref="J64:J70" si="26">G64*AO64</f>
        <v>#REF!</v>
      </c>
      <c r="K64" s="12" t="e">
        <f t="shared" ref="K64:K70" si="27">G64*AP64</f>
        <v>#REF!</v>
      </c>
      <c r="L64" s="12" t="e">
        <f t="shared" ref="L64:L70" si="28">G64*H64</f>
        <v>#REF!</v>
      </c>
      <c r="M64" s="12" t="e">
        <f t="shared" ref="M64:M70" si="29">L64*(1+BW64/100)</f>
        <v>#REF!</v>
      </c>
      <c r="N64" s="12">
        <v>4.0000000000000002E-4</v>
      </c>
      <c r="O64" s="12" t="e">
        <f t="shared" ref="O64:O70" si="30">G64*N64</f>
        <v>#REF!</v>
      </c>
      <c r="P64" s="50" t="s">
        <v>605</v>
      </c>
      <c r="Z64" s="12">
        <f t="shared" ref="Z64:Z70" si="31">IF(AQ64="5",BJ64,0)</f>
        <v>0</v>
      </c>
      <c r="AB64" s="12">
        <f t="shared" ref="AB64:AB70" si="32">IF(AQ64="1",BH64,0)</f>
        <v>0</v>
      </c>
      <c r="AC64" s="12">
        <f t="shared" ref="AC64:AC70" si="33">IF(AQ64="1",BI64,0)</f>
        <v>0</v>
      </c>
      <c r="AD64" s="12" t="e">
        <f t="shared" ref="AD64:AD70" si="34">IF(AQ64="7",BH64,0)</f>
        <v>#REF!</v>
      </c>
      <c r="AE64" s="12" t="e">
        <f t="shared" ref="AE64:AE70" si="35">IF(AQ64="7",BI64,0)</f>
        <v>#REF!</v>
      </c>
      <c r="AF64" s="12">
        <f t="shared" ref="AF64:AF70" si="36">IF(AQ64="2",BH64,0)</f>
        <v>0</v>
      </c>
      <c r="AG64" s="12">
        <f t="shared" ref="AG64:AG70" si="37">IF(AQ64="2",BI64,0)</f>
        <v>0</v>
      </c>
      <c r="AH64" s="12">
        <f t="shared" ref="AH64:AH70" si="38">IF(AQ64="0",BJ64,0)</f>
        <v>0</v>
      </c>
      <c r="AI64" s="10" t="s">
        <v>598</v>
      </c>
      <c r="AJ64" s="12">
        <f t="shared" ref="AJ64:AJ70" si="39">IF(AN64=0,L64,0)</f>
        <v>0</v>
      </c>
      <c r="AK64" s="12">
        <f t="shared" ref="AK64:AK70" si="40">IF(AN64=12,L64,0)</f>
        <v>0</v>
      </c>
      <c r="AL64" s="12" t="e">
        <f t="shared" ref="AL64:AL70" si="41">IF(AN64=21,L64,0)</f>
        <v>#REF!</v>
      </c>
      <c r="AN64" s="12">
        <v>21</v>
      </c>
      <c r="AO64" s="12" t="e">
        <f>H64*0.83596424</f>
        <v>#REF!</v>
      </c>
      <c r="AP64" s="12" t="e">
        <f>H64*(1-0.83596424)</f>
        <v>#REF!</v>
      </c>
      <c r="AQ64" s="49" t="s">
        <v>567</v>
      </c>
      <c r="AV64" s="12" t="e">
        <f t="shared" ref="AV64:AV70" si="42">AW64+AX64</f>
        <v>#REF!</v>
      </c>
      <c r="AW64" s="12" t="e">
        <f t="shared" ref="AW64:AW70" si="43">G64*AO64</f>
        <v>#REF!</v>
      </c>
      <c r="AX64" s="12" t="e">
        <f t="shared" ref="AX64:AX70" si="44">G64*AP64</f>
        <v>#REF!</v>
      </c>
      <c r="AY64" s="49" t="s">
        <v>610</v>
      </c>
      <c r="AZ64" s="49" t="s">
        <v>611</v>
      </c>
      <c r="BA64" s="10" t="s">
        <v>601</v>
      </c>
      <c r="BC64" s="12" t="e">
        <f t="shared" ref="BC64:BC70" si="45">AW64+AX64</f>
        <v>#REF!</v>
      </c>
      <c r="BD64" s="12" t="e">
        <f t="shared" ref="BD64:BD70" si="46">H64/(100-BE64)*100</f>
        <v>#REF!</v>
      </c>
      <c r="BE64" s="12">
        <v>0</v>
      </c>
      <c r="BF64" s="12" t="e">
        <f t="shared" ref="BF64:BF70" si="47">O64</f>
        <v>#REF!</v>
      </c>
      <c r="BH64" s="12" t="e">
        <f t="shared" ref="BH64:BH70" si="48">G64*AO64</f>
        <v>#REF!</v>
      </c>
      <c r="BI64" s="12" t="e">
        <f t="shared" ref="BI64:BI70" si="49">G64*AP64</f>
        <v>#REF!</v>
      </c>
      <c r="BJ64" s="12" t="e">
        <f t="shared" ref="BJ64:BJ70" si="50">G64*H64</f>
        <v>#REF!</v>
      </c>
      <c r="BK64" s="12"/>
      <c r="BL64" s="12">
        <v>722</v>
      </c>
      <c r="BW64" s="12" t="str">
        <f t="shared" ref="BW64:BW70" si="51">I64</f>
        <v>21</v>
      </c>
      <c r="BX64" s="3" t="s">
        <v>129</v>
      </c>
    </row>
    <row r="65" spans="1:76">
      <c r="A65" s="1" t="s">
        <v>612</v>
      </c>
      <c r="B65" s="2" t="s">
        <v>598</v>
      </c>
      <c r="C65" s="2" t="s">
        <v>130</v>
      </c>
      <c r="D65" s="349" t="s">
        <v>131</v>
      </c>
      <c r="E65" s="342"/>
      <c r="F65" s="2" t="s">
        <v>68</v>
      </c>
      <c r="G65" s="12" t="e">
        <f>#REF!</f>
        <v>#REF!</v>
      </c>
      <c r="H65" s="12" t="e">
        <f>#REF!</f>
        <v>#REF!</v>
      </c>
      <c r="I65" s="49" t="s">
        <v>554</v>
      </c>
      <c r="J65" s="12" t="e">
        <f t="shared" si="26"/>
        <v>#REF!</v>
      </c>
      <c r="K65" s="12" t="e">
        <f t="shared" si="27"/>
        <v>#REF!</v>
      </c>
      <c r="L65" s="12" t="e">
        <f t="shared" si="28"/>
        <v>#REF!</v>
      </c>
      <c r="M65" s="12" t="e">
        <f t="shared" si="29"/>
        <v>#REF!</v>
      </c>
      <c r="N65" s="12">
        <v>0</v>
      </c>
      <c r="O65" s="12" t="e">
        <f t="shared" si="30"/>
        <v>#REF!</v>
      </c>
      <c r="P65" s="50" t="s">
        <v>577</v>
      </c>
      <c r="Z65" s="12">
        <f t="shared" si="31"/>
        <v>0</v>
      </c>
      <c r="AB65" s="12">
        <f t="shared" si="32"/>
        <v>0</v>
      </c>
      <c r="AC65" s="12">
        <f t="shared" si="33"/>
        <v>0</v>
      </c>
      <c r="AD65" s="12" t="e">
        <f t="shared" si="34"/>
        <v>#REF!</v>
      </c>
      <c r="AE65" s="12" t="e">
        <f t="shared" si="35"/>
        <v>#REF!</v>
      </c>
      <c r="AF65" s="12">
        <f t="shared" si="36"/>
        <v>0</v>
      </c>
      <c r="AG65" s="12">
        <f t="shared" si="37"/>
        <v>0</v>
      </c>
      <c r="AH65" s="12">
        <f t="shared" si="38"/>
        <v>0</v>
      </c>
      <c r="AI65" s="10" t="s">
        <v>598</v>
      </c>
      <c r="AJ65" s="12">
        <f t="shared" si="39"/>
        <v>0</v>
      </c>
      <c r="AK65" s="12">
        <f t="shared" si="40"/>
        <v>0</v>
      </c>
      <c r="AL65" s="12" t="e">
        <f t="shared" si="41"/>
        <v>#REF!</v>
      </c>
      <c r="AN65" s="12">
        <v>21</v>
      </c>
      <c r="AO65" s="12" t="e">
        <f>H65*0</f>
        <v>#REF!</v>
      </c>
      <c r="AP65" s="12" t="e">
        <f>H65*(1-0)</f>
        <v>#REF!</v>
      </c>
      <c r="AQ65" s="49" t="s">
        <v>567</v>
      </c>
      <c r="AV65" s="12" t="e">
        <f t="shared" si="42"/>
        <v>#REF!</v>
      </c>
      <c r="AW65" s="12" t="e">
        <f t="shared" si="43"/>
        <v>#REF!</v>
      </c>
      <c r="AX65" s="12" t="e">
        <f t="shared" si="44"/>
        <v>#REF!</v>
      </c>
      <c r="AY65" s="49" t="s">
        <v>610</v>
      </c>
      <c r="AZ65" s="49" t="s">
        <v>611</v>
      </c>
      <c r="BA65" s="10" t="s">
        <v>601</v>
      </c>
      <c r="BC65" s="12" t="e">
        <f t="shared" si="45"/>
        <v>#REF!</v>
      </c>
      <c r="BD65" s="12" t="e">
        <f t="shared" si="46"/>
        <v>#REF!</v>
      </c>
      <c r="BE65" s="12">
        <v>0</v>
      </c>
      <c r="BF65" s="12" t="e">
        <f t="shared" si="47"/>
        <v>#REF!</v>
      </c>
      <c r="BH65" s="12" t="e">
        <f t="shared" si="48"/>
        <v>#REF!</v>
      </c>
      <c r="BI65" s="12" t="e">
        <f t="shared" si="49"/>
        <v>#REF!</v>
      </c>
      <c r="BJ65" s="12" t="e">
        <f t="shared" si="50"/>
        <v>#REF!</v>
      </c>
      <c r="BK65" s="12"/>
      <c r="BL65" s="12">
        <v>722</v>
      </c>
      <c r="BW65" s="12" t="str">
        <f t="shared" si="51"/>
        <v>21</v>
      </c>
      <c r="BX65" s="3" t="s">
        <v>131</v>
      </c>
    </row>
    <row r="66" spans="1:76">
      <c r="A66" s="1" t="s">
        <v>613</v>
      </c>
      <c r="B66" s="2" t="s">
        <v>598</v>
      </c>
      <c r="C66" s="2" t="s">
        <v>132</v>
      </c>
      <c r="D66" s="349" t="s">
        <v>133</v>
      </c>
      <c r="E66" s="342"/>
      <c r="F66" s="2" t="s">
        <v>68</v>
      </c>
      <c r="G66" s="12" t="e">
        <f>#REF!</f>
        <v>#REF!</v>
      </c>
      <c r="H66" s="12" t="e">
        <f>#REF!</f>
        <v>#REF!</v>
      </c>
      <c r="I66" s="49" t="s">
        <v>554</v>
      </c>
      <c r="J66" s="12" t="e">
        <f t="shared" si="26"/>
        <v>#REF!</v>
      </c>
      <c r="K66" s="12" t="e">
        <f t="shared" si="27"/>
        <v>#REF!</v>
      </c>
      <c r="L66" s="12" t="e">
        <f t="shared" si="28"/>
        <v>#REF!</v>
      </c>
      <c r="M66" s="12" t="e">
        <f t="shared" si="29"/>
        <v>#REF!</v>
      </c>
      <c r="N66" s="12">
        <v>6.7400000000000003E-3</v>
      </c>
      <c r="O66" s="12" t="e">
        <f t="shared" si="30"/>
        <v>#REF!</v>
      </c>
      <c r="P66" s="50" t="s">
        <v>605</v>
      </c>
      <c r="Z66" s="12">
        <f t="shared" si="31"/>
        <v>0</v>
      </c>
      <c r="AB66" s="12">
        <f t="shared" si="32"/>
        <v>0</v>
      </c>
      <c r="AC66" s="12">
        <f t="shared" si="33"/>
        <v>0</v>
      </c>
      <c r="AD66" s="12" t="e">
        <f t="shared" si="34"/>
        <v>#REF!</v>
      </c>
      <c r="AE66" s="12" t="e">
        <f t="shared" si="35"/>
        <v>#REF!</v>
      </c>
      <c r="AF66" s="12">
        <f t="shared" si="36"/>
        <v>0</v>
      </c>
      <c r="AG66" s="12">
        <f t="shared" si="37"/>
        <v>0</v>
      </c>
      <c r="AH66" s="12">
        <f t="shared" si="38"/>
        <v>0</v>
      </c>
      <c r="AI66" s="10" t="s">
        <v>598</v>
      </c>
      <c r="AJ66" s="12">
        <f t="shared" si="39"/>
        <v>0</v>
      </c>
      <c r="AK66" s="12">
        <f t="shared" si="40"/>
        <v>0</v>
      </c>
      <c r="AL66" s="12" t="e">
        <f t="shared" si="41"/>
        <v>#REF!</v>
      </c>
      <c r="AN66" s="12">
        <v>21</v>
      </c>
      <c r="AO66" s="12" t="e">
        <f>H66*0.832205323</f>
        <v>#REF!</v>
      </c>
      <c r="AP66" s="12" t="e">
        <f>H66*(1-0.832205323)</f>
        <v>#REF!</v>
      </c>
      <c r="AQ66" s="49" t="s">
        <v>567</v>
      </c>
      <c r="AV66" s="12" t="e">
        <f t="shared" si="42"/>
        <v>#REF!</v>
      </c>
      <c r="AW66" s="12" t="e">
        <f t="shared" si="43"/>
        <v>#REF!</v>
      </c>
      <c r="AX66" s="12" t="e">
        <f t="shared" si="44"/>
        <v>#REF!</v>
      </c>
      <c r="AY66" s="49" t="s">
        <v>610</v>
      </c>
      <c r="AZ66" s="49" t="s">
        <v>611</v>
      </c>
      <c r="BA66" s="10" t="s">
        <v>601</v>
      </c>
      <c r="BC66" s="12" t="e">
        <f t="shared" si="45"/>
        <v>#REF!</v>
      </c>
      <c r="BD66" s="12" t="e">
        <f t="shared" si="46"/>
        <v>#REF!</v>
      </c>
      <c r="BE66" s="12">
        <v>0</v>
      </c>
      <c r="BF66" s="12" t="e">
        <f t="shared" si="47"/>
        <v>#REF!</v>
      </c>
      <c r="BH66" s="12" t="e">
        <f t="shared" si="48"/>
        <v>#REF!</v>
      </c>
      <c r="BI66" s="12" t="e">
        <f t="shared" si="49"/>
        <v>#REF!</v>
      </c>
      <c r="BJ66" s="12" t="e">
        <f t="shared" si="50"/>
        <v>#REF!</v>
      </c>
      <c r="BK66" s="12"/>
      <c r="BL66" s="12">
        <v>722</v>
      </c>
      <c r="BW66" s="12" t="str">
        <f t="shared" si="51"/>
        <v>21</v>
      </c>
      <c r="BX66" s="3" t="s">
        <v>133</v>
      </c>
    </row>
    <row r="67" spans="1:76">
      <c r="A67" s="1" t="s">
        <v>278</v>
      </c>
      <c r="B67" s="2" t="s">
        <v>598</v>
      </c>
      <c r="C67" s="2" t="s">
        <v>134</v>
      </c>
      <c r="D67" s="349" t="s">
        <v>135</v>
      </c>
      <c r="E67" s="342"/>
      <c r="F67" s="2" t="s">
        <v>63</v>
      </c>
      <c r="G67" s="12" t="e">
        <f>#REF!</f>
        <v>#REF!</v>
      </c>
      <c r="H67" s="12" t="e">
        <f>#REF!</f>
        <v>#REF!</v>
      </c>
      <c r="I67" s="49" t="s">
        <v>554</v>
      </c>
      <c r="J67" s="12" t="e">
        <f t="shared" si="26"/>
        <v>#REF!</v>
      </c>
      <c r="K67" s="12" t="e">
        <f t="shared" si="27"/>
        <v>#REF!</v>
      </c>
      <c r="L67" s="12" t="e">
        <f t="shared" si="28"/>
        <v>#REF!</v>
      </c>
      <c r="M67" s="12" t="e">
        <f t="shared" si="29"/>
        <v>#REF!</v>
      </c>
      <c r="N67" s="12">
        <v>6.5399999999999998E-3</v>
      </c>
      <c r="O67" s="12" t="e">
        <f t="shared" si="30"/>
        <v>#REF!</v>
      </c>
      <c r="P67" s="50" t="s">
        <v>577</v>
      </c>
      <c r="Z67" s="12">
        <f t="shared" si="31"/>
        <v>0</v>
      </c>
      <c r="AB67" s="12">
        <f t="shared" si="32"/>
        <v>0</v>
      </c>
      <c r="AC67" s="12">
        <f t="shared" si="33"/>
        <v>0</v>
      </c>
      <c r="AD67" s="12" t="e">
        <f t="shared" si="34"/>
        <v>#REF!</v>
      </c>
      <c r="AE67" s="12" t="e">
        <f t="shared" si="35"/>
        <v>#REF!</v>
      </c>
      <c r="AF67" s="12">
        <f t="shared" si="36"/>
        <v>0</v>
      </c>
      <c r="AG67" s="12">
        <f t="shared" si="37"/>
        <v>0</v>
      </c>
      <c r="AH67" s="12">
        <f t="shared" si="38"/>
        <v>0</v>
      </c>
      <c r="AI67" s="10" t="s">
        <v>598</v>
      </c>
      <c r="AJ67" s="12">
        <f t="shared" si="39"/>
        <v>0</v>
      </c>
      <c r="AK67" s="12">
        <f t="shared" si="40"/>
        <v>0</v>
      </c>
      <c r="AL67" s="12" t="e">
        <f t="shared" si="41"/>
        <v>#REF!</v>
      </c>
      <c r="AN67" s="12">
        <v>21</v>
      </c>
      <c r="AO67" s="12" t="e">
        <f>H67*0.539518875</f>
        <v>#REF!</v>
      </c>
      <c r="AP67" s="12" t="e">
        <f>H67*(1-0.539518875)</f>
        <v>#REF!</v>
      </c>
      <c r="AQ67" s="49" t="s">
        <v>567</v>
      </c>
      <c r="AV67" s="12" t="e">
        <f t="shared" si="42"/>
        <v>#REF!</v>
      </c>
      <c r="AW67" s="12" t="e">
        <f t="shared" si="43"/>
        <v>#REF!</v>
      </c>
      <c r="AX67" s="12" t="e">
        <f t="shared" si="44"/>
        <v>#REF!</v>
      </c>
      <c r="AY67" s="49" t="s">
        <v>610</v>
      </c>
      <c r="AZ67" s="49" t="s">
        <v>611</v>
      </c>
      <c r="BA67" s="10" t="s">
        <v>601</v>
      </c>
      <c r="BC67" s="12" t="e">
        <f t="shared" si="45"/>
        <v>#REF!</v>
      </c>
      <c r="BD67" s="12" t="e">
        <f t="shared" si="46"/>
        <v>#REF!</v>
      </c>
      <c r="BE67" s="12">
        <v>0</v>
      </c>
      <c r="BF67" s="12" t="e">
        <f t="shared" si="47"/>
        <v>#REF!</v>
      </c>
      <c r="BH67" s="12" t="e">
        <f t="shared" si="48"/>
        <v>#REF!</v>
      </c>
      <c r="BI67" s="12" t="e">
        <f t="shared" si="49"/>
        <v>#REF!</v>
      </c>
      <c r="BJ67" s="12" t="e">
        <f t="shared" si="50"/>
        <v>#REF!</v>
      </c>
      <c r="BK67" s="12"/>
      <c r="BL67" s="12">
        <v>722</v>
      </c>
      <c r="BW67" s="12" t="str">
        <f t="shared" si="51"/>
        <v>21</v>
      </c>
      <c r="BX67" s="3" t="s">
        <v>135</v>
      </c>
    </row>
    <row r="68" spans="1:76">
      <c r="A68" s="1" t="s">
        <v>614</v>
      </c>
      <c r="B68" s="2" t="s">
        <v>598</v>
      </c>
      <c r="C68" s="2" t="s">
        <v>136</v>
      </c>
      <c r="D68" s="349" t="s">
        <v>137</v>
      </c>
      <c r="E68" s="342"/>
      <c r="F68" s="2" t="s">
        <v>63</v>
      </c>
      <c r="G68" s="12" t="e">
        <f>#REF!</f>
        <v>#REF!</v>
      </c>
      <c r="H68" s="12" t="e">
        <f>#REF!</f>
        <v>#REF!</v>
      </c>
      <c r="I68" s="49" t="s">
        <v>554</v>
      </c>
      <c r="J68" s="12" t="e">
        <f t="shared" si="26"/>
        <v>#REF!</v>
      </c>
      <c r="K68" s="12" t="e">
        <f t="shared" si="27"/>
        <v>#REF!</v>
      </c>
      <c r="L68" s="12" t="e">
        <f t="shared" si="28"/>
        <v>#REF!</v>
      </c>
      <c r="M68" s="12" t="e">
        <f t="shared" si="29"/>
        <v>#REF!</v>
      </c>
      <c r="N68" s="12">
        <v>5.3499999999999997E-3</v>
      </c>
      <c r="O68" s="12" t="e">
        <f t="shared" si="30"/>
        <v>#REF!</v>
      </c>
      <c r="P68" s="50" t="s">
        <v>577</v>
      </c>
      <c r="Z68" s="12">
        <f t="shared" si="31"/>
        <v>0</v>
      </c>
      <c r="AB68" s="12">
        <f t="shared" si="32"/>
        <v>0</v>
      </c>
      <c r="AC68" s="12">
        <f t="shared" si="33"/>
        <v>0</v>
      </c>
      <c r="AD68" s="12" t="e">
        <f t="shared" si="34"/>
        <v>#REF!</v>
      </c>
      <c r="AE68" s="12" t="e">
        <f t="shared" si="35"/>
        <v>#REF!</v>
      </c>
      <c r="AF68" s="12">
        <f t="shared" si="36"/>
        <v>0</v>
      </c>
      <c r="AG68" s="12">
        <f t="shared" si="37"/>
        <v>0</v>
      </c>
      <c r="AH68" s="12">
        <f t="shared" si="38"/>
        <v>0</v>
      </c>
      <c r="AI68" s="10" t="s">
        <v>598</v>
      </c>
      <c r="AJ68" s="12">
        <f t="shared" si="39"/>
        <v>0</v>
      </c>
      <c r="AK68" s="12">
        <f t="shared" si="40"/>
        <v>0</v>
      </c>
      <c r="AL68" s="12" t="e">
        <f t="shared" si="41"/>
        <v>#REF!</v>
      </c>
      <c r="AN68" s="12">
        <v>21</v>
      </c>
      <c r="AO68" s="12" t="e">
        <f>H68*0.334193548</f>
        <v>#REF!</v>
      </c>
      <c r="AP68" s="12" t="e">
        <f>H68*(1-0.334193548)</f>
        <v>#REF!</v>
      </c>
      <c r="AQ68" s="49" t="s">
        <v>567</v>
      </c>
      <c r="AV68" s="12" t="e">
        <f t="shared" si="42"/>
        <v>#REF!</v>
      </c>
      <c r="AW68" s="12" t="e">
        <f t="shared" si="43"/>
        <v>#REF!</v>
      </c>
      <c r="AX68" s="12" t="e">
        <f t="shared" si="44"/>
        <v>#REF!</v>
      </c>
      <c r="AY68" s="49" t="s">
        <v>610</v>
      </c>
      <c r="AZ68" s="49" t="s">
        <v>611</v>
      </c>
      <c r="BA68" s="10" t="s">
        <v>601</v>
      </c>
      <c r="BC68" s="12" t="e">
        <f t="shared" si="45"/>
        <v>#REF!</v>
      </c>
      <c r="BD68" s="12" t="e">
        <f t="shared" si="46"/>
        <v>#REF!</v>
      </c>
      <c r="BE68" s="12">
        <v>0</v>
      </c>
      <c r="BF68" s="12" t="e">
        <f t="shared" si="47"/>
        <v>#REF!</v>
      </c>
      <c r="BH68" s="12" t="e">
        <f t="shared" si="48"/>
        <v>#REF!</v>
      </c>
      <c r="BI68" s="12" t="e">
        <f t="shared" si="49"/>
        <v>#REF!</v>
      </c>
      <c r="BJ68" s="12" t="e">
        <f t="shared" si="50"/>
        <v>#REF!</v>
      </c>
      <c r="BK68" s="12"/>
      <c r="BL68" s="12">
        <v>722</v>
      </c>
      <c r="BW68" s="12" t="str">
        <f t="shared" si="51"/>
        <v>21</v>
      </c>
      <c r="BX68" s="3" t="s">
        <v>137</v>
      </c>
    </row>
    <row r="69" spans="1:76">
      <c r="A69" s="1" t="s">
        <v>615</v>
      </c>
      <c r="B69" s="2" t="s">
        <v>598</v>
      </c>
      <c r="C69" s="2" t="s">
        <v>138</v>
      </c>
      <c r="D69" s="349" t="s">
        <v>139</v>
      </c>
      <c r="E69" s="342"/>
      <c r="F69" s="2" t="s">
        <v>63</v>
      </c>
      <c r="G69" s="12" t="e">
        <f>#REF!</f>
        <v>#REF!</v>
      </c>
      <c r="H69" s="12" t="e">
        <f>#REF!</f>
        <v>#REF!</v>
      </c>
      <c r="I69" s="49" t="s">
        <v>554</v>
      </c>
      <c r="J69" s="12" t="e">
        <f t="shared" si="26"/>
        <v>#REF!</v>
      </c>
      <c r="K69" s="12" t="e">
        <f t="shared" si="27"/>
        <v>#REF!</v>
      </c>
      <c r="L69" s="12" t="e">
        <f t="shared" si="28"/>
        <v>#REF!</v>
      </c>
      <c r="M69" s="12" t="e">
        <f t="shared" si="29"/>
        <v>#REF!</v>
      </c>
      <c r="N69" s="12">
        <v>5.1799999999999997E-3</v>
      </c>
      <c r="O69" s="12" t="e">
        <f t="shared" si="30"/>
        <v>#REF!</v>
      </c>
      <c r="P69" s="50" t="s">
        <v>577</v>
      </c>
      <c r="Z69" s="12">
        <f t="shared" si="31"/>
        <v>0</v>
      </c>
      <c r="AB69" s="12">
        <f t="shared" si="32"/>
        <v>0</v>
      </c>
      <c r="AC69" s="12">
        <f t="shared" si="33"/>
        <v>0</v>
      </c>
      <c r="AD69" s="12" t="e">
        <f t="shared" si="34"/>
        <v>#REF!</v>
      </c>
      <c r="AE69" s="12" t="e">
        <f t="shared" si="35"/>
        <v>#REF!</v>
      </c>
      <c r="AF69" s="12">
        <f t="shared" si="36"/>
        <v>0</v>
      </c>
      <c r="AG69" s="12">
        <f t="shared" si="37"/>
        <v>0</v>
      </c>
      <c r="AH69" s="12">
        <f t="shared" si="38"/>
        <v>0</v>
      </c>
      <c r="AI69" s="10" t="s">
        <v>598</v>
      </c>
      <c r="AJ69" s="12">
        <f t="shared" si="39"/>
        <v>0</v>
      </c>
      <c r="AK69" s="12">
        <f t="shared" si="40"/>
        <v>0</v>
      </c>
      <c r="AL69" s="12" t="e">
        <f t="shared" si="41"/>
        <v>#REF!</v>
      </c>
      <c r="AN69" s="12">
        <v>21</v>
      </c>
      <c r="AO69" s="12" t="e">
        <f>H69*0.255282651</f>
        <v>#REF!</v>
      </c>
      <c r="AP69" s="12" t="e">
        <f>H69*(1-0.255282651)</f>
        <v>#REF!</v>
      </c>
      <c r="AQ69" s="49" t="s">
        <v>567</v>
      </c>
      <c r="AV69" s="12" t="e">
        <f t="shared" si="42"/>
        <v>#REF!</v>
      </c>
      <c r="AW69" s="12" t="e">
        <f t="shared" si="43"/>
        <v>#REF!</v>
      </c>
      <c r="AX69" s="12" t="e">
        <f t="shared" si="44"/>
        <v>#REF!</v>
      </c>
      <c r="AY69" s="49" t="s">
        <v>610</v>
      </c>
      <c r="AZ69" s="49" t="s">
        <v>611</v>
      </c>
      <c r="BA69" s="10" t="s">
        <v>601</v>
      </c>
      <c r="BC69" s="12" t="e">
        <f t="shared" si="45"/>
        <v>#REF!</v>
      </c>
      <c r="BD69" s="12" t="e">
        <f t="shared" si="46"/>
        <v>#REF!</v>
      </c>
      <c r="BE69" s="12">
        <v>0</v>
      </c>
      <c r="BF69" s="12" t="e">
        <f t="shared" si="47"/>
        <v>#REF!</v>
      </c>
      <c r="BH69" s="12" t="e">
        <f t="shared" si="48"/>
        <v>#REF!</v>
      </c>
      <c r="BI69" s="12" t="e">
        <f t="shared" si="49"/>
        <v>#REF!</v>
      </c>
      <c r="BJ69" s="12" t="e">
        <f t="shared" si="50"/>
        <v>#REF!</v>
      </c>
      <c r="BK69" s="12"/>
      <c r="BL69" s="12">
        <v>722</v>
      </c>
      <c r="BW69" s="12" t="str">
        <f t="shared" si="51"/>
        <v>21</v>
      </c>
      <c r="BX69" s="3" t="s">
        <v>139</v>
      </c>
    </row>
    <row r="70" spans="1:76">
      <c r="A70" s="1" t="s">
        <v>616</v>
      </c>
      <c r="B70" s="2" t="s">
        <v>598</v>
      </c>
      <c r="C70" s="2" t="s">
        <v>140</v>
      </c>
      <c r="D70" s="349" t="s">
        <v>141</v>
      </c>
      <c r="E70" s="342"/>
      <c r="F70" s="2" t="s">
        <v>63</v>
      </c>
      <c r="G70" s="12" t="e">
        <f>#REF!</f>
        <v>#REF!</v>
      </c>
      <c r="H70" s="12" t="e">
        <f>#REF!</f>
        <v>#REF!</v>
      </c>
      <c r="I70" s="49" t="s">
        <v>554</v>
      </c>
      <c r="J70" s="12" t="e">
        <f t="shared" si="26"/>
        <v>#REF!</v>
      </c>
      <c r="K70" s="12" t="e">
        <f t="shared" si="27"/>
        <v>#REF!</v>
      </c>
      <c r="L70" s="12" t="e">
        <f t="shared" si="28"/>
        <v>#REF!</v>
      </c>
      <c r="M70" s="12" t="e">
        <f t="shared" si="29"/>
        <v>#REF!</v>
      </c>
      <c r="N70" s="12">
        <v>1.4999999999999999E-4</v>
      </c>
      <c r="O70" s="12" t="e">
        <f t="shared" si="30"/>
        <v>#REF!</v>
      </c>
      <c r="P70" s="50" t="s">
        <v>577</v>
      </c>
      <c r="Z70" s="12">
        <f t="shared" si="31"/>
        <v>0</v>
      </c>
      <c r="AB70" s="12">
        <f t="shared" si="32"/>
        <v>0</v>
      </c>
      <c r="AC70" s="12">
        <f t="shared" si="33"/>
        <v>0</v>
      </c>
      <c r="AD70" s="12" t="e">
        <f t="shared" si="34"/>
        <v>#REF!</v>
      </c>
      <c r="AE70" s="12" t="e">
        <f t="shared" si="35"/>
        <v>#REF!</v>
      </c>
      <c r="AF70" s="12">
        <f t="shared" si="36"/>
        <v>0</v>
      </c>
      <c r="AG70" s="12">
        <f t="shared" si="37"/>
        <v>0</v>
      </c>
      <c r="AH70" s="12">
        <f t="shared" si="38"/>
        <v>0</v>
      </c>
      <c r="AI70" s="10" t="s">
        <v>598</v>
      </c>
      <c r="AJ70" s="12">
        <f t="shared" si="39"/>
        <v>0</v>
      </c>
      <c r="AK70" s="12">
        <f t="shared" si="40"/>
        <v>0</v>
      </c>
      <c r="AL70" s="12" t="e">
        <f t="shared" si="41"/>
        <v>#REF!</v>
      </c>
      <c r="AN70" s="12">
        <v>21</v>
      </c>
      <c r="AO70" s="12" t="e">
        <f>H70*0.382440318</f>
        <v>#REF!</v>
      </c>
      <c r="AP70" s="12" t="e">
        <f>H70*(1-0.382440318)</f>
        <v>#REF!</v>
      </c>
      <c r="AQ70" s="49" t="s">
        <v>567</v>
      </c>
      <c r="AV70" s="12" t="e">
        <f t="shared" si="42"/>
        <v>#REF!</v>
      </c>
      <c r="AW70" s="12" t="e">
        <f t="shared" si="43"/>
        <v>#REF!</v>
      </c>
      <c r="AX70" s="12" t="e">
        <f t="shared" si="44"/>
        <v>#REF!</v>
      </c>
      <c r="AY70" s="49" t="s">
        <v>610</v>
      </c>
      <c r="AZ70" s="49" t="s">
        <v>611</v>
      </c>
      <c r="BA70" s="10" t="s">
        <v>601</v>
      </c>
      <c r="BC70" s="12" t="e">
        <f t="shared" si="45"/>
        <v>#REF!</v>
      </c>
      <c r="BD70" s="12" t="e">
        <f t="shared" si="46"/>
        <v>#REF!</v>
      </c>
      <c r="BE70" s="12">
        <v>0</v>
      </c>
      <c r="BF70" s="12" t="e">
        <f t="shared" si="47"/>
        <v>#REF!</v>
      </c>
      <c r="BH70" s="12" t="e">
        <f t="shared" si="48"/>
        <v>#REF!</v>
      </c>
      <c r="BI70" s="12" t="e">
        <f t="shared" si="49"/>
        <v>#REF!</v>
      </c>
      <c r="BJ70" s="12" t="e">
        <f t="shared" si="50"/>
        <v>#REF!</v>
      </c>
      <c r="BK70" s="12"/>
      <c r="BL70" s="12">
        <v>722</v>
      </c>
      <c r="BW70" s="12" t="str">
        <f t="shared" si="51"/>
        <v>21</v>
      </c>
      <c r="BX70" s="3" t="s">
        <v>141</v>
      </c>
    </row>
    <row r="71" spans="1:76">
      <c r="A71" s="51"/>
      <c r="C71" s="13" t="s">
        <v>117</v>
      </c>
      <c r="D71" s="363" t="s">
        <v>142</v>
      </c>
      <c r="E71" s="364"/>
      <c r="F71" s="364"/>
      <c r="G71" s="364"/>
      <c r="H71" s="364"/>
      <c r="I71" s="364"/>
      <c r="J71" s="364"/>
      <c r="K71" s="364"/>
      <c r="L71" s="364"/>
      <c r="M71" s="364"/>
      <c r="N71" s="364"/>
      <c r="O71" s="364"/>
      <c r="P71" s="365"/>
      <c r="BX71" s="14" t="s">
        <v>142</v>
      </c>
    </row>
    <row r="72" spans="1:76">
      <c r="A72" s="1" t="s">
        <v>617</v>
      </c>
      <c r="B72" s="2" t="s">
        <v>598</v>
      </c>
      <c r="C72" s="2" t="s">
        <v>143</v>
      </c>
      <c r="D72" s="349" t="s">
        <v>144</v>
      </c>
      <c r="E72" s="342"/>
      <c r="F72" s="2" t="s">
        <v>63</v>
      </c>
      <c r="G72" s="12" t="e">
        <f>#REF!</f>
        <v>#REF!</v>
      </c>
      <c r="H72" s="12" t="e">
        <f>#REF!</f>
        <v>#REF!</v>
      </c>
      <c r="I72" s="49" t="s">
        <v>554</v>
      </c>
      <c r="J72" s="12" t="e">
        <f>G72*AO72</f>
        <v>#REF!</v>
      </c>
      <c r="K72" s="12" t="e">
        <f>G72*AP72</f>
        <v>#REF!</v>
      </c>
      <c r="L72" s="12" t="e">
        <f>G72*H72</f>
        <v>#REF!</v>
      </c>
      <c r="M72" s="12" t="e">
        <f>L72*(1+BW72/100)</f>
        <v>#REF!</v>
      </c>
      <c r="N72" s="12">
        <v>6.9999999999999994E-5</v>
      </c>
      <c r="O72" s="12" t="e">
        <f>G72*N72</f>
        <v>#REF!</v>
      </c>
      <c r="P72" s="50" t="s">
        <v>577</v>
      </c>
      <c r="Z72" s="12">
        <f>IF(AQ72="5",BJ72,0)</f>
        <v>0</v>
      </c>
      <c r="AB72" s="12">
        <f>IF(AQ72="1",BH72,0)</f>
        <v>0</v>
      </c>
      <c r="AC72" s="12">
        <f>IF(AQ72="1",BI72,0)</f>
        <v>0</v>
      </c>
      <c r="AD72" s="12" t="e">
        <f>IF(AQ72="7",BH72,0)</f>
        <v>#REF!</v>
      </c>
      <c r="AE72" s="12" t="e">
        <f>IF(AQ72="7",BI72,0)</f>
        <v>#REF!</v>
      </c>
      <c r="AF72" s="12">
        <f>IF(AQ72="2",BH72,0)</f>
        <v>0</v>
      </c>
      <c r="AG72" s="12">
        <f>IF(AQ72="2",BI72,0)</f>
        <v>0</v>
      </c>
      <c r="AH72" s="12">
        <f>IF(AQ72="0",BJ72,0)</f>
        <v>0</v>
      </c>
      <c r="AI72" s="10" t="s">
        <v>598</v>
      </c>
      <c r="AJ72" s="12">
        <f>IF(AN72=0,L72,0)</f>
        <v>0</v>
      </c>
      <c r="AK72" s="12">
        <f>IF(AN72=12,L72,0)</f>
        <v>0</v>
      </c>
      <c r="AL72" s="12" t="e">
        <f>IF(AN72=21,L72,0)</f>
        <v>#REF!</v>
      </c>
      <c r="AN72" s="12">
        <v>21</v>
      </c>
      <c r="AO72" s="12" t="e">
        <f>H72*0.599757869</f>
        <v>#REF!</v>
      </c>
      <c r="AP72" s="12" t="e">
        <f>H72*(1-0.599757869)</f>
        <v>#REF!</v>
      </c>
      <c r="AQ72" s="49" t="s">
        <v>567</v>
      </c>
      <c r="AV72" s="12" t="e">
        <f>AW72+AX72</f>
        <v>#REF!</v>
      </c>
      <c r="AW72" s="12" t="e">
        <f>G72*AO72</f>
        <v>#REF!</v>
      </c>
      <c r="AX72" s="12" t="e">
        <f>G72*AP72</f>
        <v>#REF!</v>
      </c>
      <c r="AY72" s="49" t="s">
        <v>610</v>
      </c>
      <c r="AZ72" s="49" t="s">
        <v>611</v>
      </c>
      <c r="BA72" s="10" t="s">
        <v>601</v>
      </c>
      <c r="BC72" s="12" t="e">
        <f>AW72+AX72</f>
        <v>#REF!</v>
      </c>
      <c r="BD72" s="12" t="e">
        <f>H72/(100-BE72)*100</f>
        <v>#REF!</v>
      </c>
      <c r="BE72" s="12">
        <v>0</v>
      </c>
      <c r="BF72" s="12" t="e">
        <f>O72</f>
        <v>#REF!</v>
      </c>
      <c r="BH72" s="12" t="e">
        <f>G72*AO72</f>
        <v>#REF!</v>
      </c>
      <c r="BI72" s="12" t="e">
        <f>G72*AP72</f>
        <v>#REF!</v>
      </c>
      <c r="BJ72" s="12" t="e">
        <f>G72*H72</f>
        <v>#REF!</v>
      </c>
      <c r="BK72" s="12"/>
      <c r="BL72" s="12">
        <v>722</v>
      </c>
      <c r="BW72" s="12" t="str">
        <f>I72</f>
        <v>21</v>
      </c>
      <c r="BX72" s="3" t="s">
        <v>144</v>
      </c>
    </row>
    <row r="73" spans="1:76">
      <c r="A73" s="51"/>
      <c r="C73" s="13" t="s">
        <v>117</v>
      </c>
      <c r="D73" s="363" t="s">
        <v>142</v>
      </c>
      <c r="E73" s="364"/>
      <c r="F73" s="364"/>
      <c r="G73" s="364"/>
      <c r="H73" s="364"/>
      <c r="I73" s="364"/>
      <c r="J73" s="364"/>
      <c r="K73" s="364"/>
      <c r="L73" s="364"/>
      <c r="M73" s="364"/>
      <c r="N73" s="364"/>
      <c r="O73" s="364"/>
      <c r="P73" s="365"/>
      <c r="BX73" s="14" t="s">
        <v>142</v>
      </c>
    </row>
    <row r="74" spans="1:76">
      <c r="A74" s="1" t="s">
        <v>618</v>
      </c>
      <c r="B74" s="2" t="s">
        <v>598</v>
      </c>
      <c r="C74" s="2" t="s">
        <v>145</v>
      </c>
      <c r="D74" s="349" t="s">
        <v>146</v>
      </c>
      <c r="E74" s="342"/>
      <c r="F74" s="2" t="s">
        <v>63</v>
      </c>
      <c r="G74" s="12" t="e">
        <f>#REF!</f>
        <v>#REF!</v>
      </c>
      <c r="H74" s="12" t="e">
        <f>#REF!</f>
        <v>#REF!</v>
      </c>
      <c r="I74" s="49" t="s">
        <v>554</v>
      </c>
      <c r="J74" s="12" t="e">
        <f>G74*AO74</f>
        <v>#REF!</v>
      </c>
      <c r="K74" s="12" t="e">
        <f>G74*AP74</f>
        <v>#REF!</v>
      </c>
      <c r="L74" s="12" t="e">
        <f>G74*H74</f>
        <v>#REF!</v>
      </c>
      <c r="M74" s="12" t="e">
        <f>L74*(1+BW74/100)</f>
        <v>#REF!</v>
      </c>
      <c r="N74" s="12">
        <v>4.0000000000000003E-5</v>
      </c>
      <c r="O74" s="12" t="e">
        <f>G74*N74</f>
        <v>#REF!</v>
      </c>
      <c r="P74" s="50" t="s">
        <v>577</v>
      </c>
      <c r="Z74" s="12">
        <f>IF(AQ74="5",BJ74,0)</f>
        <v>0</v>
      </c>
      <c r="AB74" s="12">
        <f>IF(AQ74="1",BH74,0)</f>
        <v>0</v>
      </c>
      <c r="AC74" s="12">
        <f>IF(AQ74="1",BI74,0)</f>
        <v>0</v>
      </c>
      <c r="AD74" s="12" t="e">
        <f>IF(AQ74="7",BH74,0)</f>
        <v>#REF!</v>
      </c>
      <c r="AE74" s="12" t="e">
        <f>IF(AQ74="7",BI74,0)</f>
        <v>#REF!</v>
      </c>
      <c r="AF74" s="12">
        <f>IF(AQ74="2",BH74,0)</f>
        <v>0</v>
      </c>
      <c r="AG74" s="12">
        <f>IF(AQ74="2",BI74,0)</f>
        <v>0</v>
      </c>
      <c r="AH74" s="12">
        <f>IF(AQ74="0",BJ74,0)</f>
        <v>0</v>
      </c>
      <c r="AI74" s="10" t="s">
        <v>598</v>
      </c>
      <c r="AJ74" s="12">
        <f>IF(AN74=0,L74,0)</f>
        <v>0</v>
      </c>
      <c r="AK74" s="12">
        <f>IF(AN74=12,L74,0)</f>
        <v>0</v>
      </c>
      <c r="AL74" s="12" t="e">
        <f>IF(AN74=21,L74,0)</f>
        <v>#REF!</v>
      </c>
      <c r="AN74" s="12">
        <v>21</v>
      </c>
      <c r="AO74" s="12" t="e">
        <f>H74*0.354296875</f>
        <v>#REF!</v>
      </c>
      <c r="AP74" s="12" t="e">
        <f>H74*(1-0.354296875)</f>
        <v>#REF!</v>
      </c>
      <c r="AQ74" s="49" t="s">
        <v>567</v>
      </c>
      <c r="AV74" s="12" t="e">
        <f>AW74+AX74</f>
        <v>#REF!</v>
      </c>
      <c r="AW74" s="12" t="e">
        <f>G74*AO74</f>
        <v>#REF!</v>
      </c>
      <c r="AX74" s="12" t="e">
        <f>G74*AP74</f>
        <v>#REF!</v>
      </c>
      <c r="AY74" s="49" t="s">
        <v>610</v>
      </c>
      <c r="AZ74" s="49" t="s">
        <v>611</v>
      </c>
      <c r="BA74" s="10" t="s">
        <v>601</v>
      </c>
      <c r="BC74" s="12" t="e">
        <f>AW74+AX74</f>
        <v>#REF!</v>
      </c>
      <c r="BD74" s="12" t="e">
        <f>H74/(100-BE74)*100</f>
        <v>#REF!</v>
      </c>
      <c r="BE74" s="12">
        <v>0</v>
      </c>
      <c r="BF74" s="12" t="e">
        <f>O74</f>
        <v>#REF!</v>
      </c>
      <c r="BH74" s="12" t="e">
        <f>G74*AO74</f>
        <v>#REF!</v>
      </c>
      <c r="BI74" s="12" t="e">
        <f>G74*AP74</f>
        <v>#REF!</v>
      </c>
      <c r="BJ74" s="12" t="e">
        <f>G74*H74</f>
        <v>#REF!</v>
      </c>
      <c r="BK74" s="12"/>
      <c r="BL74" s="12">
        <v>722</v>
      </c>
      <c r="BW74" s="12" t="str">
        <f>I74</f>
        <v>21</v>
      </c>
      <c r="BX74" s="3" t="s">
        <v>146</v>
      </c>
    </row>
    <row r="75" spans="1:76">
      <c r="A75" s="51"/>
      <c r="C75" s="13" t="s">
        <v>117</v>
      </c>
      <c r="D75" s="363" t="s">
        <v>142</v>
      </c>
      <c r="E75" s="364"/>
      <c r="F75" s="364"/>
      <c r="G75" s="364"/>
      <c r="H75" s="364"/>
      <c r="I75" s="364"/>
      <c r="J75" s="364"/>
      <c r="K75" s="364"/>
      <c r="L75" s="364"/>
      <c r="M75" s="364"/>
      <c r="N75" s="364"/>
      <c r="O75" s="364"/>
      <c r="P75" s="365"/>
      <c r="BX75" s="14" t="s">
        <v>142</v>
      </c>
    </row>
    <row r="76" spans="1:76">
      <c r="A76" s="1" t="s">
        <v>619</v>
      </c>
      <c r="B76" s="2" t="s">
        <v>598</v>
      </c>
      <c r="C76" s="2" t="s">
        <v>147</v>
      </c>
      <c r="D76" s="349" t="s">
        <v>148</v>
      </c>
      <c r="E76" s="342"/>
      <c r="F76" s="2" t="s">
        <v>63</v>
      </c>
      <c r="G76" s="12" t="e">
        <f>#REF!</f>
        <v>#REF!</v>
      </c>
      <c r="H76" s="12" t="e">
        <f>#REF!</f>
        <v>#REF!</v>
      </c>
      <c r="I76" s="49" t="s">
        <v>554</v>
      </c>
      <c r="J76" s="12" t="e">
        <f>G76*AO76</f>
        <v>#REF!</v>
      </c>
      <c r="K76" s="12" t="e">
        <f>G76*AP76</f>
        <v>#REF!</v>
      </c>
      <c r="L76" s="12" t="e">
        <f>G76*H76</f>
        <v>#REF!</v>
      </c>
      <c r="M76" s="12" t="e">
        <f>L76*(1+BW76/100)</f>
        <v>#REF!</v>
      </c>
      <c r="N76" s="12">
        <v>5.0000000000000002E-5</v>
      </c>
      <c r="O76" s="12" t="e">
        <f>G76*N76</f>
        <v>#REF!</v>
      </c>
      <c r="P76" s="50" t="s">
        <v>577</v>
      </c>
      <c r="Z76" s="12">
        <f>IF(AQ76="5",BJ76,0)</f>
        <v>0</v>
      </c>
      <c r="AB76" s="12">
        <f>IF(AQ76="1",BH76,0)</f>
        <v>0</v>
      </c>
      <c r="AC76" s="12">
        <f>IF(AQ76="1",BI76,0)</f>
        <v>0</v>
      </c>
      <c r="AD76" s="12" t="e">
        <f>IF(AQ76="7",BH76,0)</f>
        <v>#REF!</v>
      </c>
      <c r="AE76" s="12" t="e">
        <f>IF(AQ76="7",BI76,0)</f>
        <v>#REF!</v>
      </c>
      <c r="AF76" s="12">
        <f>IF(AQ76="2",BH76,0)</f>
        <v>0</v>
      </c>
      <c r="AG76" s="12">
        <f>IF(AQ76="2",BI76,0)</f>
        <v>0</v>
      </c>
      <c r="AH76" s="12">
        <f>IF(AQ76="0",BJ76,0)</f>
        <v>0</v>
      </c>
      <c r="AI76" s="10" t="s">
        <v>598</v>
      </c>
      <c r="AJ76" s="12">
        <f>IF(AN76=0,L76,0)</f>
        <v>0</v>
      </c>
      <c r="AK76" s="12">
        <f>IF(AN76=12,L76,0)</f>
        <v>0</v>
      </c>
      <c r="AL76" s="12" t="e">
        <f>IF(AN76=21,L76,0)</f>
        <v>#REF!</v>
      </c>
      <c r="AN76" s="12">
        <v>21</v>
      </c>
      <c r="AO76" s="12" t="e">
        <f>H76*0.582856508</f>
        <v>#REF!</v>
      </c>
      <c r="AP76" s="12" t="e">
        <f>H76*(1-0.582856508)</f>
        <v>#REF!</v>
      </c>
      <c r="AQ76" s="49" t="s">
        <v>567</v>
      </c>
      <c r="AV76" s="12" t="e">
        <f>AW76+AX76</f>
        <v>#REF!</v>
      </c>
      <c r="AW76" s="12" t="e">
        <f>G76*AO76</f>
        <v>#REF!</v>
      </c>
      <c r="AX76" s="12" t="e">
        <f>G76*AP76</f>
        <v>#REF!</v>
      </c>
      <c r="AY76" s="49" t="s">
        <v>610</v>
      </c>
      <c r="AZ76" s="49" t="s">
        <v>611</v>
      </c>
      <c r="BA76" s="10" t="s">
        <v>601</v>
      </c>
      <c r="BC76" s="12" t="e">
        <f>AW76+AX76</f>
        <v>#REF!</v>
      </c>
      <c r="BD76" s="12" t="e">
        <f>H76/(100-BE76)*100</f>
        <v>#REF!</v>
      </c>
      <c r="BE76" s="12">
        <v>0</v>
      </c>
      <c r="BF76" s="12" t="e">
        <f>O76</f>
        <v>#REF!</v>
      </c>
      <c r="BH76" s="12" t="e">
        <f>G76*AO76</f>
        <v>#REF!</v>
      </c>
      <c r="BI76" s="12" t="e">
        <f>G76*AP76</f>
        <v>#REF!</v>
      </c>
      <c r="BJ76" s="12" t="e">
        <f>G76*H76</f>
        <v>#REF!</v>
      </c>
      <c r="BK76" s="12"/>
      <c r="BL76" s="12">
        <v>722</v>
      </c>
      <c r="BW76" s="12" t="str">
        <f>I76</f>
        <v>21</v>
      </c>
      <c r="BX76" s="3" t="s">
        <v>148</v>
      </c>
    </row>
    <row r="77" spans="1:76">
      <c r="A77" s="51"/>
      <c r="C77" s="13" t="s">
        <v>117</v>
      </c>
      <c r="D77" s="363" t="s">
        <v>142</v>
      </c>
      <c r="E77" s="364"/>
      <c r="F77" s="364"/>
      <c r="G77" s="364"/>
      <c r="H77" s="364"/>
      <c r="I77" s="364"/>
      <c r="J77" s="364"/>
      <c r="K77" s="364"/>
      <c r="L77" s="364"/>
      <c r="M77" s="364"/>
      <c r="N77" s="364"/>
      <c r="O77" s="364"/>
      <c r="P77" s="365"/>
      <c r="BX77" s="14" t="s">
        <v>142</v>
      </c>
    </row>
    <row r="78" spans="1:76">
      <c r="A78" s="1" t="s">
        <v>620</v>
      </c>
      <c r="B78" s="2" t="s">
        <v>598</v>
      </c>
      <c r="C78" s="2" t="s">
        <v>149</v>
      </c>
      <c r="D78" s="349" t="s">
        <v>150</v>
      </c>
      <c r="E78" s="342"/>
      <c r="F78" s="2" t="s">
        <v>68</v>
      </c>
      <c r="G78" s="12" t="e">
        <f>#REF!</f>
        <v>#REF!</v>
      </c>
      <c r="H78" s="12" t="e">
        <f>#REF!</f>
        <v>#REF!</v>
      </c>
      <c r="I78" s="49" t="s">
        <v>554</v>
      </c>
      <c r="J78" s="12" t="e">
        <f>G78*AO78</f>
        <v>#REF!</v>
      </c>
      <c r="K78" s="12" t="e">
        <f>G78*AP78</f>
        <v>#REF!</v>
      </c>
      <c r="L78" s="12" t="e">
        <f>G78*H78</f>
        <v>#REF!</v>
      </c>
      <c r="M78" s="12" t="e">
        <f>L78*(1+BW78/100)</f>
        <v>#REF!</v>
      </c>
      <c r="N78" s="12">
        <v>3.2000000000000003E-4</v>
      </c>
      <c r="O78" s="12" t="e">
        <f>G78*N78</f>
        <v>#REF!</v>
      </c>
      <c r="P78" s="50" t="s">
        <v>605</v>
      </c>
      <c r="Z78" s="12">
        <f>IF(AQ78="5",BJ78,0)</f>
        <v>0</v>
      </c>
      <c r="AB78" s="12">
        <f>IF(AQ78="1",BH78,0)</f>
        <v>0</v>
      </c>
      <c r="AC78" s="12">
        <f>IF(AQ78="1",BI78,0)</f>
        <v>0</v>
      </c>
      <c r="AD78" s="12" t="e">
        <f>IF(AQ78="7",BH78,0)</f>
        <v>#REF!</v>
      </c>
      <c r="AE78" s="12" t="e">
        <f>IF(AQ78="7",BI78,0)</f>
        <v>#REF!</v>
      </c>
      <c r="AF78" s="12">
        <f>IF(AQ78="2",BH78,0)</f>
        <v>0</v>
      </c>
      <c r="AG78" s="12">
        <f>IF(AQ78="2",BI78,0)</f>
        <v>0</v>
      </c>
      <c r="AH78" s="12">
        <f>IF(AQ78="0",BJ78,0)</f>
        <v>0</v>
      </c>
      <c r="AI78" s="10" t="s">
        <v>598</v>
      </c>
      <c r="AJ78" s="12">
        <f>IF(AN78=0,L78,0)</f>
        <v>0</v>
      </c>
      <c r="AK78" s="12">
        <f>IF(AN78=12,L78,0)</f>
        <v>0</v>
      </c>
      <c r="AL78" s="12" t="e">
        <f>IF(AN78=21,L78,0)</f>
        <v>#REF!</v>
      </c>
      <c r="AN78" s="12">
        <v>21</v>
      </c>
      <c r="AO78" s="12" t="e">
        <f>H78*0.767472727</f>
        <v>#REF!</v>
      </c>
      <c r="AP78" s="12" t="e">
        <f>H78*(1-0.767472727)</f>
        <v>#REF!</v>
      </c>
      <c r="AQ78" s="49" t="s">
        <v>567</v>
      </c>
      <c r="AV78" s="12" t="e">
        <f>AW78+AX78</f>
        <v>#REF!</v>
      </c>
      <c r="AW78" s="12" t="e">
        <f>G78*AO78</f>
        <v>#REF!</v>
      </c>
      <c r="AX78" s="12" t="e">
        <f>G78*AP78</f>
        <v>#REF!</v>
      </c>
      <c r="AY78" s="49" t="s">
        <v>610</v>
      </c>
      <c r="AZ78" s="49" t="s">
        <v>611</v>
      </c>
      <c r="BA78" s="10" t="s">
        <v>601</v>
      </c>
      <c r="BC78" s="12" t="e">
        <f>AW78+AX78</f>
        <v>#REF!</v>
      </c>
      <c r="BD78" s="12" t="e">
        <f>H78/(100-BE78)*100</f>
        <v>#REF!</v>
      </c>
      <c r="BE78" s="12">
        <v>0</v>
      </c>
      <c r="BF78" s="12" t="e">
        <f>O78</f>
        <v>#REF!</v>
      </c>
      <c r="BH78" s="12" t="e">
        <f>G78*AO78</f>
        <v>#REF!</v>
      </c>
      <c r="BI78" s="12" t="e">
        <f>G78*AP78</f>
        <v>#REF!</v>
      </c>
      <c r="BJ78" s="12" t="e">
        <f>G78*H78</f>
        <v>#REF!</v>
      </c>
      <c r="BK78" s="12"/>
      <c r="BL78" s="12">
        <v>722</v>
      </c>
      <c r="BW78" s="12" t="str">
        <f>I78</f>
        <v>21</v>
      </c>
      <c r="BX78" s="3" t="s">
        <v>150</v>
      </c>
    </row>
    <row r="79" spans="1:76">
      <c r="A79" s="1" t="s">
        <v>621</v>
      </c>
      <c r="B79" s="2" t="s">
        <v>598</v>
      </c>
      <c r="C79" s="2" t="s">
        <v>151</v>
      </c>
      <c r="D79" s="349" t="s">
        <v>152</v>
      </c>
      <c r="E79" s="342"/>
      <c r="F79" s="2" t="s">
        <v>68</v>
      </c>
      <c r="G79" s="12" t="e">
        <f>#REF!</f>
        <v>#REF!</v>
      </c>
      <c r="H79" s="12" t="e">
        <f>#REF!</f>
        <v>#REF!</v>
      </c>
      <c r="I79" s="49" t="s">
        <v>554</v>
      </c>
      <c r="J79" s="12" t="e">
        <f>G79*AO79</f>
        <v>#REF!</v>
      </c>
      <c r="K79" s="12" t="e">
        <f>G79*AP79</f>
        <v>#REF!</v>
      </c>
      <c r="L79" s="12" t="e">
        <f>G79*H79</f>
        <v>#REF!</v>
      </c>
      <c r="M79" s="12" t="e">
        <f>L79*(1+BW79/100)</f>
        <v>#REF!</v>
      </c>
      <c r="N79" s="12">
        <v>2.0000000000000001E-4</v>
      </c>
      <c r="O79" s="12" t="e">
        <f>G79*N79</f>
        <v>#REF!</v>
      </c>
      <c r="P79" s="50" t="s">
        <v>605</v>
      </c>
      <c r="Z79" s="12">
        <f>IF(AQ79="5",BJ79,0)</f>
        <v>0</v>
      </c>
      <c r="AB79" s="12">
        <f>IF(AQ79="1",BH79,0)</f>
        <v>0</v>
      </c>
      <c r="AC79" s="12">
        <f>IF(AQ79="1",BI79,0)</f>
        <v>0</v>
      </c>
      <c r="AD79" s="12" t="e">
        <f>IF(AQ79="7",BH79,0)</f>
        <v>#REF!</v>
      </c>
      <c r="AE79" s="12" t="e">
        <f>IF(AQ79="7",BI79,0)</f>
        <v>#REF!</v>
      </c>
      <c r="AF79" s="12">
        <f>IF(AQ79="2",BH79,0)</f>
        <v>0</v>
      </c>
      <c r="AG79" s="12">
        <f>IF(AQ79="2",BI79,0)</f>
        <v>0</v>
      </c>
      <c r="AH79" s="12">
        <f>IF(AQ79="0",BJ79,0)</f>
        <v>0</v>
      </c>
      <c r="AI79" s="10" t="s">
        <v>598</v>
      </c>
      <c r="AJ79" s="12">
        <f>IF(AN79=0,L79,0)</f>
        <v>0</v>
      </c>
      <c r="AK79" s="12">
        <f>IF(AN79=12,L79,0)</f>
        <v>0</v>
      </c>
      <c r="AL79" s="12" t="e">
        <f>IF(AN79=21,L79,0)</f>
        <v>#REF!</v>
      </c>
      <c r="AN79" s="12">
        <v>21</v>
      </c>
      <c r="AO79" s="12" t="e">
        <f>H79*0.676952909</f>
        <v>#REF!</v>
      </c>
      <c r="AP79" s="12" t="e">
        <f>H79*(1-0.676952909)</f>
        <v>#REF!</v>
      </c>
      <c r="AQ79" s="49" t="s">
        <v>567</v>
      </c>
      <c r="AV79" s="12" t="e">
        <f>AW79+AX79</f>
        <v>#REF!</v>
      </c>
      <c r="AW79" s="12" t="e">
        <f>G79*AO79</f>
        <v>#REF!</v>
      </c>
      <c r="AX79" s="12" t="e">
        <f>G79*AP79</f>
        <v>#REF!</v>
      </c>
      <c r="AY79" s="49" t="s">
        <v>610</v>
      </c>
      <c r="AZ79" s="49" t="s">
        <v>611</v>
      </c>
      <c r="BA79" s="10" t="s">
        <v>601</v>
      </c>
      <c r="BC79" s="12" t="e">
        <f>AW79+AX79</f>
        <v>#REF!</v>
      </c>
      <c r="BD79" s="12" t="e">
        <f>H79/(100-BE79)*100</f>
        <v>#REF!</v>
      </c>
      <c r="BE79" s="12">
        <v>0</v>
      </c>
      <c r="BF79" s="12" t="e">
        <f>O79</f>
        <v>#REF!</v>
      </c>
      <c r="BH79" s="12" t="e">
        <f>G79*AO79</f>
        <v>#REF!</v>
      </c>
      <c r="BI79" s="12" t="e">
        <f>G79*AP79</f>
        <v>#REF!</v>
      </c>
      <c r="BJ79" s="12" t="e">
        <f>G79*H79</f>
        <v>#REF!</v>
      </c>
      <c r="BK79" s="12"/>
      <c r="BL79" s="12">
        <v>722</v>
      </c>
      <c r="BW79" s="12" t="str">
        <f>I79</f>
        <v>21</v>
      </c>
      <c r="BX79" s="3" t="s">
        <v>152</v>
      </c>
    </row>
    <row r="80" spans="1:76">
      <c r="A80" s="1" t="s">
        <v>622</v>
      </c>
      <c r="B80" s="2" t="s">
        <v>598</v>
      </c>
      <c r="C80" s="2" t="s">
        <v>153</v>
      </c>
      <c r="D80" s="349" t="s">
        <v>154</v>
      </c>
      <c r="E80" s="342"/>
      <c r="F80" s="2" t="s">
        <v>68</v>
      </c>
      <c r="G80" s="12" t="e">
        <f>#REF!</f>
        <v>#REF!</v>
      </c>
      <c r="H80" s="12" t="e">
        <f>#REF!</f>
        <v>#REF!</v>
      </c>
      <c r="I80" s="49" t="s">
        <v>554</v>
      </c>
      <c r="J80" s="12" t="e">
        <f>G80*AO80</f>
        <v>#REF!</v>
      </c>
      <c r="K80" s="12" t="e">
        <f>G80*AP80</f>
        <v>#REF!</v>
      </c>
      <c r="L80" s="12" t="e">
        <f>G80*H80</f>
        <v>#REF!</v>
      </c>
      <c r="M80" s="12" t="e">
        <f>L80*(1+BW80/100)</f>
        <v>#REF!</v>
      </c>
      <c r="N80" s="12">
        <v>2.4399999999999999E-3</v>
      </c>
      <c r="O80" s="12" t="e">
        <f>G80*N80</f>
        <v>#REF!</v>
      </c>
      <c r="P80" s="50" t="s">
        <v>577</v>
      </c>
      <c r="Z80" s="12">
        <f>IF(AQ80="5",BJ80,0)</f>
        <v>0</v>
      </c>
      <c r="AB80" s="12">
        <f>IF(AQ80="1",BH80,0)</f>
        <v>0</v>
      </c>
      <c r="AC80" s="12">
        <f>IF(AQ80="1",BI80,0)</f>
        <v>0</v>
      </c>
      <c r="AD80" s="12" t="e">
        <f>IF(AQ80="7",BH80,0)</f>
        <v>#REF!</v>
      </c>
      <c r="AE80" s="12" t="e">
        <f>IF(AQ80="7",BI80,0)</f>
        <v>#REF!</v>
      </c>
      <c r="AF80" s="12">
        <f>IF(AQ80="2",BH80,0)</f>
        <v>0</v>
      </c>
      <c r="AG80" s="12">
        <f>IF(AQ80="2",BI80,0)</f>
        <v>0</v>
      </c>
      <c r="AH80" s="12">
        <f>IF(AQ80="0",BJ80,0)</f>
        <v>0</v>
      </c>
      <c r="AI80" s="10" t="s">
        <v>598</v>
      </c>
      <c r="AJ80" s="12">
        <f>IF(AN80=0,L80,0)</f>
        <v>0</v>
      </c>
      <c r="AK80" s="12">
        <f>IF(AN80=12,L80,0)</f>
        <v>0</v>
      </c>
      <c r="AL80" s="12" t="e">
        <f>IF(AN80=21,L80,0)</f>
        <v>#REF!</v>
      </c>
      <c r="AN80" s="12">
        <v>21</v>
      </c>
      <c r="AO80" s="12" t="e">
        <f>H80*0.796047315</f>
        <v>#REF!</v>
      </c>
      <c r="AP80" s="12" t="e">
        <f>H80*(1-0.796047315)</f>
        <v>#REF!</v>
      </c>
      <c r="AQ80" s="49" t="s">
        <v>567</v>
      </c>
      <c r="AV80" s="12" t="e">
        <f>AW80+AX80</f>
        <v>#REF!</v>
      </c>
      <c r="AW80" s="12" t="e">
        <f>G80*AO80</f>
        <v>#REF!</v>
      </c>
      <c r="AX80" s="12" t="e">
        <f>G80*AP80</f>
        <v>#REF!</v>
      </c>
      <c r="AY80" s="49" t="s">
        <v>610</v>
      </c>
      <c r="AZ80" s="49" t="s">
        <v>611</v>
      </c>
      <c r="BA80" s="10" t="s">
        <v>601</v>
      </c>
      <c r="BC80" s="12" t="e">
        <f>AW80+AX80</f>
        <v>#REF!</v>
      </c>
      <c r="BD80" s="12" t="e">
        <f>H80/(100-BE80)*100</f>
        <v>#REF!</v>
      </c>
      <c r="BE80" s="12">
        <v>0</v>
      </c>
      <c r="BF80" s="12" t="e">
        <f>O80</f>
        <v>#REF!</v>
      </c>
      <c r="BH80" s="12" t="e">
        <f>G80*AO80</f>
        <v>#REF!</v>
      </c>
      <c r="BI80" s="12" t="e">
        <f>G80*AP80</f>
        <v>#REF!</v>
      </c>
      <c r="BJ80" s="12" t="e">
        <f>G80*H80</f>
        <v>#REF!</v>
      </c>
      <c r="BK80" s="12"/>
      <c r="BL80" s="12">
        <v>722</v>
      </c>
      <c r="BW80" s="12" t="str">
        <f>I80</f>
        <v>21</v>
      </c>
      <c r="BX80" s="3" t="s">
        <v>154</v>
      </c>
    </row>
    <row r="81" spans="1:76">
      <c r="A81" s="51"/>
      <c r="C81" s="13" t="s">
        <v>117</v>
      </c>
      <c r="D81" s="363" t="s">
        <v>155</v>
      </c>
      <c r="E81" s="364"/>
      <c r="F81" s="364"/>
      <c r="G81" s="364"/>
      <c r="H81" s="364"/>
      <c r="I81" s="364"/>
      <c r="J81" s="364"/>
      <c r="K81" s="364"/>
      <c r="L81" s="364"/>
      <c r="M81" s="364"/>
      <c r="N81" s="364"/>
      <c r="O81" s="364"/>
      <c r="P81" s="365"/>
      <c r="BX81" s="14" t="s">
        <v>155</v>
      </c>
    </row>
    <row r="82" spans="1:76">
      <c r="A82" s="1" t="s">
        <v>623</v>
      </c>
      <c r="B82" s="2" t="s">
        <v>598</v>
      </c>
      <c r="C82" s="2" t="s">
        <v>156</v>
      </c>
      <c r="D82" s="349" t="s">
        <v>157</v>
      </c>
      <c r="E82" s="342"/>
      <c r="F82" s="2" t="s">
        <v>68</v>
      </c>
      <c r="G82" s="12" t="e">
        <f>#REF!</f>
        <v>#REF!</v>
      </c>
      <c r="H82" s="12" t="e">
        <f>#REF!</f>
        <v>#REF!</v>
      </c>
      <c r="I82" s="49" t="s">
        <v>554</v>
      </c>
      <c r="J82" s="12" t="e">
        <f t="shared" ref="J82:J90" si="52">G82*AO82</f>
        <v>#REF!</v>
      </c>
      <c r="K82" s="12" t="e">
        <f t="shared" ref="K82:K90" si="53">G82*AP82</f>
        <v>#REF!</v>
      </c>
      <c r="L82" s="12" t="e">
        <f t="shared" ref="L82:L90" si="54">G82*H82</f>
        <v>#REF!</v>
      </c>
      <c r="M82" s="12" t="e">
        <f t="shared" ref="M82:M90" si="55">L82*(1+BW82/100)</f>
        <v>#REF!</v>
      </c>
      <c r="N82" s="12">
        <v>3.6999999999999999E-4</v>
      </c>
      <c r="O82" s="12" t="e">
        <f t="shared" ref="O82:O90" si="56">G82*N82</f>
        <v>#REF!</v>
      </c>
      <c r="P82" s="50" t="s">
        <v>605</v>
      </c>
      <c r="Z82" s="12">
        <f t="shared" ref="Z82:Z90" si="57">IF(AQ82="5",BJ82,0)</f>
        <v>0</v>
      </c>
      <c r="AB82" s="12">
        <f t="shared" ref="AB82:AB90" si="58">IF(AQ82="1",BH82,0)</f>
        <v>0</v>
      </c>
      <c r="AC82" s="12">
        <f t="shared" ref="AC82:AC90" si="59">IF(AQ82="1",BI82,0)</f>
        <v>0</v>
      </c>
      <c r="AD82" s="12" t="e">
        <f t="shared" ref="AD82:AD90" si="60">IF(AQ82="7",BH82,0)</f>
        <v>#REF!</v>
      </c>
      <c r="AE82" s="12" t="e">
        <f t="shared" ref="AE82:AE90" si="61">IF(AQ82="7",BI82,0)</f>
        <v>#REF!</v>
      </c>
      <c r="AF82" s="12">
        <f t="shared" ref="AF82:AF90" si="62">IF(AQ82="2",BH82,0)</f>
        <v>0</v>
      </c>
      <c r="AG82" s="12">
        <f t="shared" ref="AG82:AG90" si="63">IF(AQ82="2",BI82,0)</f>
        <v>0</v>
      </c>
      <c r="AH82" s="12">
        <f t="shared" ref="AH82:AH90" si="64">IF(AQ82="0",BJ82,0)</f>
        <v>0</v>
      </c>
      <c r="AI82" s="10" t="s">
        <v>598</v>
      </c>
      <c r="AJ82" s="12">
        <f t="shared" ref="AJ82:AJ90" si="65">IF(AN82=0,L82,0)</f>
        <v>0</v>
      </c>
      <c r="AK82" s="12">
        <f t="shared" ref="AK82:AK90" si="66">IF(AN82=12,L82,0)</f>
        <v>0</v>
      </c>
      <c r="AL82" s="12" t="e">
        <f t="shared" ref="AL82:AL90" si="67">IF(AN82=21,L82,0)</f>
        <v>#REF!</v>
      </c>
      <c r="AN82" s="12">
        <v>21</v>
      </c>
      <c r="AO82" s="12" t="e">
        <f>H82*0.901698693</f>
        <v>#REF!</v>
      </c>
      <c r="AP82" s="12" t="e">
        <f>H82*(1-0.901698693)</f>
        <v>#REF!</v>
      </c>
      <c r="AQ82" s="49" t="s">
        <v>567</v>
      </c>
      <c r="AV82" s="12" t="e">
        <f t="shared" ref="AV82:AV90" si="68">AW82+AX82</f>
        <v>#REF!</v>
      </c>
      <c r="AW82" s="12" t="e">
        <f t="shared" ref="AW82:AW90" si="69">G82*AO82</f>
        <v>#REF!</v>
      </c>
      <c r="AX82" s="12" t="e">
        <f t="shared" ref="AX82:AX90" si="70">G82*AP82</f>
        <v>#REF!</v>
      </c>
      <c r="AY82" s="49" t="s">
        <v>610</v>
      </c>
      <c r="AZ82" s="49" t="s">
        <v>611</v>
      </c>
      <c r="BA82" s="10" t="s">
        <v>601</v>
      </c>
      <c r="BC82" s="12" t="e">
        <f t="shared" ref="BC82:BC90" si="71">AW82+AX82</f>
        <v>#REF!</v>
      </c>
      <c r="BD82" s="12" t="e">
        <f t="shared" ref="BD82:BD90" si="72">H82/(100-BE82)*100</f>
        <v>#REF!</v>
      </c>
      <c r="BE82" s="12">
        <v>0</v>
      </c>
      <c r="BF82" s="12" t="e">
        <f t="shared" ref="BF82:BF90" si="73">O82</f>
        <v>#REF!</v>
      </c>
      <c r="BH82" s="12" t="e">
        <f t="shared" ref="BH82:BH90" si="74">G82*AO82</f>
        <v>#REF!</v>
      </c>
      <c r="BI82" s="12" t="e">
        <f t="shared" ref="BI82:BI90" si="75">G82*AP82</f>
        <v>#REF!</v>
      </c>
      <c r="BJ82" s="12" t="e">
        <f t="shared" ref="BJ82:BJ90" si="76">G82*H82</f>
        <v>#REF!</v>
      </c>
      <c r="BK82" s="12"/>
      <c r="BL82" s="12">
        <v>722</v>
      </c>
      <c r="BW82" s="12" t="str">
        <f t="shared" ref="BW82:BW90" si="77">I82</f>
        <v>21</v>
      </c>
      <c r="BX82" s="3" t="s">
        <v>157</v>
      </c>
    </row>
    <row r="83" spans="1:76">
      <c r="A83" s="1" t="s">
        <v>624</v>
      </c>
      <c r="B83" s="2" t="s">
        <v>598</v>
      </c>
      <c r="C83" s="2" t="s">
        <v>158</v>
      </c>
      <c r="D83" s="349" t="s">
        <v>159</v>
      </c>
      <c r="E83" s="342"/>
      <c r="F83" s="2" t="s">
        <v>68</v>
      </c>
      <c r="G83" s="12" t="e">
        <f>#REF!</f>
        <v>#REF!</v>
      </c>
      <c r="H83" s="12" t="e">
        <f>#REF!</f>
        <v>#REF!</v>
      </c>
      <c r="I83" s="49" t="s">
        <v>554</v>
      </c>
      <c r="J83" s="12" t="e">
        <f t="shared" si="52"/>
        <v>#REF!</v>
      </c>
      <c r="K83" s="12" t="e">
        <f t="shared" si="53"/>
        <v>#REF!</v>
      </c>
      <c r="L83" s="12" t="e">
        <f t="shared" si="54"/>
        <v>#REF!</v>
      </c>
      <c r="M83" s="12" t="e">
        <f t="shared" si="55"/>
        <v>#REF!</v>
      </c>
      <c r="N83" s="12">
        <v>2.4000000000000001E-4</v>
      </c>
      <c r="O83" s="12" t="e">
        <f t="shared" si="56"/>
        <v>#REF!</v>
      </c>
      <c r="P83" s="50" t="s">
        <v>605</v>
      </c>
      <c r="Z83" s="12">
        <f t="shared" si="57"/>
        <v>0</v>
      </c>
      <c r="AB83" s="12">
        <f t="shared" si="58"/>
        <v>0</v>
      </c>
      <c r="AC83" s="12">
        <f t="shared" si="59"/>
        <v>0</v>
      </c>
      <c r="AD83" s="12" t="e">
        <f t="shared" si="60"/>
        <v>#REF!</v>
      </c>
      <c r="AE83" s="12" t="e">
        <f t="shared" si="61"/>
        <v>#REF!</v>
      </c>
      <c r="AF83" s="12">
        <f t="shared" si="62"/>
        <v>0</v>
      </c>
      <c r="AG83" s="12">
        <f t="shared" si="63"/>
        <v>0</v>
      </c>
      <c r="AH83" s="12">
        <f t="shared" si="64"/>
        <v>0</v>
      </c>
      <c r="AI83" s="10" t="s">
        <v>598</v>
      </c>
      <c r="AJ83" s="12">
        <f t="shared" si="65"/>
        <v>0</v>
      </c>
      <c r="AK83" s="12">
        <f t="shared" si="66"/>
        <v>0</v>
      </c>
      <c r="AL83" s="12" t="e">
        <f t="shared" si="67"/>
        <v>#REF!</v>
      </c>
      <c r="AN83" s="12">
        <v>21</v>
      </c>
      <c r="AO83" s="12" t="e">
        <f>H83*0.874331897</f>
        <v>#REF!</v>
      </c>
      <c r="AP83" s="12" t="e">
        <f>H83*(1-0.874331897)</f>
        <v>#REF!</v>
      </c>
      <c r="AQ83" s="49" t="s">
        <v>567</v>
      </c>
      <c r="AV83" s="12" t="e">
        <f t="shared" si="68"/>
        <v>#REF!</v>
      </c>
      <c r="AW83" s="12" t="e">
        <f t="shared" si="69"/>
        <v>#REF!</v>
      </c>
      <c r="AX83" s="12" t="e">
        <f t="shared" si="70"/>
        <v>#REF!</v>
      </c>
      <c r="AY83" s="49" t="s">
        <v>610</v>
      </c>
      <c r="AZ83" s="49" t="s">
        <v>611</v>
      </c>
      <c r="BA83" s="10" t="s">
        <v>601</v>
      </c>
      <c r="BC83" s="12" t="e">
        <f t="shared" si="71"/>
        <v>#REF!</v>
      </c>
      <c r="BD83" s="12" t="e">
        <f t="shared" si="72"/>
        <v>#REF!</v>
      </c>
      <c r="BE83" s="12">
        <v>0</v>
      </c>
      <c r="BF83" s="12" t="e">
        <f t="shared" si="73"/>
        <v>#REF!</v>
      </c>
      <c r="BH83" s="12" t="e">
        <f t="shared" si="74"/>
        <v>#REF!</v>
      </c>
      <c r="BI83" s="12" t="e">
        <f t="shared" si="75"/>
        <v>#REF!</v>
      </c>
      <c r="BJ83" s="12" t="e">
        <f t="shared" si="76"/>
        <v>#REF!</v>
      </c>
      <c r="BK83" s="12"/>
      <c r="BL83" s="12">
        <v>722</v>
      </c>
      <c r="BW83" s="12" t="str">
        <f t="shared" si="77"/>
        <v>21</v>
      </c>
      <c r="BX83" s="3" t="s">
        <v>159</v>
      </c>
    </row>
    <row r="84" spans="1:76">
      <c r="A84" s="1" t="s">
        <v>625</v>
      </c>
      <c r="B84" s="2" t="s">
        <v>598</v>
      </c>
      <c r="C84" s="2" t="s">
        <v>160</v>
      </c>
      <c r="D84" s="349" t="s">
        <v>161</v>
      </c>
      <c r="E84" s="342"/>
      <c r="F84" s="2" t="s">
        <v>68</v>
      </c>
      <c r="G84" s="12" t="e">
        <f>#REF!</f>
        <v>#REF!</v>
      </c>
      <c r="H84" s="12" t="e">
        <f>#REF!</f>
        <v>#REF!</v>
      </c>
      <c r="I84" s="49" t="s">
        <v>554</v>
      </c>
      <c r="J84" s="12" t="e">
        <f t="shared" si="52"/>
        <v>#REF!</v>
      </c>
      <c r="K84" s="12" t="e">
        <f t="shared" si="53"/>
        <v>#REF!</v>
      </c>
      <c r="L84" s="12" t="e">
        <f t="shared" si="54"/>
        <v>#REF!</v>
      </c>
      <c r="M84" s="12" t="e">
        <f t="shared" si="55"/>
        <v>#REF!</v>
      </c>
      <c r="N84" s="12">
        <v>4.0000000000000002E-4</v>
      </c>
      <c r="O84" s="12" t="e">
        <f t="shared" si="56"/>
        <v>#REF!</v>
      </c>
      <c r="P84" s="50" t="s">
        <v>605</v>
      </c>
      <c r="Z84" s="12">
        <f t="shared" si="57"/>
        <v>0</v>
      </c>
      <c r="AB84" s="12">
        <f t="shared" si="58"/>
        <v>0</v>
      </c>
      <c r="AC84" s="12">
        <f t="shared" si="59"/>
        <v>0</v>
      </c>
      <c r="AD84" s="12" t="e">
        <f t="shared" si="60"/>
        <v>#REF!</v>
      </c>
      <c r="AE84" s="12" t="e">
        <f t="shared" si="61"/>
        <v>#REF!</v>
      </c>
      <c r="AF84" s="12">
        <f t="shared" si="62"/>
        <v>0</v>
      </c>
      <c r="AG84" s="12">
        <f t="shared" si="63"/>
        <v>0</v>
      </c>
      <c r="AH84" s="12">
        <f t="shared" si="64"/>
        <v>0</v>
      </c>
      <c r="AI84" s="10" t="s">
        <v>598</v>
      </c>
      <c r="AJ84" s="12">
        <f t="shared" si="65"/>
        <v>0</v>
      </c>
      <c r="AK84" s="12">
        <f t="shared" si="66"/>
        <v>0</v>
      </c>
      <c r="AL84" s="12" t="e">
        <f t="shared" si="67"/>
        <v>#REF!</v>
      </c>
      <c r="AN84" s="12">
        <v>21</v>
      </c>
      <c r="AO84" s="12" t="e">
        <f>H84*0.737637795</f>
        <v>#REF!</v>
      </c>
      <c r="AP84" s="12" t="e">
        <f>H84*(1-0.737637795)</f>
        <v>#REF!</v>
      </c>
      <c r="AQ84" s="49" t="s">
        <v>567</v>
      </c>
      <c r="AV84" s="12" t="e">
        <f t="shared" si="68"/>
        <v>#REF!</v>
      </c>
      <c r="AW84" s="12" t="e">
        <f t="shared" si="69"/>
        <v>#REF!</v>
      </c>
      <c r="AX84" s="12" t="e">
        <f t="shared" si="70"/>
        <v>#REF!</v>
      </c>
      <c r="AY84" s="49" t="s">
        <v>610</v>
      </c>
      <c r="AZ84" s="49" t="s">
        <v>611</v>
      </c>
      <c r="BA84" s="10" t="s">
        <v>601</v>
      </c>
      <c r="BC84" s="12" t="e">
        <f t="shared" si="71"/>
        <v>#REF!</v>
      </c>
      <c r="BD84" s="12" t="e">
        <f t="shared" si="72"/>
        <v>#REF!</v>
      </c>
      <c r="BE84" s="12">
        <v>0</v>
      </c>
      <c r="BF84" s="12" t="e">
        <f t="shared" si="73"/>
        <v>#REF!</v>
      </c>
      <c r="BH84" s="12" t="e">
        <f t="shared" si="74"/>
        <v>#REF!</v>
      </c>
      <c r="BI84" s="12" t="e">
        <f t="shared" si="75"/>
        <v>#REF!</v>
      </c>
      <c r="BJ84" s="12" t="e">
        <f t="shared" si="76"/>
        <v>#REF!</v>
      </c>
      <c r="BK84" s="12"/>
      <c r="BL84" s="12">
        <v>722</v>
      </c>
      <c r="BW84" s="12" t="str">
        <f t="shared" si="77"/>
        <v>21</v>
      </c>
      <c r="BX84" s="3" t="s">
        <v>161</v>
      </c>
    </row>
    <row r="85" spans="1:76">
      <c r="A85" s="1" t="s">
        <v>626</v>
      </c>
      <c r="B85" s="2" t="s">
        <v>598</v>
      </c>
      <c r="C85" s="2" t="s">
        <v>162</v>
      </c>
      <c r="D85" s="349" t="s">
        <v>163</v>
      </c>
      <c r="E85" s="342"/>
      <c r="F85" s="2" t="s">
        <v>68</v>
      </c>
      <c r="G85" s="12" t="e">
        <f>#REF!</f>
        <v>#REF!</v>
      </c>
      <c r="H85" s="12" t="e">
        <f>#REF!</f>
        <v>#REF!</v>
      </c>
      <c r="I85" s="49" t="s">
        <v>554</v>
      </c>
      <c r="J85" s="12" t="e">
        <f t="shared" si="52"/>
        <v>#REF!</v>
      </c>
      <c r="K85" s="12" t="e">
        <f t="shared" si="53"/>
        <v>#REF!</v>
      </c>
      <c r="L85" s="12" t="e">
        <f t="shared" si="54"/>
        <v>#REF!</v>
      </c>
      <c r="M85" s="12" t="e">
        <f t="shared" si="55"/>
        <v>#REF!</v>
      </c>
      <c r="N85" s="12">
        <v>0</v>
      </c>
      <c r="O85" s="12" t="e">
        <f t="shared" si="56"/>
        <v>#REF!</v>
      </c>
      <c r="P85" s="50" t="s">
        <v>21</v>
      </c>
      <c r="Z85" s="12">
        <f t="shared" si="57"/>
        <v>0</v>
      </c>
      <c r="AB85" s="12">
        <f t="shared" si="58"/>
        <v>0</v>
      </c>
      <c r="AC85" s="12">
        <f t="shared" si="59"/>
        <v>0</v>
      </c>
      <c r="AD85" s="12" t="e">
        <f t="shared" si="60"/>
        <v>#REF!</v>
      </c>
      <c r="AE85" s="12" t="e">
        <f t="shared" si="61"/>
        <v>#REF!</v>
      </c>
      <c r="AF85" s="12">
        <f t="shared" si="62"/>
        <v>0</v>
      </c>
      <c r="AG85" s="12">
        <f t="shared" si="63"/>
        <v>0</v>
      </c>
      <c r="AH85" s="12">
        <f t="shared" si="64"/>
        <v>0</v>
      </c>
      <c r="AI85" s="10" t="s">
        <v>598</v>
      </c>
      <c r="AJ85" s="12">
        <f t="shared" si="65"/>
        <v>0</v>
      </c>
      <c r="AK85" s="12">
        <f t="shared" si="66"/>
        <v>0</v>
      </c>
      <c r="AL85" s="12" t="e">
        <f t="shared" si="67"/>
        <v>#REF!</v>
      </c>
      <c r="AN85" s="12">
        <v>21</v>
      </c>
      <c r="AO85" s="12" t="e">
        <f>H85*0.893113343</f>
        <v>#REF!</v>
      </c>
      <c r="AP85" s="12" t="e">
        <f>H85*(1-0.893113343)</f>
        <v>#REF!</v>
      </c>
      <c r="AQ85" s="49" t="s">
        <v>567</v>
      </c>
      <c r="AV85" s="12" t="e">
        <f t="shared" si="68"/>
        <v>#REF!</v>
      </c>
      <c r="AW85" s="12" t="e">
        <f t="shared" si="69"/>
        <v>#REF!</v>
      </c>
      <c r="AX85" s="12" t="e">
        <f t="shared" si="70"/>
        <v>#REF!</v>
      </c>
      <c r="AY85" s="49" t="s">
        <v>610</v>
      </c>
      <c r="AZ85" s="49" t="s">
        <v>611</v>
      </c>
      <c r="BA85" s="10" t="s">
        <v>601</v>
      </c>
      <c r="BC85" s="12" t="e">
        <f t="shared" si="71"/>
        <v>#REF!</v>
      </c>
      <c r="BD85" s="12" t="e">
        <f t="shared" si="72"/>
        <v>#REF!</v>
      </c>
      <c r="BE85" s="12">
        <v>0</v>
      </c>
      <c r="BF85" s="12" t="e">
        <f t="shared" si="73"/>
        <v>#REF!</v>
      </c>
      <c r="BH85" s="12" t="e">
        <f t="shared" si="74"/>
        <v>#REF!</v>
      </c>
      <c r="BI85" s="12" t="e">
        <f t="shared" si="75"/>
        <v>#REF!</v>
      </c>
      <c r="BJ85" s="12" t="e">
        <f t="shared" si="76"/>
        <v>#REF!</v>
      </c>
      <c r="BK85" s="12"/>
      <c r="BL85" s="12">
        <v>722</v>
      </c>
      <c r="BW85" s="12" t="str">
        <f t="shared" si="77"/>
        <v>21</v>
      </c>
      <c r="BX85" s="3" t="s">
        <v>163</v>
      </c>
    </row>
    <row r="86" spans="1:76">
      <c r="A86" s="1" t="s">
        <v>627</v>
      </c>
      <c r="B86" s="2" t="s">
        <v>598</v>
      </c>
      <c r="C86" s="2" t="s">
        <v>164</v>
      </c>
      <c r="D86" s="349" t="s">
        <v>165</v>
      </c>
      <c r="E86" s="342"/>
      <c r="F86" s="2" t="s">
        <v>68</v>
      </c>
      <c r="G86" s="12" t="e">
        <f>#REF!</f>
        <v>#REF!</v>
      </c>
      <c r="H86" s="12" t="e">
        <f>#REF!</f>
        <v>#REF!</v>
      </c>
      <c r="I86" s="49" t="s">
        <v>554</v>
      </c>
      <c r="J86" s="12" t="e">
        <f t="shared" si="52"/>
        <v>#REF!</v>
      </c>
      <c r="K86" s="12" t="e">
        <f t="shared" si="53"/>
        <v>#REF!</v>
      </c>
      <c r="L86" s="12" t="e">
        <f t="shared" si="54"/>
        <v>#REF!</v>
      </c>
      <c r="M86" s="12" t="e">
        <f t="shared" si="55"/>
        <v>#REF!</v>
      </c>
      <c r="N86" s="12">
        <v>5.2999999999999998E-4</v>
      </c>
      <c r="O86" s="12" t="e">
        <f t="shared" si="56"/>
        <v>#REF!</v>
      </c>
      <c r="P86" s="50" t="s">
        <v>577</v>
      </c>
      <c r="Z86" s="12">
        <f t="shared" si="57"/>
        <v>0</v>
      </c>
      <c r="AB86" s="12">
        <f t="shared" si="58"/>
        <v>0</v>
      </c>
      <c r="AC86" s="12">
        <f t="shared" si="59"/>
        <v>0</v>
      </c>
      <c r="AD86" s="12" t="e">
        <f t="shared" si="60"/>
        <v>#REF!</v>
      </c>
      <c r="AE86" s="12" t="e">
        <f t="shared" si="61"/>
        <v>#REF!</v>
      </c>
      <c r="AF86" s="12">
        <f t="shared" si="62"/>
        <v>0</v>
      </c>
      <c r="AG86" s="12">
        <f t="shared" si="63"/>
        <v>0</v>
      </c>
      <c r="AH86" s="12">
        <f t="shared" si="64"/>
        <v>0</v>
      </c>
      <c r="AI86" s="10" t="s">
        <v>598</v>
      </c>
      <c r="AJ86" s="12">
        <f t="shared" si="65"/>
        <v>0</v>
      </c>
      <c r="AK86" s="12">
        <f t="shared" si="66"/>
        <v>0</v>
      </c>
      <c r="AL86" s="12" t="e">
        <f t="shared" si="67"/>
        <v>#REF!</v>
      </c>
      <c r="AN86" s="12">
        <v>21</v>
      </c>
      <c r="AO86" s="12" t="e">
        <f>H86*0.656425532</f>
        <v>#REF!</v>
      </c>
      <c r="AP86" s="12" t="e">
        <f>H86*(1-0.656425532)</f>
        <v>#REF!</v>
      </c>
      <c r="AQ86" s="49" t="s">
        <v>567</v>
      </c>
      <c r="AV86" s="12" t="e">
        <f t="shared" si="68"/>
        <v>#REF!</v>
      </c>
      <c r="AW86" s="12" t="e">
        <f t="shared" si="69"/>
        <v>#REF!</v>
      </c>
      <c r="AX86" s="12" t="e">
        <f t="shared" si="70"/>
        <v>#REF!</v>
      </c>
      <c r="AY86" s="49" t="s">
        <v>610</v>
      </c>
      <c r="AZ86" s="49" t="s">
        <v>611</v>
      </c>
      <c r="BA86" s="10" t="s">
        <v>601</v>
      </c>
      <c r="BC86" s="12" t="e">
        <f t="shared" si="71"/>
        <v>#REF!</v>
      </c>
      <c r="BD86" s="12" t="e">
        <f t="shared" si="72"/>
        <v>#REF!</v>
      </c>
      <c r="BE86" s="12">
        <v>0</v>
      </c>
      <c r="BF86" s="12" t="e">
        <f t="shared" si="73"/>
        <v>#REF!</v>
      </c>
      <c r="BH86" s="12" t="e">
        <f t="shared" si="74"/>
        <v>#REF!</v>
      </c>
      <c r="BI86" s="12" t="e">
        <f t="shared" si="75"/>
        <v>#REF!</v>
      </c>
      <c r="BJ86" s="12" t="e">
        <f t="shared" si="76"/>
        <v>#REF!</v>
      </c>
      <c r="BK86" s="12"/>
      <c r="BL86" s="12">
        <v>722</v>
      </c>
      <c r="BW86" s="12" t="str">
        <f t="shared" si="77"/>
        <v>21</v>
      </c>
      <c r="BX86" s="3" t="s">
        <v>165</v>
      </c>
    </row>
    <row r="87" spans="1:76">
      <c r="A87" s="1" t="s">
        <v>628</v>
      </c>
      <c r="B87" s="2" t="s">
        <v>598</v>
      </c>
      <c r="C87" s="2" t="s">
        <v>166</v>
      </c>
      <c r="D87" s="349" t="s">
        <v>167</v>
      </c>
      <c r="E87" s="342"/>
      <c r="F87" s="2" t="s">
        <v>68</v>
      </c>
      <c r="G87" s="12" t="e">
        <f>#REF!</f>
        <v>#REF!</v>
      </c>
      <c r="H87" s="12" t="e">
        <f>#REF!</f>
        <v>#REF!</v>
      </c>
      <c r="I87" s="49" t="s">
        <v>554</v>
      </c>
      <c r="J87" s="12" t="e">
        <f t="shared" si="52"/>
        <v>#REF!</v>
      </c>
      <c r="K87" s="12" t="e">
        <f t="shared" si="53"/>
        <v>#REF!</v>
      </c>
      <c r="L87" s="12" t="e">
        <f t="shared" si="54"/>
        <v>#REF!</v>
      </c>
      <c r="M87" s="12" t="e">
        <f t="shared" si="55"/>
        <v>#REF!</v>
      </c>
      <c r="N87" s="12">
        <v>1.6000000000000001E-3</v>
      </c>
      <c r="O87" s="12" t="e">
        <f t="shared" si="56"/>
        <v>#REF!</v>
      </c>
      <c r="P87" s="50" t="s">
        <v>577</v>
      </c>
      <c r="Z87" s="12">
        <f t="shared" si="57"/>
        <v>0</v>
      </c>
      <c r="AB87" s="12">
        <f t="shared" si="58"/>
        <v>0</v>
      </c>
      <c r="AC87" s="12">
        <f t="shared" si="59"/>
        <v>0</v>
      </c>
      <c r="AD87" s="12" t="e">
        <f t="shared" si="60"/>
        <v>#REF!</v>
      </c>
      <c r="AE87" s="12" t="e">
        <f t="shared" si="61"/>
        <v>#REF!</v>
      </c>
      <c r="AF87" s="12">
        <f t="shared" si="62"/>
        <v>0</v>
      </c>
      <c r="AG87" s="12">
        <f t="shared" si="63"/>
        <v>0</v>
      </c>
      <c r="AH87" s="12">
        <f t="shared" si="64"/>
        <v>0</v>
      </c>
      <c r="AI87" s="10" t="s">
        <v>598</v>
      </c>
      <c r="AJ87" s="12">
        <f t="shared" si="65"/>
        <v>0</v>
      </c>
      <c r="AK87" s="12">
        <f t="shared" si="66"/>
        <v>0</v>
      </c>
      <c r="AL87" s="12" t="e">
        <f t="shared" si="67"/>
        <v>#REF!</v>
      </c>
      <c r="AN87" s="12">
        <v>21</v>
      </c>
      <c r="AO87" s="12" t="e">
        <f>H87*0.954854048</f>
        <v>#REF!</v>
      </c>
      <c r="AP87" s="12" t="e">
        <f>H87*(1-0.954854048)</f>
        <v>#REF!</v>
      </c>
      <c r="AQ87" s="49" t="s">
        <v>567</v>
      </c>
      <c r="AV87" s="12" t="e">
        <f t="shared" si="68"/>
        <v>#REF!</v>
      </c>
      <c r="AW87" s="12" t="e">
        <f t="shared" si="69"/>
        <v>#REF!</v>
      </c>
      <c r="AX87" s="12" t="e">
        <f t="shared" si="70"/>
        <v>#REF!</v>
      </c>
      <c r="AY87" s="49" t="s">
        <v>610</v>
      </c>
      <c r="AZ87" s="49" t="s">
        <v>611</v>
      </c>
      <c r="BA87" s="10" t="s">
        <v>601</v>
      </c>
      <c r="BC87" s="12" t="e">
        <f t="shared" si="71"/>
        <v>#REF!</v>
      </c>
      <c r="BD87" s="12" t="e">
        <f t="shared" si="72"/>
        <v>#REF!</v>
      </c>
      <c r="BE87" s="12">
        <v>0</v>
      </c>
      <c r="BF87" s="12" t="e">
        <f t="shared" si="73"/>
        <v>#REF!</v>
      </c>
      <c r="BH87" s="12" t="e">
        <f t="shared" si="74"/>
        <v>#REF!</v>
      </c>
      <c r="BI87" s="12" t="e">
        <f t="shared" si="75"/>
        <v>#REF!</v>
      </c>
      <c r="BJ87" s="12" t="e">
        <f t="shared" si="76"/>
        <v>#REF!</v>
      </c>
      <c r="BK87" s="12"/>
      <c r="BL87" s="12">
        <v>722</v>
      </c>
      <c r="BW87" s="12" t="str">
        <f t="shared" si="77"/>
        <v>21</v>
      </c>
      <c r="BX87" s="3" t="s">
        <v>167</v>
      </c>
    </row>
    <row r="88" spans="1:76">
      <c r="A88" s="1" t="s">
        <v>629</v>
      </c>
      <c r="B88" s="2" t="s">
        <v>598</v>
      </c>
      <c r="C88" s="2" t="s">
        <v>168</v>
      </c>
      <c r="D88" s="349" t="s">
        <v>169</v>
      </c>
      <c r="E88" s="342"/>
      <c r="F88" s="2" t="s">
        <v>68</v>
      </c>
      <c r="G88" s="12" t="e">
        <f>#REF!</f>
        <v>#REF!</v>
      </c>
      <c r="H88" s="12" t="e">
        <f>#REF!</f>
        <v>#REF!</v>
      </c>
      <c r="I88" s="49" t="s">
        <v>554</v>
      </c>
      <c r="J88" s="12" t="e">
        <f t="shared" si="52"/>
        <v>#REF!</v>
      </c>
      <c r="K88" s="12" t="e">
        <f t="shared" si="53"/>
        <v>#REF!</v>
      </c>
      <c r="L88" s="12" t="e">
        <f t="shared" si="54"/>
        <v>#REF!</v>
      </c>
      <c r="M88" s="12" t="e">
        <f t="shared" si="55"/>
        <v>#REF!</v>
      </c>
      <c r="N88" s="12">
        <v>0</v>
      </c>
      <c r="O88" s="12" t="e">
        <f t="shared" si="56"/>
        <v>#REF!</v>
      </c>
      <c r="P88" s="50" t="s">
        <v>21</v>
      </c>
      <c r="Z88" s="12">
        <f t="shared" si="57"/>
        <v>0</v>
      </c>
      <c r="AB88" s="12">
        <f t="shared" si="58"/>
        <v>0</v>
      </c>
      <c r="AC88" s="12">
        <f t="shared" si="59"/>
        <v>0</v>
      </c>
      <c r="AD88" s="12" t="e">
        <f t="shared" si="60"/>
        <v>#REF!</v>
      </c>
      <c r="AE88" s="12" t="e">
        <f t="shared" si="61"/>
        <v>#REF!</v>
      </c>
      <c r="AF88" s="12">
        <f t="shared" si="62"/>
        <v>0</v>
      </c>
      <c r="AG88" s="12">
        <f t="shared" si="63"/>
        <v>0</v>
      </c>
      <c r="AH88" s="12">
        <f t="shared" si="64"/>
        <v>0</v>
      </c>
      <c r="AI88" s="10" t="s">
        <v>598</v>
      </c>
      <c r="AJ88" s="12">
        <f t="shared" si="65"/>
        <v>0</v>
      </c>
      <c r="AK88" s="12">
        <f t="shared" si="66"/>
        <v>0</v>
      </c>
      <c r="AL88" s="12" t="e">
        <f t="shared" si="67"/>
        <v>#REF!</v>
      </c>
      <c r="AN88" s="12">
        <v>21</v>
      </c>
      <c r="AO88" s="12" t="e">
        <f>H88*0.867256637</f>
        <v>#REF!</v>
      </c>
      <c r="AP88" s="12" t="e">
        <f>H88*(1-0.867256637)</f>
        <v>#REF!</v>
      </c>
      <c r="AQ88" s="49" t="s">
        <v>567</v>
      </c>
      <c r="AV88" s="12" t="e">
        <f t="shared" si="68"/>
        <v>#REF!</v>
      </c>
      <c r="AW88" s="12" t="e">
        <f t="shared" si="69"/>
        <v>#REF!</v>
      </c>
      <c r="AX88" s="12" t="e">
        <f t="shared" si="70"/>
        <v>#REF!</v>
      </c>
      <c r="AY88" s="49" t="s">
        <v>610</v>
      </c>
      <c r="AZ88" s="49" t="s">
        <v>611</v>
      </c>
      <c r="BA88" s="10" t="s">
        <v>601</v>
      </c>
      <c r="BC88" s="12" t="e">
        <f t="shared" si="71"/>
        <v>#REF!</v>
      </c>
      <c r="BD88" s="12" t="e">
        <f t="shared" si="72"/>
        <v>#REF!</v>
      </c>
      <c r="BE88" s="12">
        <v>0</v>
      </c>
      <c r="BF88" s="12" t="e">
        <f t="shared" si="73"/>
        <v>#REF!</v>
      </c>
      <c r="BH88" s="12" t="e">
        <f t="shared" si="74"/>
        <v>#REF!</v>
      </c>
      <c r="BI88" s="12" t="e">
        <f t="shared" si="75"/>
        <v>#REF!</v>
      </c>
      <c r="BJ88" s="12" t="e">
        <f t="shared" si="76"/>
        <v>#REF!</v>
      </c>
      <c r="BK88" s="12"/>
      <c r="BL88" s="12">
        <v>722</v>
      </c>
      <c r="BW88" s="12" t="str">
        <f t="shared" si="77"/>
        <v>21</v>
      </c>
      <c r="BX88" s="3" t="s">
        <v>169</v>
      </c>
    </row>
    <row r="89" spans="1:76">
      <c r="A89" s="1" t="s">
        <v>630</v>
      </c>
      <c r="B89" s="2" t="s">
        <v>598</v>
      </c>
      <c r="C89" s="2" t="s">
        <v>170</v>
      </c>
      <c r="D89" s="349" t="s">
        <v>171</v>
      </c>
      <c r="E89" s="342"/>
      <c r="F89" s="2" t="s">
        <v>58</v>
      </c>
      <c r="G89" s="12" t="e">
        <f>#REF!</f>
        <v>#REF!</v>
      </c>
      <c r="H89" s="12" t="e">
        <f>#REF!</f>
        <v>#REF!</v>
      </c>
      <c r="I89" s="49" t="s">
        <v>554</v>
      </c>
      <c r="J89" s="12" t="e">
        <f t="shared" si="52"/>
        <v>#REF!</v>
      </c>
      <c r="K89" s="12" t="e">
        <f t="shared" si="53"/>
        <v>#REF!</v>
      </c>
      <c r="L89" s="12" t="e">
        <f t="shared" si="54"/>
        <v>#REF!</v>
      </c>
      <c r="M89" s="12" t="e">
        <f t="shared" si="55"/>
        <v>#REF!</v>
      </c>
      <c r="N89" s="12">
        <v>5.2999999999999998E-4</v>
      </c>
      <c r="O89" s="12" t="e">
        <f t="shared" si="56"/>
        <v>#REF!</v>
      </c>
      <c r="P89" s="50" t="s">
        <v>577</v>
      </c>
      <c r="Z89" s="12">
        <f t="shared" si="57"/>
        <v>0</v>
      </c>
      <c r="AB89" s="12">
        <f t="shared" si="58"/>
        <v>0</v>
      </c>
      <c r="AC89" s="12">
        <f t="shared" si="59"/>
        <v>0</v>
      </c>
      <c r="AD89" s="12" t="e">
        <f t="shared" si="60"/>
        <v>#REF!</v>
      </c>
      <c r="AE89" s="12" t="e">
        <f t="shared" si="61"/>
        <v>#REF!</v>
      </c>
      <c r="AF89" s="12">
        <f t="shared" si="62"/>
        <v>0</v>
      </c>
      <c r="AG89" s="12">
        <f t="shared" si="63"/>
        <v>0</v>
      </c>
      <c r="AH89" s="12">
        <f t="shared" si="64"/>
        <v>0</v>
      </c>
      <c r="AI89" s="10" t="s">
        <v>598</v>
      </c>
      <c r="AJ89" s="12">
        <f t="shared" si="65"/>
        <v>0</v>
      </c>
      <c r="AK89" s="12">
        <f t="shared" si="66"/>
        <v>0</v>
      </c>
      <c r="AL89" s="12" t="e">
        <f t="shared" si="67"/>
        <v>#REF!</v>
      </c>
      <c r="AN89" s="12">
        <v>21</v>
      </c>
      <c r="AO89" s="12" t="e">
        <f>H89*0.507925697</f>
        <v>#REF!</v>
      </c>
      <c r="AP89" s="12" t="e">
        <f>H89*(1-0.507925697)</f>
        <v>#REF!</v>
      </c>
      <c r="AQ89" s="49" t="s">
        <v>567</v>
      </c>
      <c r="AV89" s="12" t="e">
        <f t="shared" si="68"/>
        <v>#REF!</v>
      </c>
      <c r="AW89" s="12" t="e">
        <f t="shared" si="69"/>
        <v>#REF!</v>
      </c>
      <c r="AX89" s="12" t="e">
        <f t="shared" si="70"/>
        <v>#REF!</v>
      </c>
      <c r="AY89" s="49" t="s">
        <v>610</v>
      </c>
      <c r="AZ89" s="49" t="s">
        <v>611</v>
      </c>
      <c r="BA89" s="10" t="s">
        <v>601</v>
      </c>
      <c r="BC89" s="12" t="e">
        <f t="shared" si="71"/>
        <v>#REF!</v>
      </c>
      <c r="BD89" s="12" t="e">
        <f t="shared" si="72"/>
        <v>#REF!</v>
      </c>
      <c r="BE89" s="12">
        <v>0</v>
      </c>
      <c r="BF89" s="12" t="e">
        <f t="shared" si="73"/>
        <v>#REF!</v>
      </c>
      <c r="BH89" s="12" t="e">
        <f t="shared" si="74"/>
        <v>#REF!</v>
      </c>
      <c r="BI89" s="12" t="e">
        <f t="shared" si="75"/>
        <v>#REF!</v>
      </c>
      <c r="BJ89" s="12" t="e">
        <f t="shared" si="76"/>
        <v>#REF!</v>
      </c>
      <c r="BK89" s="12"/>
      <c r="BL89" s="12">
        <v>722</v>
      </c>
      <c r="BW89" s="12" t="str">
        <f t="shared" si="77"/>
        <v>21</v>
      </c>
      <c r="BX89" s="3" t="s">
        <v>171</v>
      </c>
    </row>
    <row r="90" spans="1:76">
      <c r="A90" s="1" t="s">
        <v>631</v>
      </c>
      <c r="B90" s="2" t="s">
        <v>598</v>
      </c>
      <c r="C90" s="2" t="s">
        <v>172</v>
      </c>
      <c r="D90" s="349" t="s">
        <v>173</v>
      </c>
      <c r="E90" s="342"/>
      <c r="F90" s="2" t="s">
        <v>68</v>
      </c>
      <c r="G90" s="12" t="e">
        <f>#REF!</f>
        <v>#REF!</v>
      </c>
      <c r="H90" s="12" t="e">
        <f>#REF!</f>
        <v>#REF!</v>
      </c>
      <c r="I90" s="49" t="s">
        <v>554</v>
      </c>
      <c r="J90" s="12" t="e">
        <f t="shared" si="52"/>
        <v>#REF!</v>
      </c>
      <c r="K90" s="12" t="e">
        <f t="shared" si="53"/>
        <v>#REF!</v>
      </c>
      <c r="L90" s="12" t="e">
        <f t="shared" si="54"/>
        <v>#REF!</v>
      </c>
      <c r="M90" s="12" t="e">
        <f t="shared" si="55"/>
        <v>#REF!</v>
      </c>
      <c r="N90" s="12">
        <v>3.2699999999999999E-3</v>
      </c>
      <c r="O90" s="12" t="e">
        <f t="shared" si="56"/>
        <v>#REF!</v>
      </c>
      <c r="P90" s="50" t="s">
        <v>605</v>
      </c>
      <c r="Z90" s="12">
        <f t="shared" si="57"/>
        <v>0</v>
      </c>
      <c r="AB90" s="12">
        <f t="shared" si="58"/>
        <v>0</v>
      </c>
      <c r="AC90" s="12">
        <f t="shared" si="59"/>
        <v>0</v>
      </c>
      <c r="AD90" s="12" t="e">
        <f t="shared" si="60"/>
        <v>#REF!</v>
      </c>
      <c r="AE90" s="12" t="e">
        <f t="shared" si="61"/>
        <v>#REF!</v>
      </c>
      <c r="AF90" s="12">
        <f t="shared" si="62"/>
        <v>0</v>
      </c>
      <c r="AG90" s="12">
        <f t="shared" si="63"/>
        <v>0</v>
      </c>
      <c r="AH90" s="12">
        <f t="shared" si="64"/>
        <v>0</v>
      </c>
      <c r="AI90" s="10" t="s">
        <v>598</v>
      </c>
      <c r="AJ90" s="12">
        <f t="shared" si="65"/>
        <v>0</v>
      </c>
      <c r="AK90" s="12">
        <f t="shared" si="66"/>
        <v>0</v>
      </c>
      <c r="AL90" s="12" t="e">
        <f t="shared" si="67"/>
        <v>#REF!</v>
      </c>
      <c r="AN90" s="12">
        <v>21</v>
      </c>
      <c r="AO90" s="12" t="e">
        <f>H90*1</f>
        <v>#REF!</v>
      </c>
      <c r="AP90" s="12" t="e">
        <f>H90*(1-1)</f>
        <v>#REF!</v>
      </c>
      <c r="AQ90" s="49" t="s">
        <v>567</v>
      </c>
      <c r="AV90" s="12" t="e">
        <f t="shared" si="68"/>
        <v>#REF!</v>
      </c>
      <c r="AW90" s="12" t="e">
        <f t="shared" si="69"/>
        <v>#REF!</v>
      </c>
      <c r="AX90" s="12" t="e">
        <f t="shared" si="70"/>
        <v>#REF!</v>
      </c>
      <c r="AY90" s="49" t="s">
        <v>610</v>
      </c>
      <c r="AZ90" s="49" t="s">
        <v>611</v>
      </c>
      <c r="BA90" s="10" t="s">
        <v>601</v>
      </c>
      <c r="BC90" s="12" t="e">
        <f t="shared" si="71"/>
        <v>#REF!</v>
      </c>
      <c r="BD90" s="12" t="e">
        <f t="shared" si="72"/>
        <v>#REF!</v>
      </c>
      <c r="BE90" s="12">
        <v>0</v>
      </c>
      <c r="BF90" s="12" t="e">
        <f t="shared" si="73"/>
        <v>#REF!</v>
      </c>
      <c r="BH90" s="12" t="e">
        <f t="shared" si="74"/>
        <v>#REF!</v>
      </c>
      <c r="BI90" s="12" t="e">
        <f t="shared" si="75"/>
        <v>#REF!</v>
      </c>
      <c r="BJ90" s="12" t="e">
        <f t="shared" si="76"/>
        <v>#REF!</v>
      </c>
      <c r="BK90" s="12"/>
      <c r="BL90" s="12">
        <v>722</v>
      </c>
      <c r="BW90" s="12" t="str">
        <f t="shared" si="77"/>
        <v>21</v>
      </c>
      <c r="BX90" s="3" t="s">
        <v>173</v>
      </c>
    </row>
    <row r="91" spans="1:76" ht="76.5">
      <c r="A91" s="51"/>
      <c r="C91" s="13" t="s">
        <v>117</v>
      </c>
      <c r="D91" s="363" t="s">
        <v>174</v>
      </c>
      <c r="E91" s="364"/>
      <c r="F91" s="364"/>
      <c r="G91" s="364"/>
      <c r="H91" s="364"/>
      <c r="I91" s="364"/>
      <c r="J91" s="364"/>
      <c r="K91" s="364"/>
      <c r="L91" s="364"/>
      <c r="M91" s="364"/>
      <c r="N91" s="364"/>
      <c r="O91" s="364"/>
      <c r="P91" s="365"/>
      <c r="BX91" s="14" t="s">
        <v>174</v>
      </c>
    </row>
    <row r="92" spans="1:76">
      <c r="A92" s="46" t="s">
        <v>21</v>
      </c>
      <c r="B92" s="9" t="s">
        <v>598</v>
      </c>
      <c r="C92" s="9" t="s">
        <v>175</v>
      </c>
      <c r="D92" s="359" t="s">
        <v>176</v>
      </c>
      <c r="E92" s="360"/>
      <c r="F92" s="47" t="s">
        <v>20</v>
      </c>
      <c r="G92" s="47" t="s">
        <v>20</v>
      </c>
      <c r="H92" s="47" t="s">
        <v>20</v>
      </c>
      <c r="I92" s="47" t="s">
        <v>20</v>
      </c>
      <c r="J92" s="11" t="e">
        <f>SUM(J93:J93)</f>
        <v>#REF!</v>
      </c>
      <c r="K92" s="11" t="e">
        <f>SUM(K93:K93)</f>
        <v>#REF!</v>
      </c>
      <c r="L92" s="11" t="e">
        <f>SUM(L93:L93)</f>
        <v>#REF!</v>
      </c>
      <c r="M92" s="11" t="e">
        <f>SUM(M93:M93)</f>
        <v>#REF!</v>
      </c>
      <c r="N92" s="10" t="s">
        <v>21</v>
      </c>
      <c r="O92" s="11" t="e">
        <f>SUM(O93:O93)</f>
        <v>#REF!</v>
      </c>
      <c r="P92" s="48" t="s">
        <v>21</v>
      </c>
      <c r="AI92" s="10" t="s">
        <v>598</v>
      </c>
      <c r="AS92" s="11">
        <f>SUM(AJ93:AJ93)</f>
        <v>0</v>
      </c>
      <c r="AT92" s="11">
        <f>SUM(AK93:AK93)</f>
        <v>0</v>
      </c>
      <c r="AU92" s="11" t="e">
        <f>SUM(AL93:AL93)</f>
        <v>#REF!</v>
      </c>
    </row>
    <row r="93" spans="1:76">
      <c r="A93" s="1" t="s">
        <v>632</v>
      </c>
      <c r="B93" s="2" t="s">
        <v>598</v>
      </c>
      <c r="C93" s="2" t="s">
        <v>177</v>
      </c>
      <c r="D93" s="349" t="s">
        <v>178</v>
      </c>
      <c r="E93" s="342"/>
      <c r="F93" s="2" t="s">
        <v>58</v>
      </c>
      <c r="G93" s="12" t="e">
        <f>#REF!</f>
        <v>#REF!</v>
      </c>
      <c r="H93" s="12" t="e">
        <f>#REF!</f>
        <v>#REF!</v>
      </c>
      <c r="I93" s="49" t="s">
        <v>554</v>
      </c>
      <c r="J93" s="12" t="e">
        <f>G93*AO93</f>
        <v>#REF!</v>
      </c>
      <c r="K93" s="12" t="e">
        <f>G93*AP93</f>
        <v>#REF!</v>
      </c>
      <c r="L93" s="12" t="e">
        <f>G93*H93</f>
        <v>#REF!</v>
      </c>
      <c r="M93" s="12" t="e">
        <f>L93*(1+BW93/100)</f>
        <v>#REF!</v>
      </c>
      <c r="N93" s="12">
        <v>6.4820000000000003E-2</v>
      </c>
      <c r="O93" s="12" t="e">
        <f>G93*N93</f>
        <v>#REF!</v>
      </c>
      <c r="P93" s="50" t="s">
        <v>605</v>
      </c>
      <c r="Z93" s="12">
        <f>IF(AQ93="5",BJ93,0)</f>
        <v>0</v>
      </c>
      <c r="AB93" s="12">
        <f>IF(AQ93="1",BH93,0)</f>
        <v>0</v>
      </c>
      <c r="AC93" s="12">
        <f>IF(AQ93="1",BI93,0)</f>
        <v>0</v>
      </c>
      <c r="AD93" s="12" t="e">
        <f>IF(AQ93="7",BH93,0)</f>
        <v>#REF!</v>
      </c>
      <c r="AE93" s="12" t="e">
        <f>IF(AQ93="7",BI93,0)</f>
        <v>#REF!</v>
      </c>
      <c r="AF93" s="12">
        <f>IF(AQ93="2",BH93,0)</f>
        <v>0</v>
      </c>
      <c r="AG93" s="12">
        <f>IF(AQ93="2",BI93,0)</f>
        <v>0</v>
      </c>
      <c r="AH93" s="12">
        <f>IF(AQ93="0",BJ93,0)</f>
        <v>0</v>
      </c>
      <c r="AI93" s="10" t="s">
        <v>598</v>
      </c>
      <c r="AJ93" s="12">
        <f>IF(AN93=0,L93,0)</f>
        <v>0</v>
      </c>
      <c r="AK93" s="12">
        <f>IF(AN93=12,L93,0)</f>
        <v>0</v>
      </c>
      <c r="AL93" s="12" t="e">
        <f>IF(AN93=21,L93,0)</f>
        <v>#REF!</v>
      </c>
      <c r="AN93" s="12">
        <v>21</v>
      </c>
      <c r="AO93" s="12" t="e">
        <f>H93*0.903662178</f>
        <v>#REF!</v>
      </c>
      <c r="AP93" s="12" t="e">
        <f>H93*(1-0.903662178)</f>
        <v>#REF!</v>
      </c>
      <c r="AQ93" s="49" t="s">
        <v>567</v>
      </c>
      <c r="AV93" s="12" t="e">
        <f>AW93+AX93</f>
        <v>#REF!</v>
      </c>
      <c r="AW93" s="12" t="e">
        <f>G93*AO93</f>
        <v>#REF!</v>
      </c>
      <c r="AX93" s="12" t="e">
        <f>G93*AP93</f>
        <v>#REF!</v>
      </c>
      <c r="AY93" s="49" t="s">
        <v>633</v>
      </c>
      <c r="AZ93" s="49" t="s">
        <v>611</v>
      </c>
      <c r="BA93" s="10" t="s">
        <v>601</v>
      </c>
      <c r="BC93" s="12" t="e">
        <f>AW93+AX93</f>
        <v>#REF!</v>
      </c>
      <c r="BD93" s="12" t="e">
        <f>H93/(100-BE93)*100</f>
        <v>#REF!</v>
      </c>
      <c r="BE93" s="12">
        <v>0</v>
      </c>
      <c r="BF93" s="12" t="e">
        <f>O93</f>
        <v>#REF!</v>
      </c>
      <c r="BH93" s="12" t="e">
        <f>G93*AO93</f>
        <v>#REF!</v>
      </c>
      <c r="BI93" s="12" t="e">
        <f>G93*AP93</f>
        <v>#REF!</v>
      </c>
      <c r="BJ93" s="12" t="e">
        <f>G93*H93</f>
        <v>#REF!</v>
      </c>
      <c r="BK93" s="12"/>
      <c r="BL93" s="12">
        <v>725</v>
      </c>
      <c r="BW93" s="12" t="str">
        <f>I93</f>
        <v>21</v>
      </c>
      <c r="BX93" s="3" t="s">
        <v>178</v>
      </c>
    </row>
    <row r="94" spans="1:76">
      <c r="A94" s="46" t="s">
        <v>21</v>
      </c>
      <c r="B94" s="9" t="s">
        <v>598</v>
      </c>
      <c r="C94" s="9" t="s">
        <v>64</v>
      </c>
      <c r="D94" s="359" t="s">
        <v>65</v>
      </c>
      <c r="E94" s="360"/>
      <c r="F94" s="47" t="s">
        <v>20</v>
      </c>
      <c r="G94" s="47" t="s">
        <v>20</v>
      </c>
      <c r="H94" s="47" t="s">
        <v>20</v>
      </c>
      <c r="I94" s="47" t="s">
        <v>20</v>
      </c>
      <c r="J94" s="11" t="e">
        <f>SUM(J95:J96)</f>
        <v>#REF!</v>
      </c>
      <c r="K94" s="11" t="e">
        <f>SUM(K95:K96)</f>
        <v>#REF!</v>
      </c>
      <c r="L94" s="11" t="e">
        <f>SUM(L95:L96)</f>
        <v>#REF!</v>
      </c>
      <c r="M94" s="11" t="e">
        <f>SUM(M95:M96)</f>
        <v>#REF!</v>
      </c>
      <c r="N94" s="10" t="s">
        <v>21</v>
      </c>
      <c r="O94" s="11" t="e">
        <f>SUM(O95:O96)</f>
        <v>#REF!</v>
      </c>
      <c r="P94" s="48" t="s">
        <v>21</v>
      </c>
      <c r="AI94" s="10" t="s">
        <v>598</v>
      </c>
      <c r="AS94" s="11">
        <f>SUM(AJ95:AJ96)</f>
        <v>0</v>
      </c>
      <c r="AT94" s="11">
        <f>SUM(AK95:AK96)</f>
        <v>0</v>
      </c>
      <c r="AU94" s="11" t="e">
        <f>SUM(AL95:AL96)</f>
        <v>#REF!</v>
      </c>
    </row>
    <row r="95" spans="1:76">
      <c r="A95" s="1" t="s">
        <v>634</v>
      </c>
      <c r="B95" s="2" t="s">
        <v>598</v>
      </c>
      <c r="C95" s="2" t="s">
        <v>179</v>
      </c>
      <c r="D95" s="349" t="s">
        <v>180</v>
      </c>
      <c r="E95" s="342"/>
      <c r="F95" s="2" t="s">
        <v>21</v>
      </c>
      <c r="G95" s="12" t="e">
        <f>#REF!</f>
        <v>#REF!</v>
      </c>
      <c r="H95" s="12" t="e">
        <f>#REF!</f>
        <v>#REF!</v>
      </c>
      <c r="I95" s="49" t="s">
        <v>554</v>
      </c>
      <c r="J95" s="12" t="e">
        <f>G95*AO95</f>
        <v>#REF!</v>
      </c>
      <c r="K95" s="12" t="e">
        <f>G95*AP95</f>
        <v>#REF!</v>
      </c>
      <c r="L95" s="12" t="e">
        <f>G95*H95</f>
        <v>#REF!</v>
      </c>
      <c r="M95" s="12" t="e">
        <f>L95*(1+BW95/100)</f>
        <v>#REF!</v>
      </c>
      <c r="N95" s="12">
        <v>0</v>
      </c>
      <c r="O95" s="12" t="e">
        <f>G95*N95</f>
        <v>#REF!</v>
      </c>
      <c r="P95" s="50" t="s">
        <v>21</v>
      </c>
      <c r="Z95" s="12">
        <f>IF(AQ95="5",BJ95,0)</f>
        <v>0</v>
      </c>
      <c r="AB95" s="12">
        <f>IF(AQ95="1",BH95,0)</f>
        <v>0</v>
      </c>
      <c r="AC95" s="12">
        <f>IF(AQ95="1",BI95,0)</f>
        <v>0</v>
      </c>
      <c r="AD95" s="12" t="e">
        <f>IF(AQ95="7",BH95,0)</f>
        <v>#REF!</v>
      </c>
      <c r="AE95" s="12" t="e">
        <f>IF(AQ95="7",BI95,0)</f>
        <v>#REF!</v>
      </c>
      <c r="AF95" s="12">
        <f>IF(AQ95="2",BH95,0)</f>
        <v>0</v>
      </c>
      <c r="AG95" s="12">
        <f>IF(AQ95="2",BI95,0)</f>
        <v>0</v>
      </c>
      <c r="AH95" s="12">
        <f>IF(AQ95="0",BJ95,0)</f>
        <v>0</v>
      </c>
      <c r="AI95" s="10" t="s">
        <v>598</v>
      </c>
      <c r="AJ95" s="12">
        <f>IF(AN95=0,L95,0)</f>
        <v>0</v>
      </c>
      <c r="AK95" s="12">
        <f>IF(AN95=12,L95,0)</f>
        <v>0</v>
      </c>
      <c r="AL95" s="12" t="e">
        <f>IF(AN95=21,L95,0)</f>
        <v>#REF!</v>
      </c>
      <c r="AN95" s="12">
        <v>21</v>
      </c>
      <c r="AO95" s="12" t="e">
        <f>H95*0.979850317</f>
        <v>#REF!</v>
      </c>
      <c r="AP95" s="12" t="e">
        <f>H95*(1-0.979850317)</f>
        <v>#REF!</v>
      </c>
      <c r="AQ95" s="49" t="s">
        <v>567</v>
      </c>
      <c r="AV95" s="12" t="e">
        <f>AW95+AX95</f>
        <v>#REF!</v>
      </c>
      <c r="AW95" s="12" t="e">
        <f>G95*AO95</f>
        <v>#REF!</v>
      </c>
      <c r="AX95" s="12" t="e">
        <f>G95*AP95</f>
        <v>#REF!</v>
      </c>
      <c r="AY95" s="49" t="s">
        <v>580</v>
      </c>
      <c r="AZ95" s="49" t="s">
        <v>635</v>
      </c>
      <c r="BA95" s="10" t="s">
        <v>601</v>
      </c>
      <c r="BC95" s="12" t="e">
        <f>AW95+AX95</f>
        <v>#REF!</v>
      </c>
      <c r="BD95" s="12" t="e">
        <f>H95/(100-BE95)*100</f>
        <v>#REF!</v>
      </c>
      <c r="BE95" s="12">
        <v>0</v>
      </c>
      <c r="BF95" s="12" t="e">
        <f>O95</f>
        <v>#REF!</v>
      </c>
      <c r="BH95" s="12" t="e">
        <f>G95*AO95</f>
        <v>#REF!</v>
      </c>
      <c r="BI95" s="12" t="e">
        <f>G95*AP95</f>
        <v>#REF!</v>
      </c>
      <c r="BJ95" s="12" t="e">
        <f>G95*H95</f>
        <v>#REF!</v>
      </c>
      <c r="BK95" s="12"/>
      <c r="BL95" s="12">
        <v>732</v>
      </c>
      <c r="BW95" s="12" t="str">
        <f>I95</f>
        <v>21</v>
      </c>
      <c r="BX95" s="3" t="s">
        <v>180</v>
      </c>
    </row>
    <row r="96" spans="1:76">
      <c r="A96" s="1" t="s">
        <v>282</v>
      </c>
      <c r="B96" s="2" t="s">
        <v>598</v>
      </c>
      <c r="C96" s="2" t="s">
        <v>181</v>
      </c>
      <c r="D96" s="349" t="s">
        <v>182</v>
      </c>
      <c r="E96" s="342"/>
      <c r="F96" s="2" t="s">
        <v>58</v>
      </c>
      <c r="G96" s="12" t="e">
        <f>#REF!</f>
        <v>#REF!</v>
      </c>
      <c r="H96" s="12" t="e">
        <f>#REF!</f>
        <v>#REF!</v>
      </c>
      <c r="I96" s="49" t="s">
        <v>554</v>
      </c>
      <c r="J96" s="12" t="e">
        <f>G96*AO96</f>
        <v>#REF!</v>
      </c>
      <c r="K96" s="12" t="e">
        <f>G96*AP96</f>
        <v>#REF!</v>
      </c>
      <c r="L96" s="12" t="e">
        <f>G96*H96</f>
        <v>#REF!</v>
      </c>
      <c r="M96" s="12" t="e">
        <f>L96*(1+BW96/100)</f>
        <v>#REF!</v>
      </c>
      <c r="N96" s="12">
        <v>3.3899999999999998E-3</v>
      </c>
      <c r="O96" s="12" t="e">
        <f>G96*N96</f>
        <v>#REF!</v>
      </c>
      <c r="P96" s="50" t="s">
        <v>605</v>
      </c>
      <c r="Z96" s="12">
        <f>IF(AQ96="5",BJ96,0)</f>
        <v>0</v>
      </c>
      <c r="AB96" s="12">
        <f>IF(AQ96="1",BH96,0)</f>
        <v>0</v>
      </c>
      <c r="AC96" s="12">
        <f>IF(AQ96="1",BI96,0)</f>
        <v>0</v>
      </c>
      <c r="AD96" s="12" t="e">
        <f>IF(AQ96="7",BH96,0)</f>
        <v>#REF!</v>
      </c>
      <c r="AE96" s="12" t="e">
        <f>IF(AQ96="7",BI96,0)</f>
        <v>#REF!</v>
      </c>
      <c r="AF96" s="12">
        <f>IF(AQ96="2",BH96,0)</f>
        <v>0</v>
      </c>
      <c r="AG96" s="12">
        <f>IF(AQ96="2",BI96,0)</f>
        <v>0</v>
      </c>
      <c r="AH96" s="12">
        <f>IF(AQ96="0",BJ96,0)</f>
        <v>0</v>
      </c>
      <c r="AI96" s="10" t="s">
        <v>598</v>
      </c>
      <c r="AJ96" s="12">
        <f>IF(AN96=0,L96,0)</f>
        <v>0</v>
      </c>
      <c r="AK96" s="12">
        <f>IF(AN96=12,L96,0)</f>
        <v>0</v>
      </c>
      <c r="AL96" s="12" t="e">
        <f>IF(AN96=21,L96,0)</f>
        <v>#REF!</v>
      </c>
      <c r="AN96" s="12">
        <v>21</v>
      </c>
      <c r="AO96" s="12" t="e">
        <f>H96*0.967563107</f>
        <v>#REF!</v>
      </c>
      <c r="AP96" s="12" t="e">
        <f>H96*(1-0.967563107)</f>
        <v>#REF!</v>
      </c>
      <c r="AQ96" s="49" t="s">
        <v>567</v>
      </c>
      <c r="AV96" s="12" t="e">
        <f>AW96+AX96</f>
        <v>#REF!</v>
      </c>
      <c r="AW96" s="12" t="e">
        <f>G96*AO96</f>
        <v>#REF!</v>
      </c>
      <c r="AX96" s="12" t="e">
        <f>G96*AP96</f>
        <v>#REF!</v>
      </c>
      <c r="AY96" s="49" t="s">
        <v>580</v>
      </c>
      <c r="AZ96" s="49" t="s">
        <v>635</v>
      </c>
      <c r="BA96" s="10" t="s">
        <v>601</v>
      </c>
      <c r="BC96" s="12" t="e">
        <f>AW96+AX96</f>
        <v>#REF!</v>
      </c>
      <c r="BD96" s="12" t="e">
        <f>H96/(100-BE96)*100</f>
        <v>#REF!</v>
      </c>
      <c r="BE96" s="12">
        <v>0</v>
      </c>
      <c r="BF96" s="12" t="e">
        <f>O96</f>
        <v>#REF!</v>
      </c>
      <c r="BH96" s="12" t="e">
        <f>G96*AO96</f>
        <v>#REF!</v>
      </c>
      <c r="BI96" s="12" t="e">
        <f>G96*AP96</f>
        <v>#REF!</v>
      </c>
      <c r="BJ96" s="12" t="e">
        <f>G96*H96</f>
        <v>#REF!</v>
      </c>
      <c r="BK96" s="12"/>
      <c r="BL96" s="12">
        <v>732</v>
      </c>
      <c r="BW96" s="12" t="str">
        <f>I96</f>
        <v>21</v>
      </c>
      <c r="BX96" s="3" t="s">
        <v>182</v>
      </c>
    </row>
    <row r="97" spans="1:76">
      <c r="A97" s="46" t="s">
        <v>21</v>
      </c>
      <c r="B97" s="9" t="s">
        <v>598</v>
      </c>
      <c r="C97" s="9" t="s">
        <v>85</v>
      </c>
      <c r="D97" s="359" t="s">
        <v>86</v>
      </c>
      <c r="E97" s="360"/>
      <c r="F97" s="47" t="s">
        <v>20</v>
      </c>
      <c r="G97" s="47" t="s">
        <v>20</v>
      </c>
      <c r="H97" s="47" t="s">
        <v>20</v>
      </c>
      <c r="I97" s="47" t="s">
        <v>20</v>
      </c>
      <c r="J97" s="11" t="e">
        <f>SUM(J98:J103)</f>
        <v>#REF!</v>
      </c>
      <c r="K97" s="11" t="e">
        <f>SUM(K98:K103)</f>
        <v>#REF!</v>
      </c>
      <c r="L97" s="11" t="e">
        <f>SUM(L98:L103)</f>
        <v>#REF!</v>
      </c>
      <c r="M97" s="11" t="e">
        <f>SUM(M98:M103)</f>
        <v>#REF!</v>
      </c>
      <c r="N97" s="10" t="s">
        <v>21</v>
      </c>
      <c r="O97" s="11" t="e">
        <f>SUM(O98:O103)</f>
        <v>#REF!</v>
      </c>
      <c r="P97" s="48" t="s">
        <v>21</v>
      </c>
      <c r="AI97" s="10" t="s">
        <v>598</v>
      </c>
      <c r="AS97" s="11">
        <f>SUM(AJ98:AJ103)</f>
        <v>0</v>
      </c>
      <c r="AT97" s="11">
        <f>SUM(AK98:AK103)</f>
        <v>0</v>
      </c>
      <c r="AU97" s="11" t="e">
        <f>SUM(AL98:AL103)</f>
        <v>#REF!</v>
      </c>
    </row>
    <row r="98" spans="1:76">
      <c r="A98" s="1" t="s">
        <v>636</v>
      </c>
      <c r="B98" s="2" t="s">
        <v>598</v>
      </c>
      <c r="C98" s="2" t="s">
        <v>87</v>
      </c>
      <c r="D98" s="349" t="s">
        <v>88</v>
      </c>
      <c r="E98" s="342"/>
      <c r="F98" s="2" t="s">
        <v>68</v>
      </c>
      <c r="G98" s="12" t="e">
        <f>#REF!</f>
        <v>#REF!</v>
      </c>
      <c r="H98" s="12" t="e">
        <f>#REF!</f>
        <v>#REF!</v>
      </c>
      <c r="I98" s="49" t="s">
        <v>554</v>
      </c>
      <c r="J98" s="12" t="e">
        <f t="shared" ref="J98:J103" si="78">G98*AO98</f>
        <v>#REF!</v>
      </c>
      <c r="K98" s="12" t="e">
        <f t="shared" ref="K98:K103" si="79">G98*AP98</f>
        <v>#REF!</v>
      </c>
      <c r="L98" s="12" t="e">
        <f t="shared" ref="L98:L103" si="80">G98*H98</f>
        <v>#REF!</v>
      </c>
      <c r="M98" s="12" t="e">
        <f t="shared" ref="M98:M103" si="81">L98*(1+BW98/100)</f>
        <v>#REF!</v>
      </c>
      <c r="N98" s="12">
        <v>7.9000000000000001E-4</v>
      </c>
      <c r="O98" s="12" t="e">
        <f t="shared" ref="O98:O103" si="82">G98*N98</f>
        <v>#REF!</v>
      </c>
      <c r="P98" s="50" t="s">
        <v>577</v>
      </c>
      <c r="Z98" s="12">
        <f t="shared" ref="Z98:Z103" si="83">IF(AQ98="5",BJ98,0)</f>
        <v>0</v>
      </c>
      <c r="AB98" s="12">
        <f t="shared" ref="AB98:AB103" si="84">IF(AQ98="1",BH98,0)</f>
        <v>0</v>
      </c>
      <c r="AC98" s="12">
        <f t="shared" ref="AC98:AC103" si="85">IF(AQ98="1",BI98,0)</f>
        <v>0</v>
      </c>
      <c r="AD98" s="12" t="e">
        <f t="shared" ref="AD98:AD103" si="86">IF(AQ98="7",BH98,0)</f>
        <v>#REF!</v>
      </c>
      <c r="AE98" s="12" t="e">
        <f t="shared" ref="AE98:AE103" si="87">IF(AQ98="7",BI98,0)</f>
        <v>#REF!</v>
      </c>
      <c r="AF98" s="12">
        <f t="shared" ref="AF98:AF103" si="88">IF(AQ98="2",BH98,0)</f>
        <v>0</v>
      </c>
      <c r="AG98" s="12">
        <f t="shared" ref="AG98:AG103" si="89">IF(AQ98="2",BI98,0)</f>
        <v>0</v>
      </c>
      <c r="AH98" s="12">
        <f t="shared" ref="AH98:AH103" si="90">IF(AQ98="0",BJ98,0)</f>
        <v>0</v>
      </c>
      <c r="AI98" s="10" t="s">
        <v>598</v>
      </c>
      <c r="AJ98" s="12">
        <f t="shared" ref="AJ98:AJ103" si="91">IF(AN98=0,L98,0)</f>
        <v>0</v>
      </c>
      <c r="AK98" s="12">
        <f t="shared" ref="AK98:AK103" si="92">IF(AN98=12,L98,0)</f>
        <v>0</v>
      </c>
      <c r="AL98" s="12" t="e">
        <f t="shared" ref="AL98:AL103" si="93">IF(AN98=21,L98,0)</f>
        <v>#REF!</v>
      </c>
      <c r="AN98" s="12">
        <v>21</v>
      </c>
      <c r="AO98" s="12" t="e">
        <f>H98*0.254457323</f>
        <v>#REF!</v>
      </c>
      <c r="AP98" s="12" t="e">
        <f>H98*(1-0.254457323)</f>
        <v>#REF!</v>
      </c>
      <c r="AQ98" s="49" t="s">
        <v>567</v>
      </c>
      <c r="AV98" s="12" t="e">
        <f t="shared" ref="AV98:AV103" si="94">AW98+AX98</f>
        <v>#REF!</v>
      </c>
      <c r="AW98" s="12" t="e">
        <f t="shared" ref="AW98:AW103" si="95">G98*AO98</f>
        <v>#REF!</v>
      </c>
      <c r="AX98" s="12" t="e">
        <f t="shared" ref="AX98:AX103" si="96">G98*AP98</f>
        <v>#REF!</v>
      </c>
      <c r="AY98" s="49" t="s">
        <v>588</v>
      </c>
      <c r="AZ98" s="49" t="s">
        <v>635</v>
      </c>
      <c r="BA98" s="10" t="s">
        <v>601</v>
      </c>
      <c r="BC98" s="12" t="e">
        <f t="shared" ref="BC98:BC103" si="97">AW98+AX98</f>
        <v>#REF!</v>
      </c>
      <c r="BD98" s="12" t="e">
        <f t="shared" ref="BD98:BD103" si="98">H98/(100-BE98)*100</f>
        <v>#REF!</v>
      </c>
      <c r="BE98" s="12">
        <v>0</v>
      </c>
      <c r="BF98" s="12" t="e">
        <f t="shared" ref="BF98:BF103" si="99">O98</f>
        <v>#REF!</v>
      </c>
      <c r="BH98" s="12" t="e">
        <f t="shared" ref="BH98:BH103" si="100">G98*AO98</f>
        <v>#REF!</v>
      </c>
      <c r="BI98" s="12" t="e">
        <f t="shared" ref="BI98:BI103" si="101">G98*AP98</f>
        <v>#REF!</v>
      </c>
      <c r="BJ98" s="12" t="e">
        <f t="shared" ref="BJ98:BJ103" si="102">G98*H98</f>
        <v>#REF!</v>
      </c>
      <c r="BK98" s="12"/>
      <c r="BL98" s="12">
        <v>733</v>
      </c>
      <c r="BW98" s="12" t="str">
        <f t="shared" ref="BW98:BW103" si="103">I98</f>
        <v>21</v>
      </c>
      <c r="BX98" s="3" t="s">
        <v>88</v>
      </c>
    </row>
    <row r="99" spans="1:76">
      <c r="A99" s="1" t="s">
        <v>637</v>
      </c>
      <c r="B99" s="2" t="s">
        <v>598</v>
      </c>
      <c r="C99" s="2" t="s">
        <v>183</v>
      </c>
      <c r="D99" s="349" t="s">
        <v>184</v>
      </c>
      <c r="E99" s="342"/>
      <c r="F99" s="2" t="s">
        <v>68</v>
      </c>
      <c r="G99" s="12" t="e">
        <f>#REF!</f>
        <v>#REF!</v>
      </c>
      <c r="H99" s="12" t="e">
        <f>#REF!</f>
        <v>#REF!</v>
      </c>
      <c r="I99" s="49" t="s">
        <v>554</v>
      </c>
      <c r="J99" s="12" t="e">
        <f t="shared" si="78"/>
        <v>#REF!</v>
      </c>
      <c r="K99" s="12" t="e">
        <f t="shared" si="79"/>
        <v>#REF!</v>
      </c>
      <c r="L99" s="12" t="e">
        <f t="shared" si="80"/>
        <v>#REF!</v>
      </c>
      <c r="M99" s="12" t="e">
        <f t="shared" si="81"/>
        <v>#REF!</v>
      </c>
      <c r="N99" s="12">
        <v>8.9099999999999995E-3</v>
      </c>
      <c r="O99" s="12" t="e">
        <f t="shared" si="82"/>
        <v>#REF!</v>
      </c>
      <c r="P99" s="50" t="s">
        <v>577</v>
      </c>
      <c r="Z99" s="12">
        <f t="shared" si="83"/>
        <v>0</v>
      </c>
      <c r="AB99" s="12">
        <f t="shared" si="84"/>
        <v>0</v>
      </c>
      <c r="AC99" s="12">
        <f t="shared" si="85"/>
        <v>0</v>
      </c>
      <c r="AD99" s="12" t="e">
        <f t="shared" si="86"/>
        <v>#REF!</v>
      </c>
      <c r="AE99" s="12" t="e">
        <f t="shared" si="87"/>
        <v>#REF!</v>
      </c>
      <c r="AF99" s="12">
        <f t="shared" si="88"/>
        <v>0</v>
      </c>
      <c r="AG99" s="12">
        <f t="shared" si="89"/>
        <v>0</v>
      </c>
      <c r="AH99" s="12">
        <f t="shared" si="90"/>
        <v>0</v>
      </c>
      <c r="AI99" s="10" t="s">
        <v>598</v>
      </c>
      <c r="AJ99" s="12">
        <f t="shared" si="91"/>
        <v>0</v>
      </c>
      <c r="AK99" s="12">
        <f t="shared" si="92"/>
        <v>0</v>
      </c>
      <c r="AL99" s="12" t="e">
        <f t="shared" si="93"/>
        <v>#REF!</v>
      </c>
      <c r="AN99" s="12">
        <v>21</v>
      </c>
      <c r="AO99" s="12" t="e">
        <f>H99*0.509344257</f>
        <v>#REF!</v>
      </c>
      <c r="AP99" s="12" t="e">
        <f>H99*(1-0.509344257)</f>
        <v>#REF!</v>
      </c>
      <c r="AQ99" s="49" t="s">
        <v>567</v>
      </c>
      <c r="AV99" s="12" t="e">
        <f t="shared" si="94"/>
        <v>#REF!</v>
      </c>
      <c r="AW99" s="12" t="e">
        <f t="shared" si="95"/>
        <v>#REF!</v>
      </c>
      <c r="AX99" s="12" t="e">
        <f t="shared" si="96"/>
        <v>#REF!</v>
      </c>
      <c r="AY99" s="49" t="s">
        <v>588</v>
      </c>
      <c r="AZ99" s="49" t="s">
        <v>635</v>
      </c>
      <c r="BA99" s="10" t="s">
        <v>601</v>
      </c>
      <c r="BC99" s="12" t="e">
        <f t="shared" si="97"/>
        <v>#REF!</v>
      </c>
      <c r="BD99" s="12" t="e">
        <f t="shared" si="98"/>
        <v>#REF!</v>
      </c>
      <c r="BE99" s="12">
        <v>0</v>
      </c>
      <c r="BF99" s="12" t="e">
        <f t="shared" si="99"/>
        <v>#REF!</v>
      </c>
      <c r="BH99" s="12" t="e">
        <f t="shared" si="100"/>
        <v>#REF!</v>
      </c>
      <c r="BI99" s="12" t="e">
        <f t="shared" si="101"/>
        <v>#REF!</v>
      </c>
      <c r="BJ99" s="12" t="e">
        <f t="shared" si="102"/>
        <v>#REF!</v>
      </c>
      <c r="BK99" s="12"/>
      <c r="BL99" s="12">
        <v>733</v>
      </c>
      <c r="BW99" s="12" t="str">
        <f t="shared" si="103"/>
        <v>21</v>
      </c>
      <c r="BX99" s="3" t="s">
        <v>184</v>
      </c>
    </row>
    <row r="100" spans="1:76">
      <c r="A100" s="1" t="s">
        <v>638</v>
      </c>
      <c r="B100" s="2" t="s">
        <v>598</v>
      </c>
      <c r="C100" s="2" t="s">
        <v>185</v>
      </c>
      <c r="D100" s="349" t="s">
        <v>186</v>
      </c>
      <c r="E100" s="342"/>
      <c r="F100" s="2" t="s">
        <v>63</v>
      </c>
      <c r="G100" s="12" t="e">
        <f>#REF!</f>
        <v>#REF!</v>
      </c>
      <c r="H100" s="12" t="e">
        <f>#REF!</f>
        <v>#REF!</v>
      </c>
      <c r="I100" s="49" t="s">
        <v>554</v>
      </c>
      <c r="J100" s="12" t="e">
        <f t="shared" si="78"/>
        <v>#REF!</v>
      </c>
      <c r="K100" s="12" t="e">
        <f t="shared" si="79"/>
        <v>#REF!</v>
      </c>
      <c r="L100" s="12" t="e">
        <f t="shared" si="80"/>
        <v>#REF!</v>
      </c>
      <c r="M100" s="12" t="e">
        <f t="shared" si="81"/>
        <v>#REF!</v>
      </c>
      <c r="N100" s="12">
        <v>6.8500000000000002E-3</v>
      </c>
      <c r="O100" s="12" t="e">
        <f t="shared" si="82"/>
        <v>#REF!</v>
      </c>
      <c r="P100" s="50" t="s">
        <v>577</v>
      </c>
      <c r="Z100" s="12">
        <f t="shared" si="83"/>
        <v>0</v>
      </c>
      <c r="AB100" s="12">
        <f t="shared" si="84"/>
        <v>0</v>
      </c>
      <c r="AC100" s="12">
        <f t="shared" si="85"/>
        <v>0</v>
      </c>
      <c r="AD100" s="12" t="e">
        <f t="shared" si="86"/>
        <v>#REF!</v>
      </c>
      <c r="AE100" s="12" t="e">
        <f t="shared" si="87"/>
        <v>#REF!</v>
      </c>
      <c r="AF100" s="12">
        <f t="shared" si="88"/>
        <v>0</v>
      </c>
      <c r="AG100" s="12">
        <f t="shared" si="89"/>
        <v>0</v>
      </c>
      <c r="AH100" s="12">
        <f t="shared" si="90"/>
        <v>0</v>
      </c>
      <c r="AI100" s="10" t="s">
        <v>598</v>
      </c>
      <c r="AJ100" s="12">
        <f t="shared" si="91"/>
        <v>0</v>
      </c>
      <c r="AK100" s="12">
        <f t="shared" si="92"/>
        <v>0</v>
      </c>
      <c r="AL100" s="12" t="e">
        <f t="shared" si="93"/>
        <v>#REF!</v>
      </c>
      <c r="AN100" s="12">
        <v>21</v>
      </c>
      <c r="AO100" s="12" t="e">
        <f>H100*0.53375</f>
        <v>#REF!</v>
      </c>
      <c r="AP100" s="12" t="e">
        <f>H100*(1-0.53375)</f>
        <v>#REF!</v>
      </c>
      <c r="AQ100" s="49" t="s">
        <v>567</v>
      </c>
      <c r="AV100" s="12" t="e">
        <f t="shared" si="94"/>
        <v>#REF!</v>
      </c>
      <c r="AW100" s="12" t="e">
        <f t="shared" si="95"/>
        <v>#REF!</v>
      </c>
      <c r="AX100" s="12" t="e">
        <f t="shared" si="96"/>
        <v>#REF!</v>
      </c>
      <c r="AY100" s="49" t="s">
        <v>588</v>
      </c>
      <c r="AZ100" s="49" t="s">
        <v>635</v>
      </c>
      <c r="BA100" s="10" t="s">
        <v>601</v>
      </c>
      <c r="BC100" s="12" t="e">
        <f t="shared" si="97"/>
        <v>#REF!</v>
      </c>
      <c r="BD100" s="12" t="e">
        <f t="shared" si="98"/>
        <v>#REF!</v>
      </c>
      <c r="BE100" s="12">
        <v>0</v>
      </c>
      <c r="BF100" s="12" t="e">
        <f t="shared" si="99"/>
        <v>#REF!</v>
      </c>
      <c r="BH100" s="12" t="e">
        <f t="shared" si="100"/>
        <v>#REF!</v>
      </c>
      <c r="BI100" s="12" t="e">
        <f t="shared" si="101"/>
        <v>#REF!</v>
      </c>
      <c r="BJ100" s="12" t="e">
        <f t="shared" si="102"/>
        <v>#REF!</v>
      </c>
      <c r="BK100" s="12"/>
      <c r="BL100" s="12">
        <v>733</v>
      </c>
      <c r="BW100" s="12" t="str">
        <f t="shared" si="103"/>
        <v>21</v>
      </c>
      <c r="BX100" s="3" t="s">
        <v>186</v>
      </c>
    </row>
    <row r="101" spans="1:76">
      <c r="A101" s="1" t="s">
        <v>639</v>
      </c>
      <c r="B101" s="2" t="s">
        <v>598</v>
      </c>
      <c r="C101" s="2" t="s">
        <v>187</v>
      </c>
      <c r="D101" s="349" t="s">
        <v>188</v>
      </c>
      <c r="E101" s="342"/>
      <c r="F101" s="2" t="s">
        <v>63</v>
      </c>
      <c r="G101" s="12" t="e">
        <f>#REF!</f>
        <v>#REF!</v>
      </c>
      <c r="H101" s="12" t="e">
        <f>#REF!</f>
        <v>#REF!</v>
      </c>
      <c r="I101" s="49" t="s">
        <v>554</v>
      </c>
      <c r="J101" s="12" t="e">
        <f t="shared" si="78"/>
        <v>#REF!</v>
      </c>
      <c r="K101" s="12" t="e">
        <f t="shared" si="79"/>
        <v>#REF!</v>
      </c>
      <c r="L101" s="12" t="e">
        <f t="shared" si="80"/>
        <v>#REF!</v>
      </c>
      <c r="M101" s="12" t="e">
        <f t="shared" si="81"/>
        <v>#REF!</v>
      </c>
      <c r="N101" s="12">
        <v>6.3299999999999997E-3</v>
      </c>
      <c r="O101" s="12" t="e">
        <f t="shared" si="82"/>
        <v>#REF!</v>
      </c>
      <c r="P101" s="50" t="s">
        <v>577</v>
      </c>
      <c r="Z101" s="12">
        <f t="shared" si="83"/>
        <v>0</v>
      </c>
      <c r="AB101" s="12">
        <f t="shared" si="84"/>
        <v>0</v>
      </c>
      <c r="AC101" s="12">
        <f t="shared" si="85"/>
        <v>0</v>
      </c>
      <c r="AD101" s="12" t="e">
        <f t="shared" si="86"/>
        <v>#REF!</v>
      </c>
      <c r="AE101" s="12" t="e">
        <f t="shared" si="87"/>
        <v>#REF!</v>
      </c>
      <c r="AF101" s="12">
        <f t="shared" si="88"/>
        <v>0</v>
      </c>
      <c r="AG101" s="12">
        <f t="shared" si="89"/>
        <v>0</v>
      </c>
      <c r="AH101" s="12">
        <f t="shared" si="90"/>
        <v>0</v>
      </c>
      <c r="AI101" s="10" t="s">
        <v>598</v>
      </c>
      <c r="AJ101" s="12">
        <f t="shared" si="91"/>
        <v>0</v>
      </c>
      <c r="AK101" s="12">
        <f t="shared" si="92"/>
        <v>0</v>
      </c>
      <c r="AL101" s="12" t="e">
        <f t="shared" si="93"/>
        <v>#REF!</v>
      </c>
      <c r="AN101" s="12">
        <v>21</v>
      </c>
      <c r="AO101" s="12" t="e">
        <f>H101*0.546402878</f>
        <v>#REF!</v>
      </c>
      <c r="AP101" s="12" t="e">
        <f>H101*(1-0.546402878)</f>
        <v>#REF!</v>
      </c>
      <c r="AQ101" s="49" t="s">
        <v>567</v>
      </c>
      <c r="AV101" s="12" t="e">
        <f t="shared" si="94"/>
        <v>#REF!</v>
      </c>
      <c r="AW101" s="12" t="e">
        <f t="shared" si="95"/>
        <v>#REF!</v>
      </c>
      <c r="AX101" s="12" t="e">
        <f t="shared" si="96"/>
        <v>#REF!</v>
      </c>
      <c r="AY101" s="49" t="s">
        <v>588</v>
      </c>
      <c r="AZ101" s="49" t="s">
        <v>635</v>
      </c>
      <c r="BA101" s="10" t="s">
        <v>601</v>
      </c>
      <c r="BC101" s="12" t="e">
        <f t="shared" si="97"/>
        <v>#REF!</v>
      </c>
      <c r="BD101" s="12" t="e">
        <f t="shared" si="98"/>
        <v>#REF!</v>
      </c>
      <c r="BE101" s="12">
        <v>0</v>
      </c>
      <c r="BF101" s="12" t="e">
        <f t="shared" si="99"/>
        <v>#REF!</v>
      </c>
      <c r="BH101" s="12" t="e">
        <f t="shared" si="100"/>
        <v>#REF!</v>
      </c>
      <c r="BI101" s="12" t="e">
        <f t="shared" si="101"/>
        <v>#REF!</v>
      </c>
      <c r="BJ101" s="12" t="e">
        <f t="shared" si="102"/>
        <v>#REF!</v>
      </c>
      <c r="BK101" s="12"/>
      <c r="BL101" s="12">
        <v>733</v>
      </c>
      <c r="BW101" s="12" t="str">
        <f t="shared" si="103"/>
        <v>21</v>
      </c>
      <c r="BX101" s="3" t="s">
        <v>188</v>
      </c>
    </row>
    <row r="102" spans="1:76">
      <c r="A102" s="1" t="s">
        <v>640</v>
      </c>
      <c r="B102" s="2" t="s">
        <v>598</v>
      </c>
      <c r="C102" s="2" t="s">
        <v>189</v>
      </c>
      <c r="D102" s="349" t="s">
        <v>190</v>
      </c>
      <c r="E102" s="342"/>
      <c r="F102" s="2" t="s">
        <v>63</v>
      </c>
      <c r="G102" s="12" t="e">
        <f>#REF!</f>
        <v>#REF!</v>
      </c>
      <c r="H102" s="12" t="e">
        <f>#REF!</f>
        <v>#REF!</v>
      </c>
      <c r="I102" s="49" t="s">
        <v>554</v>
      </c>
      <c r="J102" s="12" t="e">
        <f t="shared" si="78"/>
        <v>#REF!</v>
      </c>
      <c r="K102" s="12" t="e">
        <f t="shared" si="79"/>
        <v>#REF!</v>
      </c>
      <c r="L102" s="12" t="e">
        <f t="shared" si="80"/>
        <v>#REF!</v>
      </c>
      <c r="M102" s="12" t="e">
        <f t="shared" si="81"/>
        <v>#REF!</v>
      </c>
      <c r="N102" s="12">
        <v>0</v>
      </c>
      <c r="O102" s="12" t="e">
        <f t="shared" si="82"/>
        <v>#REF!</v>
      </c>
      <c r="P102" s="50" t="s">
        <v>21</v>
      </c>
      <c r="Z102" s="12">
        <f t="shared" si="83"/>
        <v>0</v>
      </c>
      <c r="AB102" s="12">
        <f t="shared" si="84"/>
        <v>0</v>
      </c>
      <c r="AC102" s="12">
        <f t="shared" si="85"/>
        <v>0</v>
      </c>
      <c r="AD102" s="12" t="e">
        <f t="shared" si="86"/>
        <v>#REF!</v>
      </c>
      <c r="AE102" s="12" t="e">
        <f t="shared" si="87"/>
        <v>#REF!</v>
      </c>
      <c r="AF102" s="12">
        <f t="shared" si="88"/>
        <v>0</v>
      </c>
      <c r="AG102" s="12">
        <f t="shared" si="89"/>
        <v>0</v>
      </c>
      <c r="AH102" s="12">
        <f t="shared" si="90"/>
        <v>0</v>
      </c>
      <c r="AI102" s="10" t="s">
        <v>598</v>
      </c>
      <c r="AJ102" s="12">
        <f t="shared" si="91"/>
        <v>0</v>
      </c>
      <c r="AK102" s="12">
        <f t="shared" si="92"/>
        <v>0</v>
      </c>
      <c r="AL102" s="12" t="e">
        <f t="shared" si="93"/>
        <v>#REF!</v>
      </c>
      <c r="AN102" s="12">
        <v>21</v>
      </c>
      <c r="AO102" s="12" t="e">
        <f>H102*0</f>
        <v>#REF!</v>
      </c>
      <c r="AP102" s="12" t="e">
        <f>H102*(1-0)</f>
        <v>#REF!</v>
      </c>
      <c r="AQ102" s="49" t="s">
        <v>567</v>
      </c>
      <c r="AV102" s="12" t="e">
        <f t="shared" si="94"/>
        <v>#REF!</v>
      </c>
      <c r="AW102" s="12" t="e">
        <f t="shared" si="95"/>
        <v>#REF!</v>
      </c>
      <c r="AX102" s="12" t="e">
        <f t="shared" si="96"/>
        <v>#REF!</v>
      </c>
      <c r="AY102" s="49" t="s">
        <v>588</v>
      </c>
      <c r="AZ102" s="49" t="s">
        <v>635</v>
      </c>
      <c r="BA102" s="10" t="s">
        <v>601</v>
      </c>
      <c r="BC102" s="12" t="e">
        <f t="shared" si="97"/>
        <v>#REF!</v>
      </c>
      <c r="BD102" s="12" t="e">
        <f t="shared" si="98"/>
        <v>#REF!</v>
      </c>
      <c r="BE102" s="12">
        <v>0</v>
      </c>
      <c r="BF102" s="12" t="e">
        <f t="shared" si="99"/>
        <v>#REF!</v>
      </c>
      <c r="BH102" s="12" t="e">
        <f t="shared" si="100"/>
        <v>#REF!</v>
      </c>
      <c r="BI102" s="12" t="e">
        <f t="shared" si="101"/>
        <v>#REF!</v>
      </c>
      <c r="BJ102" s="12" t="e">
        <f t="shared" si="102"/>
        <v>#REF!</v>
      </c>
      <c r="BK102" s="12"/>
      <c r="BL102" s="12">
        <v>733</v>
      </c>
      <c r="BW102" s="12" t="str">
        <f t="shared" si="103"/>
        <v>21</v>
      </c>
      <c r="BX102" s="3" t="s">
        <v>190</v>
      </c>
    </row>
    <row r="103" spans="1:76">
      <c r="A103" s="1" t="s">
        <v>641</v>
      </c>
      <c r="B103" s="2" t="s">
        <v>598</v>
      </c>
      <c r="C103" s="2" t="s">
        <v>191</v>
      </c>
      <c r="D103" s="349" t="s">
        <v>192</v>
      </c>
      <c r="E103" s="342"/>
      <c r="F103" s="2" t="s">
        <v>63</v>
      </c>
      <c r="G103" s="12" t="e">
        <f>#REF!</f>
        <v>#REF!</v>
      </c>
      <c r="H103" s="12" t="e">
        <f>#REF!</f>
        <v>#REF!</v>
      </c>
      <c r="I103" s="49" t="s">
        <v>554</v>
      </c>
      <c r="J103" s="12" t="e">
        <f t="shared" si="78"/>
        <v>#REF!</v>
      </c>
      <c r="K103" s="12" t="e">
        <f t="shared" si="79"/>
        <v>#REF!</v>
      </c>
      <c r="L103" s="12" t="e">
        <f t="shared" si="80"/>
        <v>#REF!</v>
      </c>
      <c r="M103" s="12" t="e">
        <f t="shared" si="81"/>
        <v>#REF!</v>
      </c>
      <c r="N103" s="12">
        <v>1.1100000000000001E-3</v>
      </c>
      <c r="O103" s="12" t="e">
        <f t="shared" si="82"/>
        <v>#REF!</v>
      </c>
      <c r="P103" s="50" t="s">
        <v>577</v>
      </c>
      <c r="Z103" s="12">
        <f t="shared" si="83"/>
        <v>0</v>
      </c>
      <c r="AB103" s="12">
        <f t="shared" si="84"/>
        <v>0</v>
      </c>
      <c r="AC103" s="12">
        <f t="shared" si="85"/>
        <v>0</v>
      </c>
      <c r="AD103" s="12" t="e">
        <f t="shared" si="86"/>
        <v>#REF!</v>
      </c>
      <c r="AE103" s="12" t="e">
        <f t="shared" si="87"/>
        <v>#REF!</v>
      </c>
      <c r="AF103" s="12">
        <f t="shared" si="88"/>
        <v>0</v>
      </c>
      <c r="AG103" s="12">
        <f t="shared" si="89"/>
        <v>0</v>
      </c>
      <c r="AH103" s="12">
        <f t="shared" si="90"/>
        <v>0</v>
      </c>
      <c r="AI103" s="10" t="s">
        <v>598</v>
      </c>
      <c r="AJ103" s="12">
        <f t="shared" si="91"/>
        <v>0</v>
      </c>
      <c r="AK103" s="12">
        <f t="shared" si="92"/>
        <v>0</v>
      </c>
      <c r="AL103" s="12" t="e">
        <f t="shared" si="93"/>
        <v>#REF!</v>
      </c>
      <c r="AN103" s="12">
        <v>21</v>
      </c>
      <c r="AO103" s="12" t="e">
        <f>H103*1</f>
        <v>#REF!</v>
      </c>
      <c r="AP103" s="12" t="e">
        <f>H103*(1-1)</f>
        <v>#REF!</v>
      </c>
      <c r="AQ103" s="49" t="s">
        <v>567</v>
      </c>
      <c r="AV103" s="12" t="e">
        <f t="shared" si="94"/>
        <v>#REF!</v>
      </c>
      <c r="AW103" s="12" t="e">
        <f t="shared" si="95"/>
        <v>#REF!</v>
      </c>
      <c r="AX103" s="12" t="e">
        <f t="shared" si="96"/>
        <v>#REF!</v>
      </c>
      <c r="AY103" s="49" t="s">
        <v>588</v>
      </c>
      <c r="AZ103" s="49" t="s">
        <v>635</v>
      </c>
      <c r="BA103" s="10" t="s">
        <v>601</v>
      </c>
      <c r="BC103" s="12" t="e">
        <f t="shared" si="97"/>
        <v>#REF!</v>
      </c>
      <c r="BD103" s="12" t="e">
        <f t="shared" si="98"/>
        <v>#REF!</v>
      </c>
      <c r="BE103" s="12">
        <v>0</v>
      </c>
      <c r="BF103" s="12" t="e">
        <f t="shared" si="99"/>
        <v>#REF!</v>
      </c>
      <c r="BH103" s="12" t="e">
        <f t="shared" si="100"/>
        <v>#REF!</v>
      </c>
      <c r="BI103" s="12" t="e">
        <f t="shared" si="101"/>
        <v>#REF!</v>
      </c>
      <c r="BJ103" s="12" t="e">
        <f t="shared" si="102"/>
        <v>#REF!</v>
      </c>
      <c r="BK103" s="12"/>
      <c r="BL103" s="12">
        <v>733</v>
      </c>
      <c r="BW103" s="12" t="str">
        <f t="shared" si="103"/>
        <v>21</v>
      </c>
      <c r="BX103" s="3" t="s">
        <v>192</v>
      </c>
    </row>
    <row r="104" spans="1:76" ht="165.75">
      <c r="A104" s="51"/>
      <c r="C104" s="13" t="s">
        <v>117</v>
      </c>
      <c r="D104" s="363" t="s">
        <v>193</v>
      </c>
      <c r="E104" s="364"/>
      <c r="F104" s="364"/>
      <c r="G104" s="364"/>
      <c r="H104" s="364"/>
      <c r="I104" s="364"/>
      <c r="J104" s="364"/>
      <c r="K104" s="364"/>
      <c r="L104" s="364"/>
      <c r="M104" s="364"/>
      <c r="N104" s="364"/>
      <c r="O104" s="364"/>
      <c r="P104" s="365"/>
      <c r="BX104" s="14" t="s">
        <v>193</v>
      </c>
    </row>
    <row r="105" spans="1:76">
      <c r="A105" s="46" t="s">
        <v>21</v>
      </c>
      <c r="B105" s="9" t="s">
        <v>598</v>
      </c>
      <c r="C105" s="9" t="s">
        <v>95</v>
      </c>
      <c r="D105" s="359" t="s">
        <v>96</v>
      </c>
      <c r="E105" s="360"/>
      <c r="F105" s="47" t="s">
        <v>20</v>
      </c>
      <c r="G105" s="47" t="s">
        <v>20</v>
      </c>
      <c r="H105" s="47" t="s">
        <v>20</v>
      </c>
      <c r="I105" s="47" t="s">
        <v>20</v>
      </c>
      <c r="J105" s="11" t="e">
        <f>SUM(J106:J129)</f>
        <v>#REF!</v>
      </c>
      <c r="K105" s="11" t="e">
        <f>SUM(K106:K129)</f>
        <v>#REF!</v>
      </c>
      <c r="L105" s="11" t="e">
        <f>SUM(L106:L129)</f>
        <v>#REF!</v>
      </c>
      <c r="M105" s="11" t="e">
        <f>SUM(M106:M129)</f>
        <v>#REF!</v>
      </c>
      <c r="N105" s="10" t="s">
        <v>21</v>
      </c>
      <c r="O105" s="11" t="e">
        <f>SUM(O106:O129)</f>
        <v>#REF!</v>
      </c>
      <c r="P105" s="48" t="s">
        <v>21</v>
      </c>
      <c r="AI105" s="10" t="s">
        <v>598</v>
      </c>
      <c r="AS105" s="11">
        <f>SUM(AJ106:AJ129)</f>
        <v>0</v>
      </c>
      <c r="AT105" s="11">
        <f>SUM(AK106:AK129)</f>
        <v>0</v>
      </c>
      <c r="AU105" s="11" t="e">
        <f>SUM(AL106:AL129)</f>
        <v>#REF!</v>
      </c>
    </row>
    <row r="106" spans="1:76">
      <c r="A106" s="1" t="s">
        <v>642</v>
      </c>
      <c r="B106" s="2" t="s">
        <v>598</v>
      </c>
      <c r="C106" s="2" t="s">
        <v>194</v>
      </c>
      <c r="D106" s="349" t="s">
        <v>195</v>
      </c>
      <c r="E106" s="342"/>
      <c r="F106" s="2" t="s">
        <v>58</v>
      </c>
      <c r="G106" s="12" t="e">
        <f>#REF!</f>
        <v>#REF!</v>
      </c>
      <c r="H106" s="12" t="e">
        <f>#REF!</f>
        <v>#REF!</v>
      </c>
      <c r="I106" s="49" t="s">
        <v>554</v>
      </c>
      <c r="J106" s="12" t="e">
        <f>G106*AO106</f>
        <v>#REF!</v>
      </c>
      <c r="K106" s="12" t="e">
        <f>G106*AP106</f>
        <v>#REF!</v>
      </c>
      <c r="L106" s="12" t="e">
        <f>G106*H106</f>
        <v>#REF!</v>
      </c>
      <c r="M106" s="12" t="e">
        <f>L106*(1+BW106/100)</f>
        <v>#REF!</v>
      </c>
      <c r="N106" s="12">
        <v>6.3400000000000001E-3</v>
      </c>
      <c r="O106" s="12" t="e">
        <f>G106*N106</f>
        <v>#REF!</v>
      </c>
      <c r="P106" s="50" t="s">
        <v>605</v>
      </c>
      <c r="Z106" s="12">
        <f>IF(AQ106="5",BJ106,0)</f>
        <v>0</v>
      </c>
      <c r="AB106" s="12">
        <f>IF(AQ106="1",BH106,0)</f>
        <v>0</v>
      </c>
      <c r="AC106" s="12">
        <f>IF(AQ106="1",BI106,0)</f>
        <v>0</v>
      </c>
      <c r="AD106" s="12" t="e">
        <f>IF(AQ106="7",BH106,0)</f>
        <v>#REF!</v>
      </c>
      <c r="AE106" s="12" t="e">
        <f>IF(AQ106="7",BI106,0)</f>
        <v>#REF!</v>
      </c>
      <c r="AF106" s="12">
        <f>IF(AQ106="2",BH106,0)</f>
        <v>0</v>
      </c>
      <c r="AG106" s="12">
        <f>IF(AQ106="2",BI106,0)</f>
        <v>0</v>
      </c>
      <c r="AH106" s="12">
        <f>IF(AQ106="0",BJ106,0)</f>
        <v>0</v>
      </c>
      <c r="AI106" s="10" t="s">
        <v>598</v>
      </c>
      <c r="AJ106" s="12">
        <f>IF(AN106=0,L106,0)</f>
        <v>0</v>
      </c>
      <c r="AK106" s="12">
        <f>IF(AN106=12,L106,0)</f>
        <v>0</v>
      </c>
      <c r="AL106" s="12" t="e">
        <f>IF(AN106=21,L106,0)</f>
        <v>#REF!</v>
      </c>
      <c r="AN106" s="12">
        <v>21</v>
      </c>
      <c r="AO106" s="12" t="e">
        <f>H106*0.48622109</f>
        <v>#REF!</v>
      </c>
      <c r="AP106" s="12" t="e">
        <f>H106*(1-0.48622109)</f>
        <v>#REF!</v>
      </c>
      <c r="AQ106" s="49" t="s">
        <v>567</v>
      </c>
      <c r="AV106" s="12" t="e">
        <f>AW106+AX106</f>
        <v>#REF!</v>
      </c>
      <c r="AW106" s="12" t="e">
        <f>G106*AO106</f>
        <v>#REF!</v>
      </c>
      <c r="AX106" s="12" t="e">
        <f>G106*AP106</f>
        <v>#REF!</v>
      </c>
      <c r="AY106" s="49" t="s">
        <v>593</v>
      </c>
      <c r="AZ106" s="49" t="s">
        <v>635</v>
      </c>
      <c r="BA106" s="10" t="s">
        <v>601</v>
      </c>
      <c r="BC106" s="12" t="e">
        <f>AW106+AX106</f>
        <v>#REF!</v>
      </c>
      <c r="BD106" s="12" t="e">
        <f>H106/(100-BE106)*100</f>
        <v>#REF!</v>
      </c>
      <c r="BE106" s="12">
        <v>0</v>
      </c>
      <c r="BF106" s="12" t="e">
        <f>O106</f>
        <v>#REF!</v>
      </c>
      <c r="BH106" s="12" t="e">
        <f>G106*AO106</f>
        <v>#REF!</v>
      </c>
      <c r="BI106" s="12" t="e">
        <f>G106*AP106</f>
        <v>#REF!</v>
      </c>
      <c r="BJ106" s="12" t="e">
        <f>G106*H106</f>
        <v>#REF!</v>
      </c>
      <c r="BK106" s="12"/>
      <c r="BL106" s="12">
        <v>734</v>
      </c>
      <c r="BW106" s="12" t="str">
        <f>I106</f>
        <v>21</v>
      </c>
      <c r="BX106" s="3" t="s">
        <v>195</v>
      </c>
    </row>
    <row r="107" spans="1:76">
      <c r="A107" s="1" t="s">
        <v>643</v>
      </c>
      <c r="B107" s="2" t="s">
        <v>598</v>
      </c>
      <c r="C107" s="2" t="s">
        <v>196</v>
      </c>
      <c r="D107" s="349" t="s">
        <v>197</v>
      </c>
      <c r="E107" s="342"/>
      <c r="F107" s="2" t="s">
        <v>68</v>
      </c>
      <c r="G107" s="12" t="e">
        <f>#REF!</f>
        <v>#REF!</v>
      </c>
      <c r="H107" s="12" t="e">
        <f>#REF!</f>
        <v>#REF!</v>
      </c>
      <c r="I107" s="49" t="s">
        <v>554</v>
      </c>
      <c r="J107" s="12" t="e">
        <f>G107*AO107</f>
        <v>#REF!</v>
      </c>
      <c r="K107" s="12" t="e">
        <f>G107*AP107</f>
        <v>#REF!</v>
      </c>
      <c r="L107" s="12" t="e">
        <f>G107*H107</f>
        <v>#REF!</v>
      </c>
      <c r="M107" s="12" t="e">
        <f>L107*(1+BW107/100)</f>
        <v>#REF!</v>
      </c>
      <c r="N107" s="12">
        <v>9.1800000000000007E-3</v>
      </c>
      <c r="O107" s="12" t="e">
        <f>G107*N107</f>
        <v>#REF!</v>
      </c>
      <c r="P107" s="50" t="s">
        <v>605</v>
      </c>
      <c r="Z107" s="12">
        <f>IF(AQ107="5",BJ107,0)</f>
        <v>0</v>
      </c>
      <c r="AB107" s="12">
        <f>IF(AQ107="1",BH107,0)</f>
        <v>0</v>
      </c>
      <c r="AC107" s="12">
        <f>IF(AQ107="1",BI107,0)</f>
        <v>0</v>
      </c>
      <c r="AD107" s="12" t="e">
        <f>IF(AQ107="7",BH107,0)</f>
        <v>#REF!</v>
      </c>
      <c r="AE107" s="12" t="e">
        <f>IF(AQ107="7",BI107,0)</f>
        <v>#REF!</v>
      </c>
      <c r="AF107" s="12">
        <f>IF(AQ107="2",BH107,0)</f>
        <v>0</v>
      </c>
      <c r="AG107" s="12">
        <f>IF(AQ107="2",BI107,0)</f>
        <v>0</v>
      </c>
      <c r="AH107" s="12">
        <f>IF(AQ107="0",BJ107,0)</f>
        <v>0</v>
      </c>
      <c r="AI107" s="10" t="s">
        <v>598</v>
      </c>
      <c r="AJ107" s="12">
        <f>IF(AN107=0,L107,0)</f>
        <v>0</v>
      </c>
      <c r="AK107" s="12">
        <f>IF(AN107=12,L107,0)</f>
        <v>0</v>
      </c>
      <c r="AL107" s="12" t="e">
        <f>IF(AN107=21,L107,0)</f>
        <v>#REF!</v>
      </c>
      <c r="AN107" s="12">
        <v>21</v>
      </c>
      <c r="AO107" s="12" t="e">
        <f>H107*1</f>
        <v>#REF!</v>
      </c>
      <c r="AP107" s="12" t="e">
        <f>H107*(1-1)</f>
        <v>#REF!</v>
      </c>
      <c r="AQ107" s="49" t="s">
        <v>567</v>
      </c>
      <c r="AV107" s="12" t="e">
        <f>AW107+AX107</f>
        <v>#REF!</v>
      </c>
      <c r="AW107" s="12" t="e">
        <f>G107*AO107</f>
        <v>#REF!</v>
      </c>
      <c r="AX107" s="12" t="e">
        <f>G107*AP107</f>
        <v>#REF!</v>
      </c>
      <c r="AY107" s="49" t="s">
        <v>593</v>
      </c>
      <c r="AZ107" s="49" t="s">
        <v>635</v>
      </c>
      <c r="BA107" s="10" t="s">
        <v>601</v>
      </c>
      <c r="BC107" s="12" t="e">
        <f>AW107+AX107</f>
        <v>#REF!</v>
      </c>
      <c r="BD107" s="12" t="e">
        <f>H107/(100-BE107)*100</f>
        <v>#REF!</v>
      </c>
      <c r="BE107" s="12">
        <v>0</v>
      </c>
      <c r="BF107" s="12" t="e">
        <f>O107</f>
        <v>#REF!</v>
      </c>
      <c r="BH107" s="12" t="e">
        <f>G107*AO107</f>
        <v>#REF!</v>
      </c>
      <c r="BI107" s="12" t="e">
        <f>G107*AP107</f>
        <v>#REF!</v>
      </c>
      <c r="BJ107" s="12" t="e">
        <f>G107*H107</f>
        <v>#REF!</v>
      </c>
      <c r="BK107" s="12"/>
      <c r="BL107" s="12">
        <v>734</v>
      </c>
      <c r="BW107" s="12" t="str">
        <f>I107</f>
        <v>21</v>
      </c>
      <c r="BX107" s="3" t="s">
        <v>197</v>
      </c>
    </row>
    <row r="108" spans="1:76">
      <c r="A108" s="51"/>
      <c r="C108" s="13" t="s">
        <v>117</v>
      </c>
      <c r="D108" s="363" t="s">
        <v>198</v>
      </c>
      <c r="E108" s="364"/>
      <c r="F108" s="364"/>
      <c r="G108" s="364"/>
      <c r="H108" s="364"/>
      <c r="I108" s="364"/>
      <c r="J108" s="364"/>
      <c r="K108" s="364"/>
      <c r="L108" s="364"/>
      <c r="M108" s="364"/>
      <c r="N108" s="364"/>
      <c r="O108" s="364"/>
      <c r="P108" s="365"/>
      <c r="BX108" s="14" t="s">
        <v>198</v>
      </c>
    </row>
    <row r="109" spans="1:76">
      <c r="A109" s="1" t="s">
        <v>644</v>
      </c>
      <c r="B109" s="2" t="s">
        <v>598</v>
      </c>
      <c r="C109" s="2" t="s">
        <v>199</v>
      </c>
      <c r="D109" s="349" t="s">
        <v>200</v>
      </c>
      <c r="E109" s="342"/>
      <c r="F109" s="2" t="s">
        <v>68</v>
      </c>
      <c r="G109" s="12" t="e">
        <f>#REF!</f>
        <v>#REF!</v>
      </c>
      <c r="H109" s="12" t="e">
        <f>#REF!</f>
        <v>#REF!</v>
      </c>
      <c r="I109" s="49" t="s">
        <v>554</v>
      </c>
      <c r="J109" s="12" t="e">
        <f>G109*AO109</f>
        <v>#REF!</v>
      </c>
      <c r="K109" s="12" t="e">
        <f>G109*AP109</f>
        <v>#REF!</v>
      </c>
      <c r="L109" s="12" t="e">
        <f>G109*H109</f>
        <v>#REF!</v>
      </c>
      <c r="M109" s="12" t="e">
        <f>L109*(1+BW109/100)</f>
        <v>#REF!</v>
      </c>
      <c r="N109" s="12">
        <v>4.4999999999999997E-3</v>
      </c>
      <c r="O109" s="12" t="e">
        <f>G109*N109</f>
        <v>#REF!</v>
      </c>
      <c r="P109" s="50" t="s">
        <v>605</v>
      </c>
      <c r="Z109" s="12">
        <f>IF(AQ109="5",BJ109,0)</f>
        <v>0</v>
      </c>
      <c r="AB109" s="12">
        <f>IF(AQ109="1",BH109,0)</f>
        <v>0</v>
      </c>
      <c r="AC109" s="12">
        <f>IF(AQ109="1",BI109,0)</f>
        <v>0</v>
      </c>
      <c r="AD109" s="12" t="e">
        <f>IF(AQ109="7",BH109,0)</f>
        <v>#REF!</v>
      </c>
      <c r="AE109" s="12" t="e">
        <f>IF(AQ109="7",BI109,0)</f>
        <v>#REF!</v>
      </c>
      <c r="AF109" s="12">
        <f>IF(AQ109="2",BH109,0)</f>
        <v>0</v>
      </c>
      <c r="AG109" s="12">
        <f>IF(AQ109="2",BI109,0)</f>
        <v>0</v>
      </c>
      <c r="AH109" s="12">
        <f>IF(AQ109="0",BJ109,0)</f>
        <v>0</v>
      </c>
      <c r="AI109" s="10" t="s">
        <v>598</v>
      </c>
      <c r="AJ109" s="12">
        <f>IF(AN109=0,L109,0)</f>
        <v>0</v>
      </c>
      <c r="AK109" s="12">
        <f>IF(AN109=12,L109,0)</f>
        <v>0</v>
      </c>
      <c r="AL109" s="12" t="e">
        <f>IF(AN109=21,L109,0)</f>
        <v>#REF!</v>
      </c>
      <c r="AN109" s="12">
        <v>21</v>
      </c>
      <c r="AO109" s="12" t="e">
        <f>H109*1</f>
        <v>#REF!</v>
      </c>
      <c r="AP109" s="12" t="e">
        <f>H109*(1-1)</f>
        <v>#REF!</v>
      </c>
      <c r="AQ109" s="49" t="s">
        <v>567</v>
      </c>
      <c r="AV109" s="12" t="e">
        <f>AW109+AX109</f>
        <v>#REF!</v>
      </c>
      <c r="AW109" s="12" t="e">
        <f>G109*AO109</f>
        <v>#REF!</v>
      </c>
      <c r="AX109" s="12" t="e">
        <f>G109*AP109</f>
        <v>#REF!</v>
      </c>
      <c r="AY109" s="49" t="s">
        <v>593</v>
      </c>
      <c r="AZ109" s="49" t="s">
        <v>635</v>
      </c>
      <c r="BA109" s="10" t="s">
        <v>601</v>
      </c>
      <c r="BC109" s="12" t="e">
        <f>AW109+AX109</f>
        <v>#REF!</v>
      </c>
      <c r="BD109" s="12" t="e">
        <f>H109/(100-BE109)*100</f>
        <v>#REF!</v>
      </c>
      <c r="BE109" s="12">
        <v>0</v>
      </c>
      <c r="BF109" s="12" t="e">
        <f>O109</f>
        <v>#REF!</v>
      </c>
      <c r="BH109" s="12" t="e">
        <f>G109*AO109</f>
        <v>#REF!</v>
      </c>
      <c r="BI109" s="12" t="e">
        <f>G109*AP109</f>
        <v>#REF!</v>
      </c>
      <c r="BJ109" s="12" t="e">
        <f>G109*H109</f>
        <v>#REF!</v>
      </c>
      <c r="BK109" s="12"/>
      <c r="BL109" s="12">
        <v>734</v>
      </c>
      <c r="BW109" s="12" t="str">
        <f>I109</f>
        <v>21</v>
      </c>
      <c r="BX109" s="3" t="s">
        <v>200</v>
      </c>
    </row>
    <row r="110" spans="1:76" ht="242.25">
      <c r="A110" s="51"/>
      <c r="C110" s="13" t="s">
        <v>117</v>
      </c>
      <c r="D110" s="363" t="s">
        <v>201</v>
      </c>
      <c r="E110" s="364"/>
      <c r="F110" s="364"/>
      <c r="G110" s="364"/>
      <c r="H110" s="364"/>
      <c r="I110" s="364"/>
      <c r="J110" s="364"/>
      <c r="K110" s="364"/>
      <c r="L110" s="364"/>
      <c r="M110" s="364"/>
      <c r="N110" s="364"/>
      <c r="O110" s="364"/>
      <c r="P110" s="365"/>
      <c r="BX110" s="14" t="s">
        <v>201</v>
      </c>
    </row>
    <row r="111" spans="1:76">
      <c r="A111" s="1" t="s">
        <v>645</v>
      </c>
      <c r="B111" s="2" t="s">
        <v>598</v>
      </c>
      <c r="C111" s="2" t="s">
        <v>202</v>
      </c>
      <c r="D111" s="349" t="s">
        <v>203</v>
      </c>
      <c r="E111" s="342"/>
      <c r="F111" s="2" t="s">
        <v>68</v>
      </c>
      <c r="G111" s="12" t="e">
        <f>#REF!</f>
        <v>#REF!</v>
      </c>
      <c r="H111" s="12" t="e">
        <f>#REF!</f>
        <v>#REF!</v>
      </c>
      <c r="I111" s="49" t="s">
        <v>554</v>
      </c>
      <c r="J111" s="12" t="e">
        <f>G111*AO111</f>
        <v>#REF!</v>
      </c>
      <c r="K111" s="12" t="e">
        <f>G111*AP111</f>
        <v>#REF!</v>
      </c>
      <c r="L111" s="12" t="e">
        <f>G111*H111</f>
        <v>#REF!</v>
      </c>
      <c r="M111" s="12" t="e">
        <f>L111*(1+BW111/100)</f>
        <v>#REF!</v>
      </c>
      <c r="N111" s="12">
        <v>1.1900000000000001E-2</v>
      </c>
      <c r="O111" s="12" t="e">
        <f>G111*N111</f>
        <v>#REF!</v>
      </c>
      <c r="P111" s="50" t="s">
        <v>577</v>
      </c>
      <c r="Z111" s="12">
        <f>IF(AQ111="5",BJ111,0)</f>
        <v>0</v>
      </c>
      <c r="AB111" s="12">
        <f>IF(AQ111="1",BH111,0)</f>
        <v>0</v>
      </c>
      <c r="AC111" s="12">
        <f>IF(AQ111="1",BI111,0)</f>
        <v>0</v>
      </c>
      <c r="AD111" s="12" t="e">
        <f>IF(AQ111="7",BH111,0)</f>
        <v>#REF!</v>
      </c>
      <c r="AE111" s="12" t="e">
        <f>IF(AQ111="7",BI111,0)</f>
        <v>#REF!</v>
      </c>
      <c r="AF111" s="12">
        <f>IF(AQ111="2",BH111,0)</f>
        <v>0</v>
      </c>
      <c r="AG111" s="12">
        <f>IF(AQ111="2",BI111,0)</f>
        <v>0</v>
      </c>
      <c r="AH111" s="12">
        <f>IF(AQ111="0",BJ111,0)</f>
        <v>0</v>
      </c>
      <c r="AI111" s="10" t="s">
        <v>598</v>
      </c>
      <c r="AJ111" s="12">
        <f>IF(AN111=0,L111,0)</f>
        <v>0</v>
      </c>
      <c r="AK111" s="12">
        <f>IF(AN111=12,L111,0)</f>
        <v>0</v>
      </c>
      <c r="AL111" s="12" t="e">
        <f>IF(AN111=21,L111,0)</f>
        <v>#REF!</v>
      </c>
      <c r="AN111" s="12">
        <v>21</v>
      </c>
      <c r="AO111" s="12" t="e">
        <f>H111*0.904118266</f>
        <v>#REF!</v>
      </c>
      <c r="AP111" s="12" t="e">
        <f>H111*(1-0.904118266)</f>
        <v>#REF!</v>
      </c>
      <c r="AQ111" s="49" t="s">
        <v>567</v>
      </c>
      <c r="AV111" s="12" t="e">
        <f>AW111+AX111</f>
        <v>#REF!</v>
      </c>
      <c r="AW111" s="12" t="e">
        <f>G111*AO111</f>
        <v>#REF!</v>
      </c>
      <c r="AX111" s="12" t="e">
        <f>G111*AP111</f>
        <v>#REF!</v>
      </c>
      <c r="AY111" s="49" t="s">
        <v>593</v>
      </c>
      <c r="AZ111" s="49" t="s">
        <v>635</v>
      </c>
      <c r="BA111" s="10" t="s">
        <v>601</v>
      </c>
      <c r="BC111" s="12" t="e">
        <f>AW111+AX111</f>
        <v>#REF!</v>
      </c>
      <c r="BD111" s="12" t="e">
        <f>H111/(100-BE111)*100</f>
        <v>#REF!</v>
      </c>
      <c r="BE111" s="12">
        <v>0</v>
      </c>
      <c r="BF111" s="12" t="e">
        <f>O111</f>
        <v>#REF!</v>
      </c>
      <c r="BH111" s="12" t="e">
        <f>G111*AO111</f>
        <v>#REF!</v>
      </c>
      <c r="BI111" s="12" t="e">
        <f>G111*AP111</f>
        <v>#REF!</v>
      </c>
      <c r="BJ111" s="12" t="e">
        <f>G111*H111</f>
        <v>#REF!</v>
      </c>
      <c r="BK111" s="12"/>
      <c r="BL111" s="12">
        <v>734</v>
      </c>
      <c r="BW111" s="12" t="str">
        <f>I111</f>
        <v>21</v>
      </c>
      <c r="BX111" s="3" t="s">
        <v>203</v>
      </c>
    </row>
    <row r="112" spans="1:76">
      <c r="A112" s="51"/>
      <c r="C112" s="13" t="s">
        <v>117</v>
      </c>
      <c r="D112" s="363" t="s">
        <v>204</v>
      </c>
      <c r="E112" s="364"/>
      <c r="F112" s="364"/>
      <c r="G112" s="364"/>
      <c r="H112" s="364"/>
      <c r="I112" s="364"/>
      <c r="J112" s="364"/>
      <c r="K112" s="364"/>
      <c r="L112" s="364"/>
      <c r="M112" s="364"/>
      <c r="N112" s="364"/>
      <c r="O112" s="364"/>
      <c r="P112" s="365"/>
      <c r="BX112" s="14" t="s">
        <v>204</v>
      </c>
    </row>
    <row r="113" spans="1:76">
      <c r="A113" s="1" t="s">
        <v>646</v>
      </c>
      <c r="B113" s="2" t="s">
        <v>598</v>
      </c>
      <c r="C113" s="2" t="s">
        <v>205</v>
      </c>
      <c r="D113" s="349" t="s">
        <v>206</v>
      </c>
      <c r="E113" s="342"/>
      <c r="F113" s="2" t="s">
        <v>58</v>
      </c>
      <c r="G113" s="12" t="e">
        <f>#REF!</f>
        <v>#REF!</v>
      </c>
      <c r="H113" s="12" t="e">
        <f>#REF!</f>
        <v>#REF!</v>
      </c>
      <c r="I113" s="49" t="s">
        <v>554</v>
      </c>
      <c r="J113" s="12" t="e">
        <f t="shared" ref="J113:J123" si="104">G113*AO113</f>
        <v>#REF!</v>
      </c>
      <c r="K113" s="12" t="e">
        <f t="shared" ref="K113:K123" si="105">G113*AP113</f>
        <v>#REF!</v>
      </c>
      <c r="L113" s="12" t="e">
        <f t="shared" ref="L113:L123" si="106">G113*H113</f>
        <v>#REF!</v>
      </c>
      <c r="M113" s="12" t="e">
        <f t="shared" ref="M113:M123" si="107">L113*(1+BW113/100)</f>
        <v>#REF!</v>
      </c>
      <c r="N113" s="12">
        <v>1.626E-2</v>
      </c>
      <c r="O113" s="12" t="e">
        <f t="shared" ref="O113:O123" si="108">G113*N113</f>
        <v>#REF!</v>
      </c>
      <c r="P113" s="50" t="s">
        <v>577</v>
      </c>
      <c r="Z113" s="12">
        <f t="shared" ref="Z113:Z123" si="109">IF(AQ113="5",BJ113,0)</f>
        <v>0</v>
      </c>
      <c r="AB113" s="12">
        <f t="shared" ref="AB113:AB123" si="110">IF(AQ113="1",BH113,0)</f>
        <v>0</v>
      </c>
      <c r="AC113" s="12">
        <f t="shared" ref="AC113:AC123" si="111">IF(AQ113="1",BI113,0)</f>
        <v>0</v>
      </c>
      <c r="AD113" s="12" t="e">
        <f t="shared" ref="AD113:AD123" si="112">IF(AQ113="7",BH113,0)</f>
        <v>#REF!</v>
      </c>
      <c r="AE113" s="12" t="e">
        <f t="shared" ref="AE113:AE123" si="113">IF(AQ113="7",BI113,0)</f>
        <v>#REF!</v>
      </c>
      <c r="AF113" s="12">
        <f t="shared" ref="AF113:AF123" si="114">IF(AQ113="2",BH113,0)</f>
        <v>0</v>
      </c>
      <c r="AG113" s="12">
        <f t="shared" ref="AG113:AG123" si="115">IF(AQ113="2",BI113,0)</f>
        <v>0</v>
      </c>
      <c r="AH113" s="12">
        <f t="shared" ref="AH113:AH123" si="116">IF(AQ113="0",BJ113,0)</f>
        <v>0</v>
      </c>
      <c r="AI113" s="10" t="s">
        <v>598</v>
      </c>
      <c r="AJ113" s="12">
        <f t="shared" ref="AJ113:AJ123" si="117">IF(AN113=0,L113,0)</f>
        <v>0</v>
      </c>
      <c r="AK113" s="12">
        <f t="shared" ref="AK113:AK123" si="118">IF(AN113=12,L113,0)</f>
        <v>0</v>
      </c>
      <c r="AL113" s="12" t="e">
        <f t="shared" ref="AL113:AL123" si="119">IF(AN113=21,L113,0)</f>
        <v>#REF!</v>
      </c>
      <c r="AN113" s="12">
        <v>21</v>
      </c>
      <c r="AO113" s="12" t="e">
        <f>H113*0.97619298</f>
        <v>#REF!</v>
      </c>
      <c r="AP113" s="12" t="e">
        <f>H113*(1-0.97619298)</f>
        <v>#REF!</v>
      </c>
      <c r="AQ113" s="49" t="s">
        <v>567</v>
      </c>
      <c r="AV113" s="12" t="e">
        <f t="shared" ref="AV113:AV123" si="120">AW113+AX113</f>
        <v>#REF!</v>
      </c>
      <c r="AW113" s="12" t="e">
        <f t="shared" ref="AW113:AW123" si="121">G113*AO113</f>
        <v>#REF!</v>
      </c>
      <c r="AX113" s="12" t="e">
        <f t="shared" ref="AX113:AX123" si="122">G113*AP113</f>
        <v>#REF!</v>
      </c>
      <c r="AY113" s="49" t="s">
        <v>593</v>
      </c>
      <c r="AZ113" s="49" t="s">
        <v>635</v>
      </c>
      <c r="BA113" s="10" t="s">
        <v>601</v>
      </c>
      <c r="BC113" s="12" t="e">
        <f t="shared" ref="BC113:BC123" si="123">AW113+AX113</f>
        <v>#REF!</v>
      </c>
      <c r="BD113" s="12" t="e">
        <f t="shared" ref="BD113:BD123" si="124">H113/(100-BE113)*100</f>
        <v>#REF!</v>
      </c>
      <c r="BE113" s="12">
        <v>0</v>
      </c>
      <c r="BF113" s="12" t="e">
        <f t="shared" ref="BF113:BF123" si="125">O113</f>
        <v>#REF!</v>
      </c>
      <c r="BH113" s="12" t="e">
        <f t="shared" ref="BH113:BH123" si="126">G113*AO113</f>
        <v>#REF!</v>
      </c>
      <c r="BI113" s="12" t="e">
        <f t="shared" ref="BI113:BI123" si="127">G113*AP113</f>
        <v>#REF!</v>
      </c>
      <c r="BJ113" s="12" t="e">
        <f t="shared" ref="BJ113:BJ123" si="128">G113*H113</f>
        <v>#REF!</v>
      </c>
      <c r="BK113" s="12"/>
      <c r="BL113" s="12">
        <v>734</v>
      </c>
      <c r="BW113" s="12" t="str">
        <f t="shared" ref="BW113:BW123" si="129">I113</f>
        <v>21</v>
      </c>
      <c r="BX113" s="3" t="s">
        <v>206</v>
      </c>
    </row>
    <row r="114" spans="1:76">
      <c r="A114" s="1" t="s">
        <v>647</v>
      </c>
      <c r="B114" s="2" t="s">
        <v>598</v>
      </c>
      <c r="C114" s="2" t="s">
        <v>207</v>
      </c>
      <c r="D114" s="349" t="s">
        <v>208</v>
      </c>
      <c r="E114" s="342"/>
      <c r="F114" s="2" t="s">
        <v>58</v>
      </c>
      <c r="G114" s="12" t="e">
        <f>#REF!</f>
        <v>#REF!</v>
      </c>
      <c r="H114" s="12" t="e">
        <f>#REF!</f>
        <v>#REF!</v>
      </c>
      <c r="I114" s="49" t="s">
        <v>554</v>
      </c>
      <c r="J114" s="12" t="e">
        <f t="shared" si="104"/>
        <v>#REF!</v>
      </c>
      <c r="K114" s="12" t="e">
        <f t="shared" si="105"/>
        <v>#REF!</v>
      </c>
      <c r="L114" s="12" t="e">
        <f t="shared" si="106"/>
        <v>#REF!</v>
      </c>
      <c r="M114" s="12" t="e">
        <f t="shared" si="107"/>
        <v>#REF!</v>
      </c>
      <c r="N114" s="12">
        <v>1.5789999999999998E-2</v>
      </c>
      <c r="O114" s="12" t="e">
        <f t="shared" si="108"/>
        <v>#REF!</v>
      </c>
      <c r="P114" s="50" t="s">
        <v>577</v>
      </c>
      <c r="Z114" s="12">
        <f t="shared" si="109"/>
        <v>0</v>
      </c>
      <c r="AB114" s="12">
        <f t="shared" si="110"/>
        <v>0</v>
      </c>
      <c r="AC114" s="12">
        <f t="shared" si="111"/>
        <v>0</v>
      </c>
      <c r="AD114" s="12" t="e">
        <f t="shared" si="112"/>
        <v>#REF!</v>
      </c>
      <c r="AE114" s="12" t="e">
        <f t="shared" si="113"/>
        <v>#REF!</v>
      </c>
      <c r="AF114" s="12">
        <f t="shared" si="114"/>
        <v>0</v>
      </c>
      <c r="AG114" s="12">
        <f t="shared" si="115"/>
        <v>0</v>
      </c>
      <c r="AH114" s="12">
        <f t="shared" si="116"/>
        <v>0</v>
      </c>
      <c r="AI114" s="10" t="s">
        <v>598</v>
      </c>
      <c r="AJ114" s="12">
        <f t="shared" si="117"/>
        <v>0</v>
      </c>
      <c r="AK114" s="12">
        <f t="shared" si="118"/>
        <v>0</v>
      </c>
      <c r="AL114" s="12" t="e">
        <f t="shared" si="119"/>
        <v>#REF!</v>
      </c>
      <c r="AN114" s="12">
        <v>21</v>
      </c>
      <c r="AO114" s="12" t="e">
        <f>H114*0.873883363</f>
        <v>#REF!</v>
      </c>
      <c r="AP114" s="12" t="e">
        <f>H114*(1-0.873883363)</f>
        <v>#REF!</v>
      </c>
      <c r="AQ114" s="49" t="s">
        <v>567</v>
      </c>
      <c r="AV114" s="12" t="e">
        <f t="shared" si="120"/>
        <v>#REF!</v>
      </c>
      <c r="AW114" s="12" t="e">
        <f t="shared" si="121"/>
        <v>#REF!</v>
      </c>
      <c r="AX114" s="12" t="e">
        <f t="shared" si="122"/>
        <v>#REF!</v>
      </c>
      <c r="AY114" s="49" t="s">
        <v>593</v>
      </c>
      <c r="AZ114" s="49" t="s">
        <v>635</v>
      </c>
      <c r="BA114" s="10" t="s">
        <v>601</v>
      </c>
      <c r="BC114" s="12" t="e">
        <f t="shared" si="123"/>
        <v>#REF!</v>
      </c>
      <c r="BD114" s="12" t="e">
        <f t="shared" si="124"/>
        <v>#REF!</v>
      </c>
      <c r="BE114" s="12">
        <v>0</v>
      </c>
      <c r="BF114" s="12" t="e">
        <f t="shared" si="125"/>
        <v>#REF!</v>
      </c>
      <c r="BH114" s="12" t="e">
        <f t="shared" si="126"/>
        <v>#REF!</v>
      </c>
      <c r="BI114" s="12" t="e">
        <f t="shared" si="127"/>
        <v>#REF!</v>
      </c>
      <c r="BJ114" s="12" t="e">
        <f t="shared" si="128"/>
        <v>#REF!</v>
      </c>
      <c r="BK114" s="12"/>
      <c r="BL114" s="12">
        <v>734</v>
      </c>
      <c r="BW114" s="12" t="str">
        <f t="shared" si="129"/>
        <v>21</v>
      </c>
      <c r="BX114" s="3" t="s">
        <v>208</v>
      </c>
    </row>
    <row r="115" spans="1:76">
      <c r="A115" s="1" t="s">
        <v>648</v>
      </c>
      <c r="B115" s="2" t="s">
        <v>598</v>
      </c>
      <c r="C115" s="2" t="s">
        <v>209</v>
      </c>
      <c r="D115" s="349" t="s">
        <v>210</v>
      </c>
      <c r="E115" s="342"/>
      <c r="F115" s="2" t="s">
        <v>68</v>
      </c>
      <c r="G115" s="12" t="e">
        <f>#REF!</f>
        <v>#REF!</v>
      </c>
      <c r="H115" s="12" t="e">
        <f>#REF!</f>
        <v>#REF!</v>
      </c>
      <c r="I115" s="49" t="s">
        <v>554</v>
      </c>
      <c r="J115" s="12" t="e">
        <f t="shared" si="104"/>
        <v>#REF!</v>
      </c>
      <c r="K115" s="12" t="e">
        <f t="shared" si="105"/>
        <v>#REF!</v>
      </c>
      <c r="L115" s="12" t="e">
        <f t="shared" si="106"/>
        <v>#REF!</v>
      </c>
      <c r="M115" s="12" t="e">
        <f t="shared" si="107"/>
        <v>#REF!</v>
      </c>
      <c r="N115" s="12">
        <v>9.3000000000000005E-4</v>
      </c>
      <c r="O115" s="12" t="e">
        <f t="shared" si="108"/>
        <v>#REF!</v>
      </c>
      <c r="P115" s="50" t="s">
        <v>577</v>
      </c>
      <c r="Z115" s="12">
        <f t="shared" si="109"/>
        <v>0</v>
      </c>
      <c r="AB115" s="12">
        <f t="shared" si="110"/>
        <v>0</v>
      </c>
      <c r="AC115" s="12">
        <f t="shared" si="111"/>
        <v>0</v>
      </c>
      <c r="AD115" s="12" t="e">
        <f t="shared" si="112"/>
        <v>#REF!</v>
      </c>
      <c r="AE115" s="12" t="e">
        <f t="shared" si="113"/>
        <v>#REF!</v>
      </c>
      <c r="AF115" s="12">
        <f t="shared" si="114"/>
        <v>0</v>
      </c>
      <c r="AG115" s="12">
        <f t="shared" si="115"/>
        <v>0</v>
      </c>
      <c r="AH115" s="12">
        <f t="shared" si="116"/>
        <v>0</v>
      </c>
      <c r="AI115" s="10" t="s">
        <v>598</v>
      </c>
      <c r="AJ115" s="12">
        <f t="shared" si="117"/>
        <v>0</v>
      </c>
      <c r="AK115" s="12">
        <f t="shared" si="118"/>
        <v>0</v>
      </c>
      <c r="AL115" s="12" t="e">
        <f t="shared" si="119"/>
        <v>#REF!</v>
      </c>
      <c r="AN115" s="12">
        <v>21</v>
      </c>
      <c r="AO115" s="12" t="e">
        <f>H115*0.753591048</f>
        <v>#REF!</v>
      </c>
      <c r="AP115" s="12" t="e">
        <f>H115*(1-0.753591048)</f>
        <v>#REF!</v>
      </c>
      <c r="AQ115" s="49" t="s">
        <v>567</v>
      </c>
      <c r="AV115" s="12" t="e">
        <f t="shared" si="120"/>
        <v>#REF!</v>
      </c>
      <c r="AW115" s="12" t="e">
        <f t="shared" si="121"/>
        <v>#REF!</v>
      </c>
      <c r="AX115" s="12" t="e">
        <f t="shared" si="122"/>
        <v>#REF!</v>
      </c>
      <c r="AY115" s="49" t="s">
        <v>593</v>
      </c>
      <c r="AZ115" s="49" t="s">
        <v>635</v>
      </c>
      <c r="BA115" s="10" t="s">
        <v>601</v>
      </c>
      <c r="BC115" s="12" t="e">
        <f t="shared" si="123"/>
        <v>#REF!</v>
      </c>
      <c r="BD115" s="12" t="e">
        <f t="shared" si="124"/>
        <v>#REF!</v>
      </c>
      <c r="BE115" s="12">
        <v>0</v>
      </c>
      <c r="BF115" s="12" t="e">
        <f t="shared" si="125"/>
        <v>#REF!</v>
      </c>
      <c r="BH115" s="12" t="e">
        <f t="shared" si="126"/>
        <v>#REF!</v>
      </c>
      <c r="BI115" s="12" t="e">
        <f t="shared" si="127"/>
        <v>#REF!</v>
      </c>
      <c r="BJ115" s="12" t="e">
        <f t="shared" si="128"/>
        <v>#REF!</v>
      </c>
      <c r="BK115" s="12"/>
      <c r="BL115" s="12">
        <v>734</v>
      </c>
      <c r="BW115" s="12" t="str">
        <f t="shared" si="129"/>
        <v>21</v>
      </c>
      <c r="BX115" s="3" t="s">
        <v>210</v>
      </c>
    </row>
    <row r="116" spans="1:76">
      <c r="A116" s="1" t="s">
        <v>380</v>
      </c>
      <c r="B116" s="2" t="s">
        <v>598</v>
      </c>
      <c r="C116" s="2" t="s">
        <v>211</v>
      </c>
      <c r="D116" s="349" t="s">
        <v>212</v>
      </c>
      <c r="E116" s="342"/>
      <c r="F116" s="2" t="s">
        <v>68</v>
      </c>
      <c r="G116" s="12" t="e">
        <f>#REF!</f>
        <v>#REF!</v>
      </c>
      <c r="H116" s="12" t="e">
        <f>#REF!</f>
        <v>#REF!</v>
      </c>
      <c r="I116" s="49" t="s">
        <v>554</v>
      </c>
      <c r="J116" s="12" t="e">
        <f t="shared" si="104"/>
        <v>#REF!</v>
      </c>
      <c r="K116" s="12" t="e">
        <f t="shared" si="105"/>
        <v>#REF!</v>
      </c>
      <c r="L116" s="12" t="e">
        <f t="shared" si="106"/>
        <v>#REF!</v>
      </c>
      <c r="M116" s="12" t="e">
        <f t="shared" si="107"/>
        <v>#REF!</v>
      </c>
      <c r="N116" s="12">
        <v>2.5200000000000001E-3</v>
      </c>
      <c r="O116" s="12" t="e">
        <f t="shared" si="108"/>
        <v>#REF!</v>
      </c>
      <c r="P116" s="50" t="s">
        <v>577</v>
      </c>
      <c r="Z116" s="12">
        <f t="shared" si="109"/>
        <v>0</v>
      </c>
      <c r="AB116" s="12">
        <f t="shared" si="110"/>
        <v>0</v>
      </c>
      <c r="AC116" s="12">
        <f t="shared" si="111"/>
        <v>0</v>
      </c>
      <c r="AD116" s="12" t="e">
        <f t="shared" si="112"/>
        <v>#REF!</v>
      </c>
      <c r="AE116" s="12" t="e">
        <f t="shared" si="113"/>
        <v>#REF!</v>
      </c>
      <c r="AF116" s="12">
        <f t="shared" si="114"/>
        <v>0</v>
      </c>
      <c r="AG116" s="12">
        <f t="shared" si="115"/>
        <v>0</v>
      </c>
      <c r="AH116" s="12">
        <f t="shared" si="116"/>
        <v>0</v>
      </c>
      <c r="AI116" s="10" t="s">
        <v>598</v>
      </c>
      <c r="AJ116" s="12">
        <f t="shared" si="117"/>
        <v>0</v>
      </c>
      <c r="AK116" s="12">
        <f t="shared" si="118"/>
        <v>0</v>
      </c>
      <c r="AL116" s="12" t="e">
        <f t="shared" si="119"/>
        <v>#REF!</v>
      </c>
      <c r="AN116" s="12">
        <v>21</v>
      </c>
      <c r="AO116" s="12" t="e">
        <f>H116*0.898420664</f>
        <v>#REF!</v>
      </c>
      <c r="AP116" s="12" t="e">
        <f>H116*(1-0.898420664)</f>
        <v>#REF!</v>
      </c>
      <c r="AQ116" s="49" t="s">
        <v>567</v>
      </c>
      <c r="AV116" s="12" t="e">
        <f t="shared" si="120"/>
        <v>#REF!</v>
      </c>
      <c r="AW116" s="12" t="e">
        <f t="shared" si="121"/>
        <v>#REF!</v>
      </c>
      <c r="AX116" s="12" t="e">
        <f t="shared" si="122"/>
        <v>#REF!</v>
      </c>
      <c r="AY116" s="49" t="s">
        <v>593</v>
      </c>
      <c r="AZ116" s="49" t="s">
        <v>635</v>
      </c>
      <c r="BA116" s="10" t="s">
        <v>601</v>
      </c>
      <c r="BC116" s="12" t="e">
        <f t="shared" si="123"/>
        <v>#REF!</v>
      </c>
      <c r="BD116" s="12" t="e">
        <f t="shared" si="124"/>
        <v>#REF!</v>
      </c>
      <c r="BE116" s="12">
        <v>0</v>
      </c>
      <c r="BF116" s="12" t="e">
        <f t="shared" si="125"/>
        <v>#REF!</v>
      </c>
      <c r="BH116" s="12" t="e">
        <f t="shared" si="126"/>
        <v>#REF!</v>
      </c>
      <c r="BI116" s="12" t="e">
        <f t="shared" si="127"/>
        <v>#REF!</v>
      </c>
      <c r="BJ116" s="12" t="e">
        <f t="shared" si="128"/>
        <v>#REF!</v>
      </c>
      <c r="BK116" s="12"/>
      <c r="BL116" s="12">
        <v>734</v>
      </c>
      <c r="BW116" s="12" t="str">
        <f t="shared" si="129"/>
        <v>21</v>
      </c>
      <c r="BX116" s="3" t="s">
        <v>212</v>
      </c>
    </row>
    <row r="117" spans="1:76">
      <c r="A117" s="1" t="s">
        <v>649</v>
      </c>
      <c r="B117" s="2" t="s">
        <v>598</v>
      </c>
      <c r="C117" s="2" t="s">
        <v>213</v>
      </c>
      <c r="D117" s="349" t="s">
        <v>214</v>
      </c>
      <c r="E117" s="342"/>
      <c r="F117" s="2" t="s">
        <v>68</v>
      </c>
      <c r="G117" s="12" t="e">
        <f>#REF!</f>
        <v>#REF!</v>
      </c>
      <c r="H117" s="12" t="e">
        <f>#REF!</f>
        <v>#REF!</v>
      </c>
      <c r="I117" s="49" t="s">
        <v>554</v>
      </c>
      <c r="J117" s="12" t="e">
        <f t="shared" si="104"/>
        <v>#REF!</v>
      </c>
      <c r="K117" s="12" t="e">
        <f t="shared" si="105"/>
        <v>#REF!</v>
      </c>
      <c r="L117" s="12" t="e">
        <f t="shared" si="106"/>
        <v>#REF!</v>
      </c>
      <c r="M117" s="12" t="e">
        <f t="shared" si="107"/>
        <v>#REF!</v>
      </c>
      <c r="N117" s="12">
        <v>6.8000000000000005E-4</v>
      </c>
      <c r="O117" s="12" t="e">
        <f t="shared" si="108"/>
        <v>#REF!</v>
      </c>
      <c r="P117" s="50" t="s">
        <v>577</v>
      </c>
      <c r="Z117" s="12">
        <f t="shared" si="109"/>
        <v>0</v>
      </c>
      <c r="AB117" s="12">
        <f t="shared" si="110"/>
        <v>0</v>
      </c>
      <c r="AC117" s="12">
        <f t="shared" si="111"/>
        <v>0</v>
      </c>
      <c r="AD117" s="12" t="e">
        <f t="shared" si="112"/>
        <v>#REF!</v>
      </c>
      <c r="AE117" s="12" t="e">
        <f t="shared" si="113"/>
        <v>#REF!</v>
      </c>
      <c r="AF117" s="12">
        <f t="shared" si="114"/>
        <v>0</v>
      </c>
      <c r="AG117" s="12">
        <f t="shared" si="115"/>
        <v>0</v>
      </c>
      <c r="AH117" s="12">
        <f t="shared" si="116"/>
        <v>0</v>
      </c>
      <c r="AI117" s="10" t="s">
        <v>598</v>
      </c>
      <c r="AJ117" s="12">
        <f t="shared" si="117"/>
        <v>0</v>
      </c>
      <c r="AK117" s="12">
        <f t="shared" si="118"/>
        <v>0</v>
      </c>
      <c r="AL117" s="12" t="e">
        <f t="shared" si="119"/>
        <v>#REF!</v>
      </c>
      <c r="AN117" s="12">
        <v>21</v>
      </c>
      <c r="AO117" s="12" t="e">
        <f>H117*0.89496361</f>
        <v>#REF!</v>
      </c>
      <c r="AP117" s="12" t="e">
        <f>H117*(1-0.89496361)</f>
        <v>#REF!</v>
      </c>
      <c r="AQ117" s="49" t="s">
        <v>567</v>
      </c>
      <c r="AV117" s="12" t="e">
        <f t="shared" si="120"/>
        <v>#REF!</v>
      </c>
      <c r="AW117" s="12" t="e">
        <f t="shared" si="121"/>
        <v>#REF!</v>
      </c>
      <c r="AX117" s="12" t="e">
        <f t="shared" si="122"/>
        <v>#REF!</v>
      </c>
      <c r="AY117" s="49" t="s">
        <v>593</v>
      </c>
      <c r="AZ117" s="49" t="s">
        <v>635</v>
      </c>
      <c r="BA117" s="10" t="s">
        <v>601</v>
      </c>
      <c r="BC117" s="12" t="e">
        <f t="shared" si="123"/>
        <v>#REF!</v>
      </c>
      <c r="BD117" s="12" t="e">
        <f t="shared" si="124"/>
        <v>#REF!</v>
      </c>
      <c r="BE117" s="12">
        <v>0</v>
      </c>
      <c r="BF117" s="12" t="e">
        <f t="shared" si="125"/>
        <v>#REF!</v>
      </c>
      <c r="BH117" s="12" t="e">
        <f t="shared" si="126"/>
        <v>#REF!</v>
      </c>
      <c r="BI117" s="12" t="e">
        <f t="shared" si="127"/>
        <v>#REF!</v>
      </c>
      <c r="BJ117" s="12" t="e">
        <f t="shared" si="128"/>
        <v>#REF!</v>
      </c>
      <c r="BK117" s="12"/>
      <c r="BL117" s="12">
        <v>734</v>
      </c>
      <c r="BW117" s="12" t="str">
        <f t="shared" si="129"/>
        <v>21</v>
      </c>
      <c r="BX117" s="3" t="s">
        <v>214</v>
      </c>
    </row>
    <row r="118" spans="1:76">
      <c r="A118" s="1" t="s">
        <v>650</v>
      </c>
      <c r="B118" s="2" t="s">
        <v>598</v>
      </c>
      <c r="C118" s="2" t="s">
        <v>215</v>
      </c>
      <c r="D118" s="349" t="s">
        <v>216</v>
      </c>
      <c r="E118" s="342"/>
      <c r="F118" s="2" t="s">
        <v>68</v>
      </c>
      <c r="G118" s="12" t="e">
        <f>#REF!</f>
        <v>#REF!</v>
      </c>
      <c r="H118" s="12" t="e">
        <f>#REF!</f>
        <v>#REF!</v>
      </c>
      <c r="I118" s="49" t="s">
        <v>554</v>
      </c>
      <c r="J118" s="12" t="e">
        <f t="shared" si="104"/>
        <v>#REF!</v>
      </c>
      <c r="K118" s="12" t="e">
        <f t="shared" si="105"/>
        <v>#REF!</v>
      </c>
      <c r="L118" s="12" t="e">
        <f t="shared" si="106"/>
        <v>#REF!</v>
      </c>
      <c r="M118" s="12" t="e">
        <f t="shared" si="107"/>
        <v>#REF!</v>
      </c>
      <c r="N118" s="12">
        <v>1.42E-3</v>
      </c>
      <c r="O118" s="12" t="e">
        <f t="shared" si="108"/>
        <v>#REF!</v>
      </c>
      <c r="P118" s="50" t="s">
        <v>577</v>
      </c>
      <c r="Z118" s="12">
        <f t="shared" si="109"/>
        <v>0</v>
      </c>
      <c r="AB118" s="12">
        <f t="shared" si="110"/>
        <v>0</v>
      </c>
      <c r="AC118" s="12">
        <f t="shared" si="111"/>
        <v>0</v>
      </c>
      <c r="AD118" s="12" t="e">
        <f t="shared" si="112"/>
        <v>#REF!</v>
      </c>
      <c r="AE118" s="12" t="e">
        <f t="shared" si="113"/>
        <v>#REF!</v>
      </c>
      <c r="AF118" s="12">
        <f t="shared" si="114"/>
        <v>0</v>
      </c>
      <c r="AG118" s="12">
        <f t="shared" si="115"/>
        <v>0</v>
      </c>
      <c r="AH118" s="12">
        <f t="shared" si="116"/>
        <v>0</v>
      </c>
      <c r="AI118" s="10" t="s">
        <v>598</v>
      </c>
      <c r="AJ118" s="12">
        <f t="shared" si="117"/>
        <v>0</v>
      </c>
      <c r="AK118" s="12">
        <f t="shared" si="118"/>
        <v>0</v>
      </c>
      <c r="AL118" s="12" t="e">
        <f t="shared" si="119"/>
        <v>#REF!</v>
      </c>
      <c r="AN118" s="12">
        <v>21</v>
      </c>
      <c r="AO118" s="12" t="e">
        <f>H118*0.826544586</f>
        <v>#REF!</v>
      </c>
      <c r="AP118" s="12" t="e">
        <f>H118*(1-0.826544586)</f>
        <v>#REF!</v>
      </c>
      <c r="AQ118" s="49" t="s">
        <v>567</v>
      </c>
      <c r="AV118" s="12" t="e">
        <f t="shared" si="120"/>
        <v>#REF!</v>
      </c>
      <c r="AW118" s="12" t="e">
        <f t="shared" si="121"/>
        <v>#REF!</v>
      </c>
      <c r="AX118" s="12" t="e">
        <f t="shared" si="122"/>
        <v>#REF!</v>
      </c>
      <c r="AY118" s="49" t="s">
        <v>593</v>
      </c>
      <c r="AZ118" s="49" t="s">
        <v>635</v>
      </c>
      <c r="BA118" s="10" t="s">
        <v>601</v>
      </c>
      <c r="BC118" s="12" t="e">
        <f t="shared" si="123"/>
        <v>#REF!</v>
      </c>
      <c r="BD118" s="12" t="e">
        <f t="shared" si="124"/>
        <v>#REF!</v>
      </c>
      <c r="BE118" s="12">
        <v>0</v>
      </c>
      <c r="BF118" s="12" t="e">
        <f t="shared" si="125"/>
        <v>#REF!</v>
      </c>
      <c r="BH118" s="12" t="e">
        <f t="shared" si="126"/>
        <v>#REF!</v>
      </c>
      <c r="BI118" s="12" t="e">
        <f t="shared" si="127"/>
        <v>#REF!</v>
      </c>
      <c r="BJ118" s="12" t="e">
        <f t="shared" si="128"/>
        <v>#REF!</v>
      </c>
      <c r="BK118" s="12"/>
      <c r="BL118" s="12">
        <v>734</v>
      </c>
      <c r="BW118" s="12" t="str">
        <f t="shared" si="129"/>
        <v>21</v>
      </c>
      <c r="BX118" s="3" t="s">
        <v>216</v>
      </c>
    </row>
    <row r="119" spans="1:76">
      <c r="A119" s="1" t="s">
        <v>651</v>
      </c>
      <c r="B119" s="2" t="s">
        <v>598</v>
      </c>
      <c r="C119" s="2" t="s">
        <v>217</v>
      </c>
      <c r="D119" s="349" t="s">
        <v>218</v>
      </c>
      <c r="E119" s="342"/>
      <c r="F119" s="2" t="s">
        <v>68</v>
      </c>
      <c r="G119" s="12" t="e">
        <f>#REF!</f>
        <v>#REF!</v>
      </c>
      <c r="H119" s="12" t="e">
        <f>#REF!</f>
        <v>#REF!</v>
      </c>
      <c r="I119" s="49" t="s">
        <v>554</v>
      </c>
      <c r="J119" s="12" t="e">
        <f t="shared" si="104"/>
        <v>#REF!</v>
      </c>
      <c r="K119" s="12" t="e">
        <f t="shared" si="105"/>
        <v>#REF!</v>
      </c>
      <c r="L119" s="12" t="e">
        <f t="shared" si="106"/>
        <v>#REF!</v>
      </c>
      <c r="M119" s="12" t="e">
        <f t="shared" si="107"/>
        <v>#REF!</v>
      </c>
      <c r="N119" s="12">
        <v>5.1999999999999995E-4</v>
      </c>
      <c r="O119" s="12" t="e">
        <f t="shared" si="108"/>
        <v>#REF!</v>
      </c>
      <c r="P119" s="50" t="s">
        <v>605</v>
      </c>
      <c r="Z119" s="12">
        <f t="shared" si="109"/>
        <v>0</v>
      </c>
      <c r="AB119" s="12">
        <f t="shared" si="110"/>
        <v>0</v>
      </c>
      <c r="AC119" s="12">
        <f t="shared" si="111"/>
        <v>0</v>
      </c>
      <c r="AD119" s="12" t="e">
        <f t="shared" si="112"/>
        <v>#REF!</v>
      </c>
      <c r="AE119" s="12" t="e">
        <f t="shared" si="113"/>
        <v>#REF!</v>
      </c>
      <c r="AF119" s="12">
        <f t="shared" si="114"/>
        <v>0</v>
      </c>
      <c r="AG119" s="12">
        <f t="shared" si="115"/>
        <v>0</v>
      </c>
      <c r="AH119" s="12">
        <f t="shared" si="116"/>
        <v>0</v>
      </c>
      <c r="AI119" s="10" t="s">
        <v>598</v>
      </c>
      <c r="AJ119" s="12">
        <f t="shared" si="117"/>
        <v>0</v>
      </c>
      <c r="AK119" s="12">
        <f t="shared" si="118"/>
        <v>0</v>
      </c>
      <c r="AL119" s="12" t="e">
        <f t="shared" si="119"/>
        <v>#REF!</v>
      </c>
      <c r="AN119" s="12">
        <v>21</v>
      </c>
      <c r="AO119" s="12" t="e">
        <f>H119*0.814731051</f>
        <v>#REF!</v>
      </c>
      <c r="AP119" s="12" t="e">
        <f>H119*(1-0.814731051)</f>
        <v>#REF!</v>
      </c>
      <c r="AQ119" s="49" t="s">
        <v>567</v>
      </c>
      <c r="AV119" s="12" t="e">
        <f t="shared" si="120"/>
        <v>#REF!</v>
      </c>
      <c r="AW119" s="12" t="e">
        <f t="shared" si="121"/>
        <v>#REF!</v>
      </c>
      <c r="AX119" s="12" t="e">
        <f t="shared" si="122"/>
        <v>#REF!</v>
      </c>
      <c r="AY119" s="49" t="s">
        <v>593</v>
      </c>
      <c r="AZ119" s="49" t="s">
        <v>635</v>
      </c>
      <c r="BA119" s="10" t="s">
        <v>601</v>
      </c>
      <c r="BC119" s="12" t="e">
        <f t="shared" si="123"/>
        <v>#REF!</v>
      </c>
      <c r="BD119" s="12" t="e">
        <f t="shared" si="124"/>
        <v>#REF!</v>
      </c>
      <c r="BE119" s="12">
        <v>0</v>
      </c>
      <c r="BF119" s="12" t="e">
        <f t="shared" si="125"/>
        <v>#REF!</v>
      </c>
      <c r="BH119" s="12" t="e">
        <f t="shared" si="126"/>
        <v>#REF!</v>
      </c>
      <c r="BI119" s="12" t="e">
        <f t="shared" si="127"/>
        <v>#REF!</v>
      </c>
      <c r="BJ119" s="12" t="e">
        <f t="shared" si="128"/>
        <v>#REF!</v>
      </c>
      <c r="BK119" s="12"/>
      <c r="BL119" s="12">
        <v>734</v>
      </c>
      <c r="BW119" s="12" t="str">
        <f t="shared" si="129"/>
        <v>21</v>
      </c>
      <c r="BX119" s="3" t="s">
        <v>218</v>
      </c>
    </row>
    <row r="120" spans="1:76">
      <c r="A120" s="1" t="s">
        <v>652</v>
      </c>
      <c r="B120" s="2" t="s">
        <v>598</v>
      </c>
      <c r="C120" s="2" t="s">
        <v>219</v>
      </c>
      <c r="D120" s="349" t="s">
        <v>220</v>
      </c>
      <c r="E120" s="342"/>
      <c r="F120" s="2" t="s">
        <v>68</v>
      </c>
      <c r="G120" s="12" t="e">
        <f>#REF!</f>
        <v>#REF!</v>
      </c>
      <c r="H120" s="12" t="e">
        <f>#REF!</f>
        <v>#REF!</v>
      </c>
      <c r="I120" s="49" t="s">
        <v>554</v>
      </c>
      <c r="J120" s="12" t="e">
        <f t="shared" si="104"/>
        <v>#REF!</v>
      </c>
      <c r="K120" s="12" t="e">
        <f t="shared" si="105"/>
        <v>#REF!</v>
      </c>
      <c r="L120" s="12" t="e">
        <f t="shared" si="106"/>
        <v>#REF!</v>
      </c>
      <c r="M120" s="12" t="e">
        <f t="shared" si="107"/>
        <v>#REF!</v>
      </c>
      <c r="N120" s="12">
        <v>3.2000000000000003E-4</v>
      </c>
      <c r="O120" s="12" t="e">
        <f t="shared" si="108"/>
        <v>#REF!</v>
      </c>
      <c r="P120" s="50" t="s">
        <v>605</v>
      </c>
      <c r="Z120" s="12">
        <f t="shared" si="109"/>
        <v>0</v>
      </c>
      <c r="AB120" s="12">
        <f t="shared" si="110"/>
        <v>0</v>
      </c>
      <c r="AC120" s="12">
        <f t="shared" si="111"/>
        <v>0</v>
      </c>
      <c r="AD120" s="12" t="e">
        <f t="shared" si="112"/>
        <v>#REF!</v>
      </c>
      <c r="AE120" s="12" t="e">
        <f t="shared" si="113"/>
        <v>#REF!</v>
      </c>
      <c r="AF120" s="12">
        <f t="shared" si="114"/>
        <v>0</v>
      </c>
      <c r="AG120" s="12">
        <f t="shared" si="115"/>
        <v>0</v>
      </c>
      <c r="AH120" s="12">
        <f t="shared" si="116"/>
        <v>0</v>
      </c>
      <c r="AI120" s="10" t="s">
        <v>598</v>
      </c>
      <c r="AJ120" s="12">
        <f t="shared" si="117"/>
        <v>0</v>
      </c>
      <c r="AK120" s="12">
        <f t="shared" si="118"/>
        <v>0</v>
      </c>
      <c r="AL120" s="12" t="e">
        <f t="shared" si="119"/>
        <v>#REF!</v>
      </c>
      <c r="AN120" s="12">
        <v>21</v>
      </c>
      <c r="AO120" s="12" t="e">
        <f>H120*0.767472727</f>
        <v>#REF!</v>
      </c>
      <c r="AP120" s="12" t="e">
        <f>H120*(1-0.767472727)</f>
        <v>#REF!</v>
      </c>
      <c r="AQ120" s="49" t="s">
        <v>567</v>
      </c>
      <c r="AV120" s="12" t="e">
        <f t="shared" si="120"/>
        <v>#REF!</v>
      </c>
      <c r="AW120" s="12" t="e">
        <f t="shared" si="121"/>
        <v>#REF!</v>
      </c>
      <c r="AX120" s="12" t="e">
        <f t="shared" si="122"/>
        <v>#REF!</v>
      </c>
      <c r="AY120" s="49" t="s">
        <v>593</v>
      </c>
      <c r="AZ120" s="49" t="s">
        <v>635</v>
      </c>
      <c r="BA120" s="10" t="s">
        <v>601</v>
      </c>
      <c r="BC120" s="12" t="e">
        <f t="shared" si="123"/>
        <v>#REF!</v>
      </c>
      <c r="BD120" s="12" t="e">
        <f t="shared" si="124"/>
        <v>#REF!</v>
      </c>
      <c r="BE120" s="12">
        <v>0</v>
      </c>
      <c r="BF120" s="12" t="e">
        <f t="shared" si="125"/>
        <v>#REF!</v>
      </c>
      <c r="BH120" s="12" t="e">
        <f t="shared" si="126"/>
        <v>#REF!</v>
      </c>
      <c r="BI120" s="12" t="e">
        <f t="shared" si="127"/>
        <v>#REF!</v>
      </c>
      <c r="BJ120" s="12" t="e">
        <f t="shared" si="128"/>
        <v>#REF!</v>
      </c>
      <c r="BK120" s="12"/>
      <c r="BL120" s="12">
        <v>734</v>
      </c>
      <c r="BW120" s="12" t="str">
        <f t="shared" si="129"/>
        <v>21</v>
      </c>
      <c r="BX120" s="3" t="s">
        <v>220</v>
      </c>
    </row>
    <row r="121" spans="1:76">
      <c r="A121" s="1" t="s">
        <v>653</v>
      </c>
      <c r="B121" s="2" t="s">
        <v>598</v>
      </c>
      <c r="C121" s="2" t="s">
        <v>221</v>
      </c>
      <c r="D121" s="349" t="s">
        <v>222</v>
      </c>
      <c r="E121" s="342"/>
      <c r="F121" s="2" t="s">
        <v>68</v>
      </c>
      <c r="G121" s="12" t="e">
        <f>#REF!</f>
        <v>#REF!</v>
      </c>
      <c r="H121" s="12" t="e">
        <f>#REF!</f>
        <v>#REF!</v>
      </c>
      <c r="I121" s="49" t="s">
        <v>554</v>
      </c>
      <c r="J121" s="12" t="e">
        <f t="shared" si="104"/>
        <v>#REF!</v>
      </c>
      <c r="K121" s="12" t="e">
        <f t="shared" si="105"/>
        <v>#REF!</v>
      </c>
      <c r="L121" s="12" t="e">
        <f t="shared" si="106"/>
        <v>#REF!</v>
      </c>
      <c r="M121" s="12" t="e">
        <f t="shared" si="107"/>
        <v>#REF!</v>
      </c>
      <c r="N121" s="12">
        <v>6.4999999999999997E-4</v>
      </c>
      <c r="O121" s="12" t="e">
        <f t="shared" si="108"/>
        <v>#REF!</v>
      </c>
      <c r="P121" s="50" t="s">
        <v>605</v>
      </c>
      <c r="Z121" s="12">
        <f t="shared" si="109"/>
        <v>0</v>
      </c>
      <c r="AB121" s="12">
        <f t="shared" si="110"/>
        <v>0</v>
      </c>
      <c r="AC121" s="12">
        <f t="shared" si="111"/>
        <v>0</v>
      </c>
      <c r="AD121" s="12" t="e">
        <f t="shared" si="112"/>
        <v>#REF!</v>
      </c>
      <c r="AE121" s="12" t="e">
        <f t="shared" si="113"/>
        <v>#REF!</v>
      </c>
      <c r="AF121" s="12">
        <f t="shared" si="114"/>
        <v>0</v>
      </c>
      <c r="AG121" s="12">
        <f t="shared" si="115"/>
        <v>0</v>
      </c>
      <c r="AH121" s="12">
        <f t="shared" si="116"/>
        <v>0</v>
      </c>
      <c r="AI121" s="10" t="s">
        <v>598</v>
      </c>
      <c r="AJ121" s="12">
        <f t="shared" si="117"/>
        <v>0</v>
      </c>
      <c r="AK121" s="12">
        <f t="shared" si="118"/>
        <v>0</v>
      </c>
      <c r="AL121" s="12" t="e">
        <f t="shared" si="119"/>
        <v>#REF!</v>
      </c>
      <c r="AN121" s="12">
        <v>21</v>
      </c>
      <c r="AO121" s="12" t="e">
        <f>H121*0.947349887</f>
        <v>#REF!</v>
      </c>
      <c r="AP121" s="12" t="e">
        <f>H121*(1-0.947349887)</f>
        <v>#REF!</v>
      </c>
      <c r="AQ121" s="49" t="s">
        <v>567</v>
      </c>
      <c r="AV121" s="12" t="e">
        <f t="shared" si="120"/>
        <v>#REF!</v>
      </c>
      <c r="AW121" s="12" t="e">
        <f t="shared" si="121"/>
        <v>#REF!</v>
      </c>
      <c r="AX121" s="12" t="e">
        <f t="shared" si="122"/>
        <v>#REF!</v>
      </c>
      <c r="AY121" s="49" t="s">
        <v>593</v>
      </c>
      <c r="AZ121" s="49" t="s">
        <v>635</v>
      </c>
      <c r="BA121" s="10" t="s">
        <v>601</v>
      </c>
      <c r="BC121" s="12" t="e">
        <f t="shared" si="123"/>
        <v>#REF!</v>
      </c>
      <c r="BD121" s="12" t="e">
        <f t="shared" si="124"/>
        <v>#REF!</v>
      </c>
      <c r="BE121" s="12">
        <v>0</v>
      </c>
      <c r="BF121" s="12" t="e">
        <f t="shared" si="125"/>
        <v>#REF!</v>
      </c>
      <c r="BH121" s="12" t="e">
        <f t="shared" si="126"/>
        <v>#REF!</v>
      </c>
      <c r="BI121" s="12" t="e">
        <f t="shared" si="127"/>
        <v>#REF!</v>
      </c>
      <c r="BJ121" s="12" t="e">
        <f t="shared" si="128"/>
        <v>#REF!</v>
      </c>
      <c r="BK121" s="12"/>
      <c r="BL121" s="12">
        <v>734</v>
      </c>
      <c r="BW121" s="12" t="str">
        <f t="shared" si="129"/>
        <v>21</v>
      </c>
      <c r="BX121" s="3" t="s">
        <v>222</v>
      </c>
    </row>
    <row r="122" spans="1:76">
      <c r="A122" s="1" t="s">
        <v>654</v>
      </c>
      <c r="B122" s="2" t="s">
        <v>598</v>
      </c>
      <c r="C122" s="2" t="s">
        <v>223</v>
      </c>
      <c r="D122" s="349" t="s">
        <v>224</v>
      </c>
      <c r="E122" s="342"/>
      <c r="F122" s="2" t="s">
        <v>68</v>
      </c>
      <c r="G122" s="12" t="e">
        <f>#REF!</f>
        <v>#REF!</v>
      </c>
      <c r="H122" s="12" t="e">
        <f>#REF!</f>
        <v>#REF!</v>
      </c>
      <c r="I122" s="49" t="s">
        <v>554</v>
      </c>
      <c r="J122" s="12" t="e">
        <f t="shared" si="104"/>
        <v>#REF!</v>
      </c>
      <c r="K122" s="12" t="e">
        <f t="shared" si="105"/>
        <v>#REF!</v>
      </c>
      <c r="L122" s="12" t="e">
        <f t="shared" si="106"/>
        <v>#REF!</v>
      </c>
      <c r="M122" s="12" t="e">
        <f t="shared" si="107"/>
        <v>#REF!</v>
      </c>
      <c r="N122" s="12">
        <v>1.23E-3</v>
      </c>
      <c r="O122" s="12" t="e">
        <f t="shared" si="108"/>
        <v>#REF!</v>
      </c>
      <c r="P122" s="50" t="s">
        <v>577</v>
      </c>
      <c r="Z122" s="12">
        <f t="shared" si="109"/>
        <v>0</v>
      </c>
      <c r="AB122" s="12">
        <f t="shared" si="110"/>
        <v>0</v>
      </c>
      <c r="AC122" s="12">
        <f t="shared" si="111"/>
        <v>0</v>
      </c>
      <c r="AD122" s="12" t="e">
        <f t="shared" si="112"/>
        <v>#REF!</v>
      </c>
      <c r="AE122" s="12" t="e">
        <f t="shared" si="113"/>
        <v>#REF!</v>
      </c>
      <c r="AF122" s="12">
        <f t="shared" si="114"/>
        <v>0</v>
      </c>
      <c r="AG122" s="12">
        <f t="shared" si="115"/>
        <v>0</v>
      </c>
      <c r="AH122" s="12">
        <f t="shared" si="116"/>
        <v>0</v>
      </c>
      <c r="AI122" s="10" t="s">
        <v>598</v>
      </c>
      <c r="AJ122" s="12">
        <f t="shared" si="117"/>
        <v>0</v>
      </c>
      <c r="AK122" s="12">
        <f t="shared" si="118"/>
        <v>0</v>
      </c>
      <c r="AL122" s="12" t="e">
        <f t="shared" si="119"/>
        <v>#REF!</v>
      </c>
      <c r="AN122" s="12">
        <v>21</v>
      </c>
      <c r="AO122" s="12" t="e">
        <f>H122*0.266758242</f>
        <v>#REF!</v>
      </c>
      <c r="AP122" s="12" t="e">
        <f>H122*(1-0.266758242)</f>
        <v>#REF!</v>
      </c>
      <c r="AQ122" s="49" t="s">
        <v>567</v>
      </c>
      <c r="AV122" s="12" t="e">
        <f t="shared" si="120"/>
        <v>#REF!</v>
      </c>
      <c r="AW122" s="12" t="e">
        <f t="shared" si="121"/>
        <v>#REF!</v>
      </c>
      <c r="AX122" s="12" t="e">
        <f t="shared" si="122"/>
        <v>#REF!</v>
      </c>
      <c r="AY122" s="49" t="s">
        <v>593</v>
      </c>
      <c r="AZ122" s="49" t="s">
        <v>635</v>
      </c>
      <c r="BA122" s="10" t="s">
        <v>601</v>
      </c>
      <c r="BC122" s="12" t="e">
        <f t="shared" si="123"/>
        <v>#REF!</v>
      </c>
      <c r="BD122" s="12" t="e">
        <f t="shared" si="124"/>
        <v>#REF!</v>
      </c>
      <c r="BE122" s="12">
        <v>0</v>
      </c>
      <c r="BF122" s="12" t="e">
        <f t="shared" si="125"/>
        <v>#REF!</v>
      </c>
      <c r="BH122" s="12" t="e">
        <f t="shared" si="126"/>
        <v>#REF!</v>
      </c>
      <c r="BI122" s="12" t="e">
        <f t="shared" si="127"/>
        <v>#REF!</v>
      </c>
      <c r="BJ122" s="12" t="e">
        <f t="shared" si="128"/>
        <v>#REF!</v>
      </c>
      <c r="BK122" s="12"/>
      <c r="BL122" s="12">
        <v>734</v>
      </c>
      <c r="BW122" s="12" t="str">
        <f t="shared" si="129"/>
        <v>21</v>
      </c>
      <c r="BX122" s="3" t="s">
        <v>224</v>
      </c>
    </row>
    <row r="123" spans="1:76">
      <c r="A123" s="1" t="s">
        <v>655</v>
      </c>
      <c r="B123" s="2" t="s">
        <v>598</v>
      </c>
      <c r="C123" s="2" t="s">
        <v>225</v>
      </c>
      <c r="D123" s="349" t="s">
        <v>226</v>
      </c>
      <c r="E123" s="342"/>
      <c r="F123" s="2" t="s">
        <v>68</v>
      </c>
      <c r="G123" s="12" t="e">
        <f>#REF!</f>
        <v>#REF!</v>
      </c>
      <c r="H123" s="12" t="e">
        <f>#REF!</f>
        <v>#REF!</v>
      </c>
      <c r="I123" s="49" t="s">
        <v>554</v>
      </c>
      <c r="J123" s="12" t="e">
        <f t="shared" si="104"/>
        <v>#REF!</v>
      </c>
      <c r="K123" s="12" t="e">
        <f t="shared" si="105"/>
        <v>#REF!</v>
      </c>
      <c r="L123" s="12" t="e">
        <f t="shared" si="106"/>
        <v>#REF!</v>
      </c>
      <c r="M123" s="12" t="e">
        <f t="shared" si="107"/>
        <v>#REF!</v>
      </c>
      <c r="N123" s="12">
        <v>5.7000000000000002E-3</v>
      </c>
      <c r="O123" s="12" t="e">
        <f t="shared" si="108"/>
        <v>#REF!</v>
      </c>
      <c r="P123" s="50" t="s">
        <v>605</v>
      </c>
      <c r="Z123" s="12">
        <f t="shared" si="109"/>
        <v>0</v>
      </c>
      <c r="AB123" s="12">
        <f t="shared" si="110"/>
        <v>0</v>
      </c>
      <c r="AC123" s="12">
        <f t="shared" si="111"/>
        <v>0</v>
      </c>
      <c r="AD123" s="12" t="e">
        <f t="shared" si="112"/>
        <v>#REF!</v>
      </c>
      <c r="AE123" s="12" t="e">
        <f t="shared" si="113"/>
        <v>#REF!</v>
      </c>
      <c r="AF123" s="12">
        <f t="shared" si="114"/>
        <v>0</v>
      </c>
      <c r="AG123" s="12">
        <f t="shared" si="115"/>
        <v>0</v>
      </c>
      <c r="AH123" s="12">
        <f t="shared" si="116"/>
        <v>0</v>
      </c>
      <c r="AI123" s="10" t="s">
        <v>598</v>
      </c>
      <c r="AJ123" s="12">
        <f t="shared" si="117"/>
        <v>0</v>
      </c>
      <c r="AK123" s="12">
        <f t="shared" si="118"/>
        <v>0</v>
      </c>
      <c r="AL123" s="12" t="e">
        <f t="shared" si="119"/>
        <v>#REF!</v>
      </c>
      <c r="AN123" s="12">
        <v>21</v>
      </c>
      <c r="AO123" s="12" t="e">
        <f>H123*1</f>
        <v>#REF!</v>
      </c>
      <c r="AP123" s="12" t="e">
        <f>H123*(1-1)</f>
        <v>#REF!</v>
      </c>
      <c r="AQ123" s="49" t="s">
        <v>567</v>
      </c>
      <c r="AV123" s="12" t="e">
        <f t="shared" si="120"/>
        <v>#REF!</v>
      </c>
      <c r="AW123" s="12" t="e">
        <f t="shared" si="121"/>
        <v>#REF!</v>
      </c>
      <c r="AX123" s="12" t="e">
        <f t="shared" si="122"/>
        <v>#REF!</v>
      </c>
      <c r="AY123" s="49" t="s">
        <v>593</v>
      </c>
      <c r="AZ123" s="49" t="s">
        <v>635</v>
      </c>
      <c r="BA123" s="10" t="s">
        <v>601</v>
      </c>
      <c r="BC123" s="12" t="e">
        <f t="shared" si="123"/>
        <v>#REF!</v>
      </c>
      <c r="BD123" s="12" t="e">
        <f t="shared" si="124"/>
        <v>#REF!</v>
      </c>
      <c r="BE123" s="12">
        <v>0</v>
      </c>
      <c r="BF123" s="12" t="e">
        <f t="shared" si="125"/>
        <v>#REF!</v>
      </c>
      <c r="BH123" s="12" t="e">
        <f t="shared" si="126"/>
        <v>#REF!</v>
      </c>
      <c r="BI123" s="12" t="e">
        <f t="shared" si="127"/>
        <v>#REF!</v>
      </c>
      <c r="BJ123" s="12" t="e">
        <f t="shared" si="128"/>
        <v>#REF!</v>
      </c>
      <c r="BK123" s="12"/>
      <c r="BL123" s="12">
        <v>734</v>
      </c>
      <c r="BW123" s="12" t="str">
        <f t="shared" si="129"/>
        <v>21</v>
      </c>
      <c r="BX123" s="3" t="s">
        <v>226</v>
      </c>
    </row>
    <row r="124" spans="1:76" ht="216.75">
      <c r="A124" s="51"/>
      <c r="C124" s="13" t="s">
        <v>117</v>
      </c>
      <c r="D124" s="363" t="s">
        <v>227</v>
      </c>
      <c r="E124" s="364"/>
      <c r="F124" s="364"/>
      <c r="G124" s="364"/>
      <c r="H124" s="364"/>
      <c r="I124" s="364"/>
      <c r="J124" s="364"/>
      <c r="K124" s="364"/>
      <c r="L124" s="364"/>
      <c r="M124" s="364"/>
      <c r="N124" s="364"/>
      <c r="O124" s="364"/>
      <c r="P124" s="365"/>
      <c r="BX124" s="14" t="s">
        <v>227</v>
      </c>
    </row>
    <row r="125" spans="1:76">
      <c r="A125" s="1" t="s">
        <v>656</v>
      </c>
      <c r="B125" s="2" t="s">
        <v>598</v>
      </c>
      <c r="C125" s="2" t="s">
        <v>228</v>
      </c>
      <c r="D125" s="349" t="s">
        <v>229</v>
      </c>
      <c r="E125" s="342"/>
      <c r="F125" s="2" t="s">
        <v>68</v>
      </c>
      <c r="G125" s="12" t="e">
        <f>#REF!</f>
        <v>#REF!</v>
      </c>
      <c r="H125" s="12" t="e">
        <f>#REF!</f>
        <v>#REF!</v>
      </c>
      <c r="I125" s="49" t="s">
        <v>554</v>
      </c>
      <c r="J125" s="12" t="e">
        <f>G125*AO125</f>
        <v>#REF!</v>
      </c>
      <c r="K125" s="12" t="e">
        <f>G125*AP125</f>
        <v>#REF!</v>
      </c>
      <c r="L125" s="12" t="e">
        <f>G125*H125</f>
        <v>#REF!</v>
      </c>
      <c r="M125" s="12" t="e">
        <f>L125*(1+BW125/100)</f>
        <v>#REF!</v>
      </c>
      <c r="N125" s="12">
        <v>5.0000000000000001E-4</v>
      </c>
      <c r="O125" s="12" t="e">
        <f>G125*N125</f>
        <v>#REF!</v>
      </c>
      <c r="P125" s="50" t="s">
        <v>605</v>
      </c>
      <c r="Z125" s="12">
        <f>IF(AQ125="5",BJ125,0)</f>
        <v>0</v>
      </c>
      <c r="AB125" s="12">
        <f>IF(AQ125="1",BH125,0)</f>
        <v>0</v>
      </c>
      <c r="AC125" s="12">
        <f>IF(AQ125="1",BI125,0)</f>
        <v>0</v>
      </c>
      <c r="AD125" s="12" t="e">
        <f>IF(AQ125="7",BH125,0)</f>
        <v>#REF!</v>
      </c>
      <c r="AE125" s="12" t="e">
        <f>IF(AQ125="7",BI125,0)</f>
        <v>#REF!</v>
      </c>
      <c r="AF125" s="12">
        <f>IF(AQ125="2",BH125,0)</f>
        <v>0</v>
      </c>
      <c r="AG125" s="12">
        <f>IF(AQ125="2",BI125,0)</f>
        <v>0</v>
      </c>
      <c r="AH125" s="12">
        <f>IF(AQ125="0",BJ125,0)</f>
        <v>0</v>
      </c>
      <c r="AI125" s="10" t="s">
        <v>598</v>
      </c>
      <c r="AJ125" s="12">
        <f>IF(AN125=0,L125,0)</f>
        <v>0</v>
      </c>
      <c r="AK125" s="12">
        <f>IF(AN125=12,L125,0)</f>
        <v>0</v>
      </c>
      <c r="AL125" s="12" t="e">
        <f>IF(AN125=21,L125,0)</f>
        <v>#REF!</v>
      </c>
      <c r="AN125" s="12">
        <v>21</v>
      </c>
      <c r="AO125" s="12" t="e">
        <f>H125*0.767894737</f>
        <v>#REF!</v>
      </c>
      <c r="AP125" s="12" t="e">
        <f>H125*(1-0.767894737)</f>
        <v>#REF!</v>
      </c>
      <c r="AQ125" s="49" t="s">
        <v>567</v>
      </c>
      <c r="AV125" s="12" t="e">
        <f>AW125+AX125</f>
        <v>#REF!</v>
      </c>
      <c r="AW125" s="12" t="e">
        <f>G125*AO125</f>
        <v>#REF!</v>
      </c>
      <c r="AX125" s="12" t="e">
        <f>G125*AP125</f>
        <v>#REF!</v>
      </c>
      <c r="AY125" s="49" t="s">
        <v>593</v>
      </c>
      <c r="AZ125" s="49" t="s">
        <v>635</v>
      </c>
      <c r="BA125" s="10" t="s">
        <v>601</v>
      </c>
      <c r="BC125" s="12" t="e">
        <f>AW125+AX125</f>
        <v>#REF!</v>
      </c>
      <c r="BD125" s="12" t="e">
        <f>H125/(100-BE125)*100</f>
        <v>#REF!</v>
      </c>
      <c r="BE125" s="12">
        <v>0</v>
      </c>
      <c r="BF125" s="12" t="e">
        <f>O125</f>
        <v>#REF!</v>
      </c>
      <c r="BH125" s="12" t="e">
        <f>G125*AO125</f>
        <v>#REF!</v>
      </c>
      <c r="BI125" s="12" t="e">
        <f>G125*AP125</f>
        <v>#REF!</v>
      </c>
      <c r="BJ125" s="12" t="e">
        <f>G125*H125</f>
        <v>#REF!</v>
      </c>
      <c r="BK125" s="12"/>
      <c r="BL125" s="12">
        <v>734</v>
      </c>
      <c r="BW125" s="12" t="str">
        <f>I125</f>
        <v>21</v>
      </c>
      <c r="BX125" s="3" t="s">
        <v>229</v>
      </c>
    </row>
    <row r="126" spans="1:76">
      <c r="A126" s="1" t="s">
        <v>657</v>
      </c>
      <c r="B126" s="2" t="s">
        <v>598</v>
      </c>
      <c r="C126" s="2" t="s">
        <v>230</v>
      </c>
      <c r="D126" s="349" t="s">
        <v>231</v>
      </c>
      <c r="E126" s="342"/>
      <c r="F126" s="2" t="s">
        <v>68</v>
      </c>
      <c r="G126" s="12" t="e">
        <f>#REF!</f>
        <v>#REF!</v>
      </c>
      <c r="H126" s="12" t="e">
        <f>#REF!</f>
        <v>#REF!</v>
      </c>
      <c r="I126" s="49" t="s">
        <v>554</v>
      </c>
      <c r="J126" s="12" t="e">
        <f>G126*AO126</f>
        <v>#REF!</v>
      </c>
      <c r="K126" s="12" t="e">
        <f>G126*AP126</f>
        <v>#REF!</v>
      </c>
      <c r="L126" s="12" t="e">
        <f>G126*H126</f>
        <v>#REF!</v>
      </c>
      <c r="M126" s="12" t="e">
        <f>L126*(1+BW126/100)</f>
        <v>#REF!</v>
      </c>
      <c r="N126" s="12">
        <v>5.0000000000000001E-4</v>
      </c>
      <c r="O126" s="12" t="e">
        <f>G126*N126</f>
        <v>#REF!</v>
      </c>
      <c r="P126" s="50" t="s">
        <v>605</v>
      </c>
      <c r="Z126" s="12">
        <f>IF(AQ126="5",BJ126,0)</f>
        <v>0</v>
      </c>
      <c r="AB126" s="12">
        <f>IF(AQ126="1",BH126,0)</f>
        <v>0</v>
      </c>
      <c r="AC126" s="12">
        <f>IF(AQ126="1",BI126,0)</f>
        <v>0</v>
      </c>
      <c r="AD126" s="12" t="e">
        <f>IF(AQ126="7",BH126,0)</f>
        <v>#REF!</v>
      </c>
      <c r="AE126" s="12" t="e">
        <f>IF(AQ126="7",BI126,0)</f>
        <v>#REF!</v>
      </c>
      <c r="AF126" s="12">
        <f>IF(AQ126="2",BH126,0)</f>
        <v>0</v>
      </c>
      <c r="AG126" s="12">
        <f>IF(AQ126="2",BI126,0)</f>
        <v>0</v>
      </c>
      <c r="AH126" s="12">
        <f>IF(AQ126="0",BJ126,0)</f>
        <v>0</v>
      </c>
      <c r="AI126" s="10" t="s">
        <v>598</v>
      </c>
      <c r="AJ126" s="12">
        <f>IF(AN126=0,L126,0)</f>
        <v>0</v>
      </c>
      <c r="AK126" s="12">
        <f>IF(AN126=12,L126,0)</f>
        <v>0</v>
      </c>
      <c r="AL126" s="12" t="e">
        <f>IF(AN126=21,L126,0)</f>
        <v>#REF!</v>
      </c>
      <c r="AN126" s="12">
        <v>21</v>
      </c>
      <c r="AO126" s="12" t="e">
        <f>H126*0.914419677</f>
        <v>#REF!</v>
      </c>
      <c r="AP126" s="12" t="e">
        <f>H126*(1-0.914419677)</f>
        <v>#REF!</v>
      </c>
      <c r="AQ126" s="49" t="s">
        <v>567</v>
      </c>
      <c r="AV126" s="12" t="e">
        <f>AW126+AX126</f>
        <v>#REF!</v>
      </c>
      <c r="AW126" s="12" t="e">
        <f>G126*AO126</f>
        <v>#REF!</v>
      </c>
      <c r="AX126" s="12" t="e">
        <f>G126*AP126</f>
        <v>#REF!</v>
      </c>
      <c r="AY126" s="49" t="s">
        <v>593</v>
      </c>
      <c r="AZ126" s="49" t="s">
        <v>635</v>
      </c>
      <c r="BA126" s="10" t="s">
        <v>601</v>
      </c>
      <c r="BC126" s="12" t="e">
        <f>AW126+AX126</f>
        <v>#REF!</v>
      </c>
      <c r="BD126" s="12" t="e">
        <f>H126/(100-BE126)*100</f>
        <v>#REF!</v>
      </c>
      <c r="BE126" s="12">
        <v>0</v>
      </c>
      <c r="BF126" s="12" t="e">
        <f>O126</f>
        <v>#REF!</v>
      </c>
      <c r="BH126" s="12" t="e">
        <f>G126*AO126</f>
        <v>#REF!</v>
      </c>
      <c r="BI126" s="12" t="e">
        <f>G126*AP126</f>
        <v>#REF!</v>
      </c>
      <c r="BJ126" s="12" t="e">
        <f>G126*H126</f>
        <v>#REF!</v>
      </c>
      <c r="BK126" s="12"/>
      <c r="BL126" s="12">
        <v>734</v>
      </c>
      <c r="BW126" s="12" t="str">
        <f>I126</f>
        <v>21</v>
      </c>
      <c r="BX126" s="3" t="s">
        <v>231</v>
      </c>
    </row>
    <row r="127" spans="1:76">
      <c r="A127" s="1" t="s">
        <v>658</v>
      </c>
      <c r="B127" s="2" t="s">
        <v>598</v>
      </c>
      <c r="C127" s="2" t="s">
        <v>232</v>
      </c>
      <c r="D127" s="349" t="s">
        <v>233</v>
      </c>
      <c r="E127" s="342"/>
      <c r="F127" s="2" t="s">
        <v>68</v>
      </c>
      <c r="G127" s="12" t="e">
        <f>#REF!</f>
        <v>#REF!</v>
      </c>
      <c r="H127" s="12" t="e">
        <f>#REF!</f>
        <v>#REF!</v>
      </c>
      <c r="I127" s="49" t="s">
        <v>554</v>
      </c>
      <c r="J127" s="12" t="e">
        <f>G127*AO127</f>
        <v>#REF!</v>
      </c>
      <c r="K127" s="12" t="e">
        <f>G127*AP127</f>
        <v>#REF!</v>
      </c>
      <c r="L127" s="12" t="e">
        <f>G127*H127</f>
        <v>#REF!</v>
      </c>
      <c r="M127" s="12" t="e">
        <f>L127*(1+BW127/100)</f>
        <v>#REF!</v>
      </c>
      <c r="N127" s="12">
        <v>0</v>
      </c>
      <c r="O127" s="12" t="e">
        <f>G127*N127</f>
        <v>#REF!</v>
      </c>
      <c r="P127" s="50" t="s">
        <v>577</v>
      </c>
      <c r="Z127" s="12">
        <f>IF(AQ127="5",BJ127,0)</f>
        <v>0</v>
      </c>
      <c r="AB127" s="12">
        <f>IF(AQ127="1",BH127,0)</f>
        <v>0</v>
      </c>
      <c r="AC127" s="12">
        <f>IF(AQ127="1",BI127,0)</f>
        <v>0</v>
      </c>
      <c r="AD127" s="12" t="e">
        <f>IF(AQ127="7",BH127,0)</f>
        <v>#REF!</v>
      </c>
      <c r="AE127" s="12" t="e">
        <f>IF(AQ127="7",BI127,0)</f>
        <v>#REF!</v>
      </c>
      <c r="AF127" s="12">
        <f>IF(AQ127="2",BH127,0)</f>
        <v>0</v>
      </c>
      <c r="AG127" s="12">
        <f>IF(AQ127="2",BI127,0)</f>
        <v>0</v>
      </c>
      <c r="AH127" s="12">
        <f>IF(AQ127="0",BJ127,0)</f>
        <v>0</v>
      </c>
      <c r="AI127" s="10" t="s">
        <v>598</v>
      </c>
      <c r="AJ127" s="12">
        <f>IF(AN127=0,L127,0)</f>
        <v>0</v>
      </c>
      <c r="AK127" s="12">
        <f>IF(AN127=12,L127,0)</f>
        <v>0</v>
      </c>
      <c r="AL127" s="12" t="e">
        <f>IF(AN127=21,L127,0)</f>
        <v>#REF!</v>
      </c>
      <c r="AN127" s="12">
        <v>21</v>
      </c>
      <c r="AO127" s="12" t="e">
        <f>H127*0.731747212</f>
        <v>#REF!</v>
      </c>
      <c r="AP127" s="12" t="e">
        <f>H127*(1-0.731747212)</f>
        <v>#REF!</v>
      </c>
      <c r="AQ127" s="49" t="s">
        <v>567</v>
      </c>
      <c r="AV127" s="12" t="e">
        <f>AW127+AX127</f>
        <v>#REF!</v>
      </c>
      <c r="AW127" s="12" t="e">
        <f>G127*AO127</f>
        <v>#REF!</v>
      </c>
      <c r="AX127" s="12" t="e">
        <f>G127*AP127</f>
        <v>#REF!</v>
      </c>
      <c r="AY127" s="49" t="s">
        <v>593</v>
      </c>
      <c r="AZ127" s="49" t="s">
        <v>635</v>
      </c>
      <c r="BA127" s="10" t="s">
        <v>601</v>
      </c>
      <c r="BC127" s="12" t="e">
        <f>AW127+AX127</f>
        <v>#REF!</v>
      </c>
      <c r="BD127" s="12" t="e">
        <f>H127/(100-BE127)*100</f>
        <v>#REF!</v>
      </c>
      <c r="BE127" s="12">
        <v>0</v>
      </c>
      <c r="BF127" s="12" t="e">
        <f>O127</f>
        <v>#REF!</v>
      </c>
      <c r="BH127" s="12" t="e">
        <f>G127*AO127</f>
        <v>#REF!</v>
      </c>
      <c r="BI127" s="12" t="e">
        <f>G127*AP127</f>
        <v>#REF!</v>
      </c>
      <c r="BJ127" s="12" t="e">
        <f>G127*H127</f>
        <v>#REF!</v>
      </c>
      <c r="BK127" s="12"/>
      <c r="BL127" s="12">
        <v>734</v>
      </c>
      <c r="BW127" s="12" t="str">
        <f>I127</f>
        <v>21</v>
      </c>
      <c r="BX127" s="3" t="s">
        <v>233</v>
      </c>
    </row>
    <row r="128" spans="1:76">
      <c r="A128" s="1" t="s">
        <v>659</v>
      </c>
      <c r="B128" s="2" t="s">
        <v>598</v>
      </c>
      <c r="C128" s="2" t="s">
        <v>234</v>
      </c>
      <c r="D128" s="349" t="s">
        <v>235</v>
      </c>
      <c r="E128" s="342"/>
      <c r="F128" s="2" t="s">
        <v>68</v>
      </c>
      <c r="G128" s="12" t="e">
        <f>#REF!</f>
        <v>#REF!</v>
      </c>
      <c r="H128" s="12" t="e">
        <f>#REF!</f>
        <v>#REF!</v>
      </c>
      <c r="I128" s="49" t="s">
        <v>554</v>
      </c>
      <c r="J128" s="12" t="e">
        <f>G128*AO128</f>
        <v>#REF!</v>
      </c>
      <c r="K128" s="12" t="e">
        <f>G128*AP128</f>
        <v>#REF!</v>
      </c>
      <c r="L128" s="12" t="e">
        <f>G128*H128</f>
        <v>#REF!</v>
      </c>
      <c r="M128" s="12" t="e">
        <f>L128*(1+BW128/100)</f>
        <v>#REF!</v>
      </c>
      <c r="N128" s="12">
        <v>8.0000000000000004E-4</v>
      </c>
      <c r="O128" s="12" t="e">
        <f>G128*N128</f>
        <v>#REF!</v>
      </c>
      <c r="P128" s="50" t="s">
        <v>577</v>
      </c>
      <c r="Z128" s="12">
        <f>IF(AQ128="5",BJ128,0)</f>
        <v>0</v>
      </c>
      <c r="AB128" s="12">
        <f>IF(AQ128="1",BH128,0)</f>
        <v>0</v>
      </c>
      <c r="AC128" s="12">
        <f>IF(AQ128="1",BI128,0)</f>
        <v>0</v>
      </c>
      <c r="AD128" s="12" t="e">
        <f>IF(AQ128="7",BH128,0)</f>
        <v>#REF!</v>
      </c>
      <c r="AE128" s="12" t="e">
        <f>IF(AQ128="7",BI128,0)</f>
        <v>#REF!</v>
      </c>
      <c r="AF128" s="12">
        <f>IF(AQ128="2",BH128,0)</f>
        <v>0</v>
      </c>
      <c r="AG128" s="12">
        <f>IF(AQ128="2",BI128,0)</f>
        <v>0</v>
      </c>
      <c r="AH128" s="12">
        <f>IF(AQ128="0",BJ128,0)</f>
        <v>0</v>
      </c>
      <c r="AI128" s="10" t="s">
        <v>598</v>
      </c>
      <c r="AJ128" s="12">
        <f>IF(AN128=0,L128,0)</f>
        <v>0</v>
      </c>
      <c r="AK128" s="12">
        <f>IF(AN128=12,L128,0)</f>
        <v>0</v>
      </c>
      <c r="AL128" s="12" t="e">
        <f>IF(AN128=21,L128,0)</f>
        <v>#REF!</v>
      </c>
      <c r="AN128" s="12">
        <v>21</v>
      </c>
      <c r="AO128" s="12" t="e">
        <f>H128*0.861926445</f>
        <v>#REF!</v>
      </c>
      <c r="AP128" s="12" t="e">
        <f>H128*(1-0.861926445)</f>
        <v>#REF!</v>
      </c>
      <c r="AQ128" s="49" t="s">
        <v>567</v>
      </c>
      <c r="AV128" s="12" t="e">
        <f>AW128+AX128</f>
        <v>#REF!</v>
      </c>
      <c r="AW128" s="12" t="e">
        <f>G128*AO128</f>
        <v>#REF!</v>
      </c>
      <c r="AX128" s="12" t="e">
        <f>G128*AP128</f>
        <v>#REF!</v>
      </c>
      <c r="AY128" s="49" t="s">
        <v>593</v>
      </c>
      <c r="AZ128" s="49" t="s">
        <v>635</v>
      </c>
      <c r="BA128" s="10" t="s">
        <v>601</v>
      </c>
      <c r="BC128" s="12" t="e">
        <f>AW128+AX128</f>
        <v>#REF!</v>
      </c>
      <c r="BD128" s="12" t="e">
        <f>H128/(100-BE128)*100</f>
        <v>#REF!</v>
      </c>
      <c r="BE128" s="12">
        <v>0</v>
      </c>
      <c r="BF128" s="12" t="e">
        <f>O128</f>
        <v>#REF!</v>
      </c>
      <c r="BH128" s="12" t="e">
        <f>G128*AO128</f>
        <v>#REF!</v>
      </c>
      <c r="BI128" s="12" t="e">
        <f>G128*AP128</f>
        <v>#REF!</v>
      </c>
      <c r="BJ128" s="12" t="e">
        <f>G128*H128</f>
        <v>#REF!</v>
      </c>
      <c r="BK128" s="12"/>
      <c r="BL128" s="12">
        <v>734</v>
      </c>
      <c r="BW128" s="12" t="str">
        <f>I128</f>
        <v>21</v>
      </c>
      <c r="BX128" s="3" t="s">
        <v>235</v>
      </c>
    </row>
    <row r="129" spans="1:76">
      <c r="A129" s="1" t="s">
        <v>660</v>
      </c>
      <c r="B129" s="2" t="s">
        <v>598</v>
      </c>
      <c r="C129" s="2" t="s">
        <v>236</v>
      </c>
      <c r="D129" s="349" t="s">
        <v>237</v>
      </c>
      <c r="E129" s="342"/>
      <c r="F129" s="2" t="s">
        <v>68</v>
      </c>
      <c r="G129" s="12" t="e">
        <f>#REF!</f>
        <v>#REF!</v>
      </c>
      <c r="H129" s="12" t="e">
        <f>#REF!</f>
        <v>#REF!</v>
      </c>
      <c r="I129" s="49" t="s">
        <v>554</v>
      </c>
      <c r="J129" s="12" t="e">
        <f>G129*AO129</f>
        <v>#REF!</v>
      </c>
      <c r="K129" s="12" t="e">
        <f>G129*AP129</f>
        <v>#REF!</v>
      </c>
      <c r="L129" s="12" t="e">
        <f>G129*H129</f>
        <v>#REF!</v>
      </c>
      <c r="M129" s="12" t="e">
        <f>L129*(1+BW129/100)</f>
        <v>#REF!</v>
      </c>
      <c r="N129" s="12">
        <v>1.3999999999999999E-4</v>
      </c>
      <c r="O129" s="12" t="e">
        <f>G129*N129</f>
        <v>#REF!</v>
      </c>
      <c r="P129" s="50" t="s">
        <v>605</v>
      </c>
      <c r="Z129" s="12">
        <f>IF(AQ129="5",BJ129,0)</f>
        <v>0</v>
      </c>
      <c r="AB129" s="12">
        <f>IF(AQ129="1",BH129,0)</f>
        <v>0</v>
      </c>
      <c r="AC129" s="12">
        <f>IF(AQ129="1",BI129,0)</f>
        <v>0</v>
      </c>
      <c r="AD129" s="12" t="e">
        <f>IF(AQ129="7",BH129,0)</f>
        <v>#REF!</v>
      </c>
      <c r="AE129" s="12" t="e">
        <f>IF(AQ129="7",BI129,0)</f>
        <v>#REF!</v>
      </c>
      <c r="AF129" s="12">
        <f>IF(AQ129="2",BH129,0)</f>
        <v>0</v>
      </c>
      <c r="AG129" s="12">
        <f>IF(AQ129="2",BI129,0)</f>
        <v>0</v>
      </c>
      <c r="AH129" s="12">
        <f>IF(AQ129="0",BJ129,0)</f>
        <v>0</v>
      </c>
      <c r="AI129" s="10" t="s">
        <v>598</v>
      </c>
      <c r="AJ129" s="12">
        <f>IF(AN129=0,L129,0)</f>
        <v>0</v>
      </c>
      <c r="AK129" s="12">
        <f>IF(AN129=12,L129,0)</f>
        <v>0</v>
      </c>
      <c r="AL129" s="12" t="e">
        <f>IF(AN129=21,L129,0)</f>
        <v>#REF!</v>
      </c>
      <c r="AN129" s="12">
        <v>21</v>
      </c>
      <c r="AO129" s="12" t="e">
        <f>H129*0.657605893</f>
        <v>#REF!</v>
      </c>
      <c r="AP129" s="12" t="e">
        <f>H129*(1-0.657605893)</f>
        <v>#REF!</v>
      </c>
      <c r="AQ129" s="49" t="s">
        <v>567</v>
      </c>
      <c r="AV129" s="12" t="e">
        <f>AW129+AX129</f>
        <v>#REF!</v>
      </c>
      <c r="AW129" s="12" t="e">
        <f>G129*AO129</f>
        <v>#REF!</v>
      </c>
      <c r="AX129" s="12" t="e">
        <f>G129*AP129</f>
        <v>#REF!</v>
      </c>
      <c r="AY129" s="49" t="s">
        <v>593</v>
      </c>
      <c r="AZ129" s="49" t="s">
        <v>635</v>
      </c>
      <c r="BA129" s="10" t="s">
        <v>601</v>
      </c>
      <c r="BC129" s="12" t="e">
        <f>AW129+AX129</f>
        <v>#REF!</v>
      </c>
      <c r="BD129" s="12" t="e">
        <f>H129/(100-BE129)*100</f>
        <v>#REF!</v>
      </c>
      <c r="BE129" s="12">
        <v>0</v>
      </c>
      <c r="BF129" s="12" t="e">
        <f>O129</f>
        <v>#REF!</v>
      </c>
      <c r="BH129" s="12" t="e">
        <f>G129*AO129</f>
        <v>#REF!</v>
      </c>
      <c r="BI129" s="12" t="e">
        <f>G129*AP129</f>
        <v>#REF!</v>
      </c>
      <c r="BJ129" s="12" t="e">
        <f>G129*H129</f>
        <v>#REF!</v>
      </c>
      <c r="BK129" s="12"/>
      <c r="BL129" s="12">
        <v>734</v>
      </c>
      <c r="BW129" s="12" t="str">
        <f>I129</f>
        <v>21</v>
      </c>
      <c r="BX129" s="3" t="s">
        <v>237</v>
      </c>
    </row>
    <row r="130" spans="1:76">
      <c r="A130" s="46" t="s">
        <v>21</v>
      </c>
      <c r="B130" s="9" t="s">
        <v>598</v>
      </c>
      <c r="C130" s="9" t="s">
        <v>101</v>
      </c>
      <c r="D130" s="359" t="s">
        <v>102</v>
      </c>
      <c r="E130" s="360"/>
      <c r="F130" s="47" t="s">
        <v>20</v>
      </c>
      <c r="G130" s="47" t="s">
        <v>20</v>
      </c>
      <c r="H130" s="47" t="s">
        <v>20</v>
      </c>
      <c r="I130" s="47" t="s">
        <v>20</v>
      </c>
      <c r="J130" s="11" t="e">
        <f>SUM(J131:J131)</f>
        <v>#REF!</v>
      </c>
      <c r="K130" s="11" t="e">
        <f>SUM(K131:K131)</f>
        <v>#REF!</v>
      </c>
      <c r="L130" s="11" t="e">
        <f>SUM(L131:L131)</f>
        <v>#REF!</v>
      </c>
      <c r="M130" s="11" t="e">
        <f>SUM(M131:M131)</f>
        <v>#REF!</v>
      </c>
      <c r="N130" s="10" t="s">
        <v>21</v>
      </c>
      <c r="O130" s="11" t="e">
        <f>SUM(O131:O131)</f>
        <v>#REF!</v>
      </c>
      <c r="P130" s="48" t="s">
        <v>21</v>
      </c>
      <c r="AI130" s="10" t="s">
        <v>598</v>
      </c>
      <c r="AS130" s="11">
        <f>SUM(AJ131:AJ131)</f>
        <v>0</v>
      </c>
      <c r="AT130" s="11">
        <f>SUM(AK131:AK131)</f>
        <v>0</v>
      </c>
      <c r="AU130" s="11" t="e">
        <f>SUM(AL131:AL131)</f>
        <v>#REF!</v>
      </c>
    </row>
    <row r="131" spans="1:76">
      <c r="A131" s="1" t="s">
        <v>661</v>
      </c>
      <c r="B131" s="2" t="s">
        <v>598</v>
      </c>
      <c r="C131" s="2" t="s">
        <v>238</v>
      </c>
      <c r="D131" s="349" t="s">
        <v>239</v>
      </c>
      <c r="E131" s="342"/>
      <c r="F131" s="2" t="s">
        <v>105</v>
      </c>
      <c r="G131" s="12" t="e">
        <f>#REF!</f>
        <v>#REF!</v>
      </c>
      <c r="H131" s="12" t="e">
        <f>#REF!</f>
        <v>#REF!</v>
      </c>
      <c r="I131" s="49" t="s">
        <v>554</v>
      </c>
      <c r="J131" s="12" t="e">
        <f>G131*AO131</f>
        <v>#REF!</v>
      </c>
      <c r="K131" s="12" t="e">
        <f>G131*AP131</f>
        <v>#REF!</v>
      </c>
      <c r="L131" s="12" t="e">
        <f>G131*H131</f>
        <v>#REF!</v>
      </c>
      <c r="M131" s="12" t="e">
        <f>L131*(1+BW131/100)</f>
        <v>#REF!</v>
      </c>
      <c r="N131" s="12">
        <v>5.0000000000000002E-5</v>
      </c>
      <c r="O131" s="12" t="e">
        <f>G131*N131</f>
        <v>#REF!</v>
      </c>
      <c r="P131" s="50" t="s">
        <v>577</v>
      </c>
      <c r="Z131" s="12">
        <f>IF(AQ131="5",BJ131,0)</f>
        <v>0</v>
      </c>
      <c r="AB131" s="12">
        <f>IF(AQ131="1",BH131,0)</f>
        <v>0</v>
      </c>
      <c r="AC131" s="12">
        <f>IF(AQ131="1",BI131,0)</f>
        <v>0</v>
      </c>
      <c r="AD131" s="12" t="e">
        <f>IF(AQ131="7",BH131,0)</f>
        <v>#REF!</v>
      </c>
      <c r="AE131" s="12" t="e">
        <f>IF(AQ131="7",BI131,0)</f>
        <v>#REF!</v>
      </c>
      <c r="AF131" s="12">
        <f>IF(AQ131="2",BH131,0)</f>
        <v>0</v>
      </c>
      <c r="AG131" s="12">
        <f>IF(AQ131="2",BI131,0)</f>
        <v>0</v>
      </c>
      <c r="AH131" s="12">
        <f>IF(AQ131="0",BJ131,0)</f>
        <v>0</v>
      </c>
      <c r="AI131" s="10" t="s">
        <v>598</v>
      </c>
      <c r="AJ131" s="12">
        <f>IF(AN131=0,L131,0)</f>
        <v>0</v>
      </c>
      <c r="AK131" s="12">
        <f>IF(AN131=12,L131,0)</f>
        <v>0</v>
      </c>
      <c r="AL131" s="12" t="e">
        <f>IF(AN131=21,L131,0)</f>
        <v>#REF!</v>
      </c>
      <c r="AN131" s="12">
        <v>21</v>
      </c>
      <c r="AO131" s="12" t="e">
        <f>H131*0.17515528</f>
        <v>#REF!</v>
      </c>
      <c r="AP131" s="12" t="e">
        <f>H131*(1-0.17515528)</f>
        <v>#REF!</v>
      </c>
      <c r="AQ131" s="49" t="s">
        <v>567</v>
      </c>
      <c r="AV131" s="12" t="e">
        <f>AW131+AX131</f>
        <v>#REF!</v>
      </c>
      <c r="AW131" s="12" t="e">
        <f>G131*AO131</f>
        <v>#REF!</v>
      </c>
      <c r="AX131" s="12" t="e">
        <f>G131*AP131</f>
        <v>#REF!</v>
      </c>
      <c r="AY131" s="49" t="s">
        <v>596</v>
      </c>
      <c r="AZ131" s="49" t="s">
        <v>662</v>
      </c>
      <c r="BA131" s="10" t="s">
        <v>601</v>
      </c>
      <c r="BC131" s="12" t="e">
        <f>AW131+AX131</f>
        <v>#REF!</v>
      </c>
      <c r="BD131" s="12" t="e">
        <f>H131/(100-BE131)*100</f>
        <v>#REF!</v>
      </c>
      <c r="BE131" s="12">
        <v>0</v>
      </c>
      <c r="BF131" s="12" t="e">
        <f>O131</f>
        <v>#REF!</v>
      </c>
      <c r="BH131" s="12" t="e">
        <f>G131*AO131</f>
        <v>#REF!</v>
      </c>
      <c r="BI131" s="12" t="e">
        <f>G131*AP131</f>
        <v>#REF!</v>
      </c>
      <c r="BJ131" s="12" t="e">
        <f>G131*H131</f>
        <v>#REF!</v>
      </c>
      <c r="BK131" s="12"/>
      <c r="BL131" s="12">
        <v>767</v>
      </c>
      <c r="BW131" s="12" t="str">
        <f>I131</f>
        <v>21</v>
      </c>
      <c r="BX131" s="3" t="s">
        <v>239</v>
      </c>
    </row>
    <row r="132" spans="1:76">
      <c r="A132" s="46" t="s">
        <v>21</v>
      </c>
      <c r="B132" s="9" t="s">
        <v>663</v>
      </c>
      <c r="C132" s="9" t="s">
        <v>21</v>
      </c>
      <c r="D132" s="359" t="s">
        <v>240</v>
      </c>
      <c r="E132" s="360"/>
      <c r="F132" s="47" t="s">
        <v>20</v>
      </c>
      <c r="G132" s="47" t="s">
        <v>20</v>
      </c>
      <c r="H132" s="47" t="s">
        <v>20</v>
      </c>
      <c r="I132" s="47" t="s">
        <v>20</v>
      </c>
      <c r="J132" s="11" t="e">
        <f>J133+J142+J146+J152+J154+J156+J159+J187+J194+J202</f>
        <v>#REF!</v>
      </c>
      <c r="K132" s="11" t="e">
        <f>K133+K142+K146+K152+K154+K156+K159+K187+K194+K202</f>
        <v>#REF!</v>
      </c>
      <c r="L132" s="11" t="e">
        <f>L133+L142+L146+L152+L154+L156+L159+L187+L194+L202</f>
        <v>#REF!</v>
      </c>
      <c r="M132" s="11" t="e">
        <f>M133+M142+M146+M152+M154+M156+M159+M187+M194+M202</f>
        <v>#REF!</v>
      </c>
      <c r="N132" s="10" t="s">
        <v>21</v>
      </c>
      <c r="O132" s="11" t="e">
        <f>O133+O142+O146+O152+O154+O156+O159+O187+O194+O202</f>
        <v>#REF!</v>
      </c>
      <c r="P132" s="48" t="s">
        <v>21</v>
      </c>
    </row>
    <row r="133" spans="1:76">
      <c r="A133" s="46" t="s">
        <v>21</v>
      </c>
      <c r="B133" s="9" t="s">
        <v>663</v>
      </c>
      <c r="C133" s="9" t="s">
        <v>241</v>
      </c>
      <c r="D133" s="359" t="s">
        <v>242</v>
      </c>
      <c r="E133" s="360"/>
      <c r="F133" s="47" t="s">
        <v>20</v>
      </c>
      <c r="G133" s="47" t="s">
        <v>20</v>
      </c>
      <c r="H133" s="47" t="s">
        <v>20</v>
      </c>
      <c r="I133" s="47" t="s">
        <v>20</v>
      </c>
      <c r="J133" s="11" t="e">
        <f>SUM(J134:J141)</f>
        <v>#REF!</v>
      </c>
      <c r="K133" s="11" t="e">
        <f>SUM(K134:K141)</f>
        <v>#REF!</v>
      </c>
      <c r="L133" s="11" t="e">
        <f>SUM(L134:L141)</f>
        <v>#REF!</v>
      </c>
      <c r="M133" s="11" t="e">
        <f>SUM(M134:M141)</f>
        <v>#REF!</v>
      </c>
      <c r="N133" s="10" t="s">
        <v>21</v>
      </c>
      <c r="O133" s="11" t="e">
        <f>SUM(O134:O141)</f>
        <v>#REF!</v>
      </c>
      <c r="P133" s="48" t="s">
        <v>21</v>
      </c>
      <c r="AI133" s="10" t="s">
        <v>663</v>
      </c>
      <c r="AS133" s="11">
        <f>SUM(AJ134:AJ141)</f>
        <v>0</v>
      </c>
      <c r="AT133" s="11">
        <f>SUM(AK134:AK141)</f>
        <v>0</v>
      </c>
      <c r="AU133" s="11" t="e">
        <f>SUM(AL134:AL141)</f>
        <v>#REF!</v>
      </c>
    </row>
    <row r="134" spans="1:76">
      <c r="A134" s="1" t="s">
        <v>325</v>
      </c>
      <c r="B134" s="2" t="s">
        <v>663</v>
      </c>
      <c r="C134" s="2" t="s">
        <v>243</v>
      </c>
      <c r="D134" s="349" t="s">
        <v>244</v>
      </c>
      <c r="E134" s="342"/>
      <c r="F134" s="2" t="s">
        <v>245</v>
      </c>
      <c r="G134" s="12" t="e">
        <f>#REF!</f>
        <v>#REF!</v>
      </c>
      <c r="H134" s="12" t="e">
        <f>#REF!</f>
        <v>#REF!</v>
      </c>
      <c r="I134" s="49" t="s">
        <v>554</v>
      </c>
      <c r="J134" s="12" t="e">
        <f>G134*AO134</f>
        <v>#REF!</v>
      </c>
      <c r="K134" s="12" t="e">
        <f>G134*AP134</f>
        <v>#REF!</v>
      </c>
      <c r="L134" s="12" t="e">
        <f>G134*H134</f>
        <v>#REF!</v>
      </c>
      <c r="M134" s="12" t="e">
        <f>L134*(1+BW134/100)</f>
        <v>#REF!</v>
      </c>
      <c r="N134" s="12">
        <v>0.44500000000000001</v>
      </c>
      <c r="O134" s="12" t="e">
        <f>G134*N134</f>
        <v>#REF!</v>
      </c>
      <c r="P134" s="50" t="s">
        <v>577</v>
      </c>
      <c r="Z134" s="12">
        <f>IF(AQ134="5",BJ134,0)</f>
        <v>0</v>
      </c>
      <c r="AB134" s="12" t="e">
        <f>IF(AQ134="1",BH134,0)</f>
        <v>#REF!</v>
      </c>
      <c r="AC134" s="12" t="e">
        <f>IF(AQ134="1",BI134,0)</f>
        <v>#REF!</v>
      </c>
      <c r="AD134" s="12">
        <f>IF(AQ134="7",BH134,0)</f>
        <v>0</v>
      </c>
      <c r="AE134" s="12">
        <f>IF(AQ134="7",BI134,0)</f>
        <v>0</v>
      </c>
      <c r="AF134" s="12">
        <f>IF(AQ134="2",BH134,0)</f>
        <v>0</v>
      </c>
      <c r="AG134" s="12">
        <f>IF(AQ134="2",BI134,0)</f>
        <v>0</v>
      </c>
      <c r="AH134" s="12">
        <f>IF(AQ134="0",BJ134,0)</f>
        <v>0</v>
      </c>
      <c r="AI134" s="10" t="s">
        <v>663</v>
      </c>
      <c r="AJ134" s="12">
        <f>IF(AN134=0,L134,0)</f>
        <v>0</v>
      </c>
      <c r="AK134" s="12">
        <f>IF(AN134=12,L134,0)</f>
        <v>0</v>
      </c>
      <c r="AL134" s="12" t="e">
        <f>IF(AN134=21,L134,0)</f>
        <v>#REF!</v>
      </c>
      <c r="AN134" s="12">
        <v>21</v>
      </c>
      <c r="AO134" s="12" t="e">
        <f>H134*0</f>
        <v>#REF!</v>
      </c>
      <c r="AP134" s="12" t="e">
        <f>H134*(1-0)</f>
        <v>#REF!</v>
      </c>
      <c r="AQ134" s="49" t="s">
        <v>553</v>
      </c>
      <c r="AV134" s="12" t="e">
        <f>AW134+AX134</f>
        <v>#REF!</v>
      </c>
      <c r="AW134" s="12" t="e">
        <f>G134*AO134</f>
        <v>#REF!</v>
      </c>
      <c r="AX134" s="12" t="e">
        <f>G134*AP134</f>
        <v>#REF!</v>
      </c>
      <c r="AY134" s="49" t="s">
        <v>664</v>
      </c>
      <c r="AZ134" s="49" t="s">
        <v>665</v>
      </c>
      <c r="BA134" s="10" t="s">
        <v>666</v>
      </c>
      <c r="BC134" s="12" t="e">
        <f>AW134+AX134</f>
        <v>#REF!</v>
      </c>
      <c r="BD134" s="12" t="e">
        <f>H134/(100-BE134)*100</f>
        <v>#REF!</v>
      </c>
      <c r="BE134" s="12">
        <v>0</v>
      </c>
      <c r="BF134" s="12" t="e">
        <f>O134</f>
        <v>#REF!</v>
      </c>
      <c r="BH134" s="12" t="e">
        <f>G134*AO134</f>
        <v>#REF!</v>
      </c>
      <c r="BI134" s="12" t="e">
        <f>G134*AP134</f>
        <v>#REF!</v>
      </c>
      <c r="BJ134" s="12" t="e">
        <f>G134*H134</f>
        <v>#REF!</v>
      </c>
      <c r="BK134" s="12"/>
      <c r="BL134" s="12">
        <v>11</v>
      </c>
      <c r="BW134" s="12" t="str">
        <f>I134</f>
        <v>21</v>
      </c>
      <c r="BX134" s="3" t="s">
        <v>244</v>
      </c>
    </row>
    <row r="135" spans="1:76" ht="25.5">
      <c r="A135" s="51"/>
      <c r="C135" s="13" t="s">
        <v>117</v>
      </c>
      <c r="D135" s="363" t="s">
        <v>246</v>
      </c>
      <c r="E135" s="364"/>
      <c r="F135" s="364"/>
      <c r="G135" s="364"/>
      <c r="H135" s="364"/>
      <c r="I135" s="364"/>
      <c r="J135" s="364"/>
      <c r="K135" s="364"/>
      <c r="L135" s="364"/>
      <c r="M135" s="364"/>
      <c r="N135" s="364"/>
      <c r="O135" s="364"/>
      <c r="P135" s="365"/>
      <c r="BX135" s="14" t="s">
        <v>246</v>
      </c>
    </row>
    <row r="136" spans="1:76">
      <c r="A136" s="1" t="s">
        <v>667</v>
      </c>
      <c r="B136" s="2" t="s">
        <v>663</v>
      </c>
      <c r="C136" s="2" t="s">
        <v>247</v>
      </c>
      <c r="D136" s="349" t="s">
        <v>248</v>
      </c>
      <c r="E136" s="342"/>
      <c r="F136" s="2" t="s">
        <v>245</v>
      </c>
      <c r="G136" s="12" t="e">
        <f>#REF!</f>
        <v>#REF!</v>
      </c>
      <c r="H136" s="12" t="e">
        <f>#REF!</f>
        <v>#REF!</v>
      </c>
      <c r="I136" s="49" t="s">
        <v>554</v>
      </c>
      <c r="J136" s="12" t="e">
        <f>G136*AO136</f>
        <v>#REF!</v>
      </c>
      <c r="K136" s="12" t="e">
        <f>G136*AP136</f>
        <v>#REF!</v>
      </c>
      <c r="L136" s="12" t="e">
        <f>G136*H136</f>
        <v>#REF!</v>
      </c>
      <c r="M136" s="12" t="e">
        <f>L136*(1+BW136/100)</f>
        <v>#REF!</v>
      </c>
      <c r="N136" s="12">
        <v>0.62319999999999998</v>
      </c>
      <c r="O136" s="12" t="e">
        <f>G136*N136</f>
        <v>#REF!</v>
      </c>
      <c r="P136" s="50" t="s">
        <v>577</v>
      </c>
      <c r="Z136" s="12">
        <f>IF(AQ136="5",BJ136,0)</f>
        <v>0</v>
      </c>
      <c r="AB136" s="12" t="e">
        <f>IF(AQ136="1",BH136,0)</f>
        <v>#REF!</v>
      </c>
      <c r="AC136" s="12" t="e">
        <f>IF(AQ136="1",BI136,0)</f>
        <v>#REF!</v>
      </c>
      <c r="AD136" s="12">
        <f>IF(AQ136="7",BH136,0)</f>
        <v>0</v>
      </c>
      <c r="AE136" s="12">
        <f>IF(AQ136="7",BI136,0)</f>
        <v>0</v>
      </c>
      <c r="AF136" s="12">
        <f>IF(AQ136="2",BH136,0)</f>
        <v>0</v>
      </c>
      <c r="AG136" s="12">
        <f>IF(AQ136="2",BI136,0)</f>
        <v>0</v>
      </c>
      <c r="AH136" s="12">
        <f>IF(AQ136="0",BJ136,0)</f>
        <v>0</v>
      </c>
      <c r="AI136" s="10" t="s">
        <v>663</v>
      </c>
      <c r="AJ136" s="12">
        <f>IF(AN136=0,L136,0)</f>
        <v>0</v>
      </c>
      <c r="AK136" s="12">
        <f>IF(AN136=12,L136,0)</f>
        <v>0</v>
      </c>
      <c r="AL136" s="12" t="e">
        <f>IF(AN136=21,L136,0)</f>
        <v>#REF!</v>
      </c>
      <c r="AN136" s="12">
        <v>21</v>
      </c>
      <c r="AO136" s="12" t="e">
        <f>H136*0.006477319</f>
        <v>#REF!</v>
      </c>
      <c r="AP136" s="12" t="e">
        <f>H136*(1-0.006477319)</f>
        <v>#REF!</v>
      </c>
      <c r="AQ136" s="49" t="s">
        <v>553</v>
      </c>
      <c r="AV136" s="12" t="e">
        <f>AW136+AX136</f>
        <v>#REF!</v>
      </c>
      <c r="AW136" s="12" t="e">
        <f>G136*AO136</f>
        <v>#REF!</v>
      </c>
      <c r="AX136" s="12" t="e">
        <f>G136*AP136</f>
        <v>#REF!</v>
      </c>
      <c r="AY136" s="49" t="s">
        <v>664</v>
      </c>
      <c r="AZ136" s="49" t="s">
        <v>665</v>
      </c>
      <c r="BA136" s="10" t="s">
        <v>666</v>
      </c>
      <c r="BC136" s="12" t="e">
        <f>AW136+AX136</f>
        <v>#REF!</v>
      </c>
      <c r="BD136" s="12" t="e">
        <f>H136/(100-BE136)*100</f>
        <v>#REF!</v>
      </c>
      <c r="BE136" s="12">
        <v>0</v>
      </c>
      <c r="BF136" s="12" t="e">
        <f>O136</f>
        <v>#REF!</v>
      </c>
      <c r="BH136" s="12" t="e">
        <f>G136*AO136</f>
        <v>#REF!</v>
      </c>
      <c r="BI136" s="12" t="e">
        <f>G136*AP136</f>
        <v>#REF!</v>
      </c>
      <c r="BJ136" s="12" t="e">
        <f>G136*H136</f>
        <v>#REF!</v>
      </c>
      <c r="BK136" s="12"/>
      <c r="BL136" s="12">
        <v>11</v>
      </c>
      <c r="BW136" s="12" t="str">
        <f>I136</f>
        <v>21</v>
      </c>
      <c r="BX136" s="3" t="s">
        <v>248</v>
      </c>
    </row>
    <row r="137" spans="1:76" ht="51">
      <c r="A137" s="51"/>
      <c r="C137" s="13" t="s">
        <v>117</v>
      </c>
      <c r="D137" s="363" t="s">
        <v>249</v>
      </c>
      <c r="E137" s="364"/>
      <c r="F137" s="364"/>
      <c r="G137" s="364"/>
      <c r="H137" s="364"/>
      <c r="I137" s="364"/>
      <c r="J137" s="364"/>
      <c r="K137" s="364"/>
      <c r="L137" s="364"/>
      <c r="M137" s="364"/>
      <c r="N137" s="364"/>
      <c r="O137" s="364"/>
      <c r="P137" s="365"/>
      <c r="BX137" s="14" t="s">
        <v>249</v>
      </c>
    </row>
    <row r="138" spans="1:76" ht="25.5">
      <c r="A138" s="1" t="s">
        <v>336</v>
      </c>
      <c r="B138" s="2" t="s">
        <v>663</v>
      </c>
      <c r="C138" s="2" t="s">
        <v>250</v>
      </c>
      <c r="D138" s="349" t="s">
        <v>251</v>
      </c>
      <c r="E138" s="342"/>
      <c r="F138" s="2" t="s">
        <v>63</v>
      </c>
      <c r="G138" s="12" t="e">
        <f>#REF!</f>
        <v>#REF!</v>
      </c>
      <c r="H138" s="12" t="e">
        <f>#REF!</f>
        <v>#REF!</v>
      </c>
      <c r="I138" s="49" t="s">
        <v>554</v>
      </c>
      <c r="J138" s="12" t="e">
        <f>G138*AO138</f>
        <v>#REF!</v>
      </c>
      <c r="K138" s="12" t="e">
        <f>G138*AP138</f>
        <v>#REF!</v>
      </c>
      <c r="L138" s="12" t="e">
        <f>G138*H138</f>
        <v>#REF!</v>
      </c>
      <c r="M138" s="12" t="e">
        <f>L138*(1+BW138/100)</f>
        <v>#REF!</v>
      </c>
      <c r="N138" s="12">
        <v>0.22</v>
      </c>
      <c r="O138" s="12" t="e">
        <f>G138*N138</f>
        <v>#REF!</v>
      </c>
      <c r="P138" s="50" t="s">
        <v>577</v>
      </c>
      <c r="Z138" s="12">
        <f>IF(AQ138="5",BJ138,0)</f>
        <v>0</v>
      </c>
      <c r="AB138" s="12" t="e">
        <f>IF(AQ138="1",BH138,0)</f>
        <v>#REF!</v>
      </c>
      <c r="AC138" s="12" t="e">
        <f>IF(AQ138="1",BI138,0)</f>
        <v>#REF!</v>
      </c>
      <c r="AD138" s="12">
        <f>IF(AQ138="7",BH138,0)</f>
        <v>0</v>
      </c>
      <c r="AE138" s="12">
        <f>IF(AQ138="7",BI138,0)</f>
        <v>0</v>
      </c>
      <c r="AF138" s="12">
        <f>IF(AQ138="2",BH138,0)</f>
        <v>0</v>
      </c>
      <c r="AG138" s="12">
        <f>IF(AQ138="2",BI138,0)</f>
        <v>0</v>
      </c>
      <c r="AH138" s="12">
        <f>IF(AQ138="0",BJ138,0)</f>
        <v>0</v>
      </c>
      <c r="AI138" s="10" t="s">
        <v>663</v>
      </c>
      <c r="AJ138" s="12">
        <f>IF(AN138=0,L138,0)</f>
        <v>0</v>
      </c>
      <c r="AK138" s="12">
        <f>IF(AN138=12,L138,0)</f>
        <v>0</v>
      </c>
      <c r="AL138" s="12" t="e">
        <f>IF(AN138=21,L138,0)</f>
        <v>#REF!</v>
      </c>
      <c r="AN138" s="12">
        <v>21</v>
      </c>
      <c r="AO138" s="12" t="e">
        <f>H138*0</f>
        <v>#REF!</v>
      </c>
      <c r="AP138" s="12" t="e">
        <f>H138*(1-0)</f>
        <v>#REF!</v>
      </c>
      <c r="AQ138" s="49" t="s">
        <v>553</v>
      </c>
      <c r="AV138" s="12" t="e">
        <f>AW138+AX138</f>
        <v>#REF!</v>
      </c>
      <c r="AW138" s="12" t="e">
        <f>G138*AO138</f>
        <v>#REF!</v>
      </c>
      <c r="AX138" s="12" t="e">
        <f>G138*AP138</f>
        <v>#REF!</v>
      </c>
      <c r="AY138" s="49" t="s">
        <v>664</v>
      </c>
      <c r="AZ138" s="49" t="s">
        <v>665</v>
      </c>
      <c r="BA138" s="10" t="s">
        <v>666</v>
      </c>
      <c r="BC138" s="12" t="e">
        <f>AW138+AX138</f>
        <v>#REF!</v>
      </c>
      <c r="BD138" s="12" t="e">
        <f>H138/(100-BE138)*100</f>
        <v>#REF!</v>
      </c>
      <c r="BE138" s="12">
        <v>0</v>
      </c>
      <c r="BF138" s="12" t="e">
        <f>O138</f>
        <v>#REF!</v>
      </c>
      <c r="BH138" s="12" t="e">
        <f>G138*AO138</f>
        <v>#REF!</v>
      </c>
      <c r="BI138" s="12" t="e">
        <f>G138*AP138</f>
        <v>#REF!</v>
      </c>
      <c r="BJ138" s="12" t="e">
        <f>G138*H138</f>
        <v>#REF!</v>
      </c>
      <c r="BK138" s="12"/>
      <c r="BL138" s="12">
        <v>11</v>
      </c>
      <c r="BW138" s="12" t="str">
        <f>I138</f>
        <v>21</v>
      </c>
      <c r="BX138" s="3" t="s">
        <v>251</v>
      </c>
    </row>
    <row r="139" spans="1:76" ht="38.25">
      <c r="A139" s="51"/>
      <c r="C139" s="13" t="s">
        <v>117</v>
      </c>
      <c r="D139" s="363" t="s">
        <v>252</v>
      </c>
      <c r="E139" s="364"/>
      <c r="F139" s="364"/>
      <c r="G139" s="364"/>
      <c r="H139" s="364"/>
      <c r="I139" s="364"/>
      <c r="J139" s="364"/>
      <c r="K139" s="364"/>
      <c r="L139" s="364"/>
      <c r="M139" s="364"/>
      <c r="N139" s="364"/>
      <c r="O139" s="364"/>
      <c r="P139" s="365"/>
      <c r="BX139" s="14" t="s">
        <v>252</v>
      </c>
    </row>
    <row r="140" spans="1:76">
      <c r="A140" s="1" t="s">
        <v>668</v>
      </c>
      <c r="B140" s="2" t="s">
        <v>663</v>
      </c>
      <c r="C140" s="2" t="s">
        <v>253</v>
      </c>
      <c r="D140" s="349" t="s">
        <v>254</v>
      </c>
      <c r="E140" s="342"/>
      <c r="F140" s="2" t="s">
        <v>63</v>
      </c>
      <c r="G140" s="12" t="e">
        <f>#REF!</f>
        <v>#REF!</v>
      </c>
      <c r="H140" s="12" t="e">
        <f>#REF!</f>
        <v>#REF!</v>
      </c>
      <c r="I140" s="49" t="s">
        <v>554</v>
      </c>
      <c r="J140" s="12" t="e">
        <f>G140*AO140</f>
        <v>#REF!</v>
      </c>
      <c r="K140" s="12" t="e">
        <f>G140*AP140</f>
        <v>#REF!</v>
      </c>
      <c r="L140" s="12" t="e">
        <f>G140*H140</f>
        <v>#REF!</v>
      </c>
      <c r="M140" s="12" t="e">
        <f>L140*(1+BW140/100)</f>
        <v>#REF!</v>
      </c>
      <c r="N140" s="12">
        <v>2.478E-2</v>
      </c>
      <c r="O140" s="12" t="e">
        <f>G140*N140</f>
        <v>#REF!</v>
      </c>
      <c r="P140" s="50" t="s">
        <v>577</v>
      </c>
      <c r="Z140" s="12">
        <f>IF(AQ140="5",BJ140,0)</f>
        <v>0</v>
      </c>
      <c r="AB140" s="12" t="e">
        <f>IF(AQ140="1",BH140,0)</f>
        <v>#REF!</v>
      </c>
      <c r="AC140" s="12" t="e">
        <f>IF(AQ140="1",BI140,0)</f>
        <v>#REF!</v>
      </c>
      <c r="AD140" s="12">
        <f>IF(AQ140="7",BH140,0)</f>
        <v>0</v>
      </c>
      <c r="AE140" s="12">
        <f>IF(AQ140="7",BI140,0)</f>
        <v>0</v>
      </c>
      <c r="AF140" s="12">
        <f>IF(AQ140="2",BH140,0)</f>
        <v>0</v>
      </c>
      <c r="AG140" s="12">
        <f>IF(AQ140="2",BI140,0)</f>
        <v>0</v>
      </c>
      <c r="AH140" s="12">
        <f>IF(AQ140="0",BJ140,0)</f>
        <v>0</v>
      </c>
      <c r="AI140" s="10" t="s">
        <v>663</v>
      </c>
      <c r="AJ140" s="12">
        <f>IF(AN140=0,L140,0)</f>
        <v>0</v>
      </c>
      <c r="AK140" s="12">
        <f>IF(AN140=12,L140,0)</f>
        <v>0</v>
      </c>
      <c r="AL140" s="12" t="e">
        <f>IF(AN140=21,L140,0)</f>
        <v>#REF!</v>
      </c>
      <c r="AN140" s="12">
        <v>21</v>
      </c>
      <c r="AO140" s="12" t="e">
        <f>H140*0.053955492</f>
        <v>#REF!</v>
      </c>
      <c r="AP140" s="12" t="e">
        <f>H140*(1-0.053955492)</f>
        <v>#REF!</v>
      </c>
      <c r="AQ140" s="49" t="s">
        <v>553</v>
      </c>
      <c r="AV140" s="12" t="e">
        <f>AW140+AX140</f>
        <v>#REF!</v>
      </c>
      <c r="AW140" s="12" t="e">
        <f>G140*AO140</f>
        <v>#REF!</v>
      </c>
      <c r="AX140" s="12" t="e">
        <f>G140*AP140</f>
        <v>#REF!</v>
      </c>
      <c r="AY140" s="49" t="s">
        <v>664</v>
      </c>
      <c r="AZ140" s="49" t="s">
        <v>665</v>
      </c>
      <c r="BA140" s="10" t="s">
        <v>666</v>
      </c>
      <c r="BC140" s="12" t="e">
        <f>AW140+AX140</f>
        <v>#REF!</v>
      </c>
      <c r="BD140" s="12" t="e">
        <f>H140/(100-BE140)*100</f>
        <v>#REF!</v>
      </c>
      <c r="BE140" s="12">
        <v>0</v>
      </c>
      <c r="BF140" s="12" t="e">
        <f>O140</f>
        <v>#REF!</v>
      </c>
      <c r="BH140" s="12" t="e">
        <f>G140*AO140</f>
        <v>#REF!</v>
      </c>
      <c r="BI140" s="12" t="e">
        <f>G140*AP140</f>
        <v>#REF!</v>
      </c>
      <c r="BJ140" s="12" t="e">
        <f>G140*H140</f>
        <v>#REF!</v>
      </c>
      <c r="BK140" s="12"/>
      <c r="BL140" s="12">
        <v>11</v>
      </c>
      <c r="BW140" s="12" t="str">
        <f>I140</f>
        <v>21</v>
      </c>
      <c r="BX140" s="3" t="s">
        <v>254</v>
      </c>
    </row>
    <row r="141" spans="1:76">
      <c r="A141" s="1" t="s">
        <v>669</v>
      </c>
      <c r="B141" s="2" t="s">
        <v>663</v>
      </c>
      <c r="C141" s="2" t="s">
        <v>83</v>
      </c>
      <c r="D141" s="349" t="s">
        <v>255</v>
      </c>
      <c r="E141" s="342"/>
      <c r="F141" s="2" t="s">
        <v>58</v>
      </c>
      <c r="G141" s="12" t="e">
        <f>#REF!</f>
        <v>#REF!</v>
      </c>
      <c r="H141" s="12" t="e">
        <f>#REF!</f>
        <v>#REF!</v>
      </c>
      <c r="I141" s="49" t="s">
        <v>554</v>
      </c>
      <c r="J141" s="12" t="e">
        <f>G141*AO141</f>
        <v>#REF!</v>
      </c>
      <c r="K141" s="12" t="e">
        <f>G141*AP141</f>
        <v>#REF!</v>
      </c>
      <c r="L141" s="12" t="e">
        <f>G141*H141</f>
        <v>#REF!</v>
      </c>
      <c r="M141" s="12" t="e">
        <f>L141*(1+BW141/100)</f>
        <v>#REF!</v>
      </c>
      <c r="N141" s="12">
        <v>0</v>
      </c>
      <c r="O141" s="12" t="e">
        <f>G141*N141</f>
        <v>#REF!</v>
      </c>
      <c r="P141" s="50" t="s">
        <v>21</v>
      </c>
      <c r="Z141" s="12">
        <f>IF(AQ141="5",BJ141,0)</f>
        <v>0</v>
      </c>
      <c r="AB141" s="12" t="e">
        <f>IF(AQ141="1",BH141,0)</f>
        <v>#REF!</v>
      </c>
      <c r="AC141" s="12" t="e">
        <f>IF(AQ141="1",BI141,0)</f>
        <v>#REF!</v>
      </c>
      <c r="AD141" s="12">
        <f>IF(AQ141="7",BH141,0)</f>
        <v>0</v>
      </c>
      <c r="AE141" s="12">
        <f>IF(AQ141="7",BI141,0)</f>
        <v>0</v>
      </c>
      <c r="AF141" s="12">
        <f>IF(AQ141="2",BH141,0)</f>
        <v>0</v>
      </c>
      <c r="AG141" s="12">
        <f>IF(AQ141="2",BI141,0)</f>
        <v>0</v>
      </c>
      <c r="AH141" s="12">
        <f>IF(AQ141="0",BJ141,0)</f>
        <v>0</v>
      </c>
      <c r="AI141" s="10" t="s">
        <v>663</v>
      </c>
      <c r="AJ141" s="12">
        <f>IF(AN141=0,L141,0)</f>
        <v>0</v>
      </c>
      <c r="AK141" s="12">
        <f>IF(AN141=12,L141,0)</f>
        <v>0</v>
      </c>
      <c r="AL141" s="12" t="e">
        <f>IF(AN141=21,L141,0)</f>
        <v>#REF!</v>
      </c>
      <c r="AN141" s="12">
        <v>21</v>
      </c>
      <c r="AO141" s="12" t="e">
        <f>H141*0.346020761</f>
        <v>#REF!</v>
      </c>
      <c r="AP141" s="12" t="e">
        <f>H141*(1-0.346020761)</f>
        <v>#REF!</v>
      </c>
      <c r="AQ141" s="49" t="s">
        <v>553</v>
      </c>
      <c r="AV141" s="12" t="e">
        <f>AW141+AX141</f>
        <v>#REF!</v>
      </c>
      <c r="AW141" s="12" t="e">
        <f>G141*AO141</f>
        <v>#REF!</v>
      </c>
      <c r="AX141" s="12" t="e">
        <f>G141*AP141</f>
        <v>#REF!</v>
      </c>
      <c r="AY141" s="49" t="s">
        <v>664</v>
      </c>
      <c r="AZ141" s="49" t="s">
        <v>665</v>
      </c>
      <c r="BA141" s="10" t="s">
        <v>666</v>
      </c>
      <c r="BC141" s="12" t="e">
        <f>AW141+AX141</f>
        <v>#REF!</v>
      </c>
      <c r="BD141" s="12" t="e">
        <f>H141/(100-BE141)*100</f>
        <v>#REF!</v>
      </c>
      <c r="BE141" s="12">
        <v>0</v>
      </c>
      <c r="BF141" s="12" t="e">
        <f>O141</f>
        <v>#REF!</v>
      </c>
      <c r="BH141" s="12" t="e">
        <f>G141*AO141</f>
        <v>#REF!</v>
      </c>
      <c r="BI141" s="12" t="e">
        <f>G141*AP141</f>
        <v>#REF!</v>
      </c>
      <c r="BJ141" s="12" t="e">
        <f>G141*H141</f>
        <v>#REF!</v>
      </c>
      <c r="BK141" s="12"/>
      <c r="BL141" s="12">
        <v>11</v>
      </c>
      <c r="BW141" s="12" t="str">
        <f>I141</f>
        <v>21</v>
      </c>
      <c r="BX141" s="3" t="s">
        <v>255</v>
      </c>
    </row>
    <row r="142" spans="1:76">
      <c r="A142" s="46" t="s">
        <v>21</v>
      </c>
      <c r="B142" s="9" t="s">
        <v>663</v>
      </c>
      <c r="C142" s="9" t="s">
        <v>256</v>
      </c>
      <c r="D142" s="359" t="s">
        <v>257</v>
      </c>
      <c r="E142" s="360"/>
      <c r="F142" s="47" t="s">
        <v>20</v>
      </c>
      <c r="G142" s="47" t="s">
        <v>20</v>
      </c>
      <c r="H142" s="47" t="s">
        <v>20</v>
      </c>
      <c r="I142" s="47" t="s">
        <v>20</v>
      </c>
      <c r="J142" s="11" t="e">
        <f>SUM(J143:J145)</f>
        <v>#REF!</v>
      </c>
      <c r="K142" s="11" t="e">
        <f>SUM(K143:K145)</f>
        <v>#REF!</v>
      </c>
      <c r="L142" s="11" t="e">
        <f>SUM(L143:L145)</f>
        <v>#REF!</v>
      </c>
      <c r="M142" s="11" t="e">
        <f>SUM(M143:M145)</f>
        <v>#REF!</v>
      </c>
      <c r="N142" s="10" t="s">
        <v>21</v>
      </c>
      <c r="O142" s="11" t="e">
        <f>SUM(O143:O145)</f>
        <v>#REF!</v>
      </c>
      <c r="P142" s="48" t="s">
        <v>21</v>
      </c>
      <c r="AI142" s="10" t="s">
        <v>663</v>
      </c>
      <c r="AS142" s="11">
        <f>SUM(AJ143:AJ145)</f>
        <v>0</v>
      </c>
      <c r="AT142" s="11">
        <f>SUM(AK143:AK145)</f>
        <v>0</v>
      </c>
      <c r="AU142" s="11" t="e">
        <f>SUM(AL143:AL145)</f>
        <v>#REF!</v>
      </c>
    </row>
    <row r="143" spans="1:76" ht="25.5">
      <c r="A143" s="1" t="s">
        <v>670</v>
      </c>
      <c r="B143" s="2" t="s">
        <v>663</v>
      </c>
      <c r="C143" s="2" t="s">
        <v>258</v>
      </c>
      <c r="D143" s="349" t="s">
        <v>259</v>
      </c>
      <c r="E143" s="342"/>
      <c r="F143" s="2" t="s">
        <v>260</v>
      </c>
      <c r="G143" s="12" t="e">
        <f>#REF!</f>
        <v>#REF!</v>
      </c>
      <c r="H143" s="12" t="e">
        <f>#REF!</f>
        <v>#REF!</v>
      </c>
      <c r="I143" s="49" t="s">
        <v>554</v>
      </c>
      <c r="J143" s="12" t="e">
        <f>G143*AO143</f>
        <v>#REF!</v>
      </c>
      <c r="K143" s="12" t="e">
        <f>G143*AP143</f>
        <v>#REF!</v>
      </c>
      <c r="L143" s="12" t="e">
        <f>G143*H143</f>
        <v>#REF!</v>
      </c>
      <c r="M143" s="12" t="e">
        <f>L143*(1+BW143/100)</f>
        <v>#REF!</v>
      </c>
      <c r="N143" s="12">
        <v>0</v>
      </c>
      <c r="O143" s="12" t="e">
        <f>G143*N143</f>
        <v>#REF!</v>
      </c>
      <c r="P143" s="50" t="s">
        <v>577</v>
      </c>
      <c r="Z143" s="12">
        <f>IF(AQ143="5",BJ143,0)</f>
        <v>0</v>
      </c>
      <c r="AB143" s="12" t="e">
        <f>IF(AQ143="1",BH143,0)</f>
        <v>#REF!</v>
      </c>
      <c r="AC143" s="12" t="e">
        <f>IF(AQ143="1",BI143,0)</f>
        <v>#REF!</v>
      </c>
      <c r="AD143" s="12">
        <f>IF(AQ143="7",BH143,0)</f>
        <v>0</v>
      </c>
      <c r="AE143" s="12">
        <f>IF(AQ143="7",BI143,0)</f>
        <v>0</v>
      </c>
      <c r="AF143" s="12">
        <f>IF(AQ143="2",BH143,0)</f>
        <v>0</v>
      </c>
      <c r="AG143" s="12">
        <f>IF(AQ143="2",BI143,0)</f>
        <v>0</v>
      </c>
      <c r="AH143" s="12">
        <f>IF(AQ143="0",BJ143,0)</f>
        <v>0</v>
      </c>
      <c r="AI143" s="10" t="s">
        <v>663</v>
      </c>
      <c r="AJ143" s="12">
        <f>IF(AN143=0,L143,0)</f>
        <v>0</v>
      </c>
      <c r="AK143" s="12">
        <f>IF(AN143=12,L143,0)</f>
        <v>0</v>
      </c>
      <c r="AL143" s="12" t="e">
        <f>IF(AN143=21,L143,0)</f>
        <v>#REF!</v>
      </c>
      <c r="AN143" s="12">
        <v>21</v>
      </c>
      <c r="AO143" s="12" t="e">
        <f>H143*0</f>
        <v>#REF!</v>
      </c>
      <c r="AP143" s="12" t="e">
        <f>H143*(1-0)</f>
        <v>#REF!</v>
      </c>
      <c r="AQ143" s="49" t="s">
        <v>553</v>
      </c>
      <c r="AV143" s="12" t="e">
        <f>AW143+AX143</f>
        <v>#REF!</v>
      </c>
      <c r="AW143" s="12" t="e">
        <f>G143*AO143</f>
        <v>#REF!</v>
      </c>
      <c r="AX143" s="12" t="e">
        <f>G143*AP143</f>
        <v>#REF!</v>
      </c>
      <c r="AY143" s="49" t="s">
        <v>671</v>
      </c>
      <c r="AZ143" s="49" t="s">
        <v>665</v>
      </c>
      <c r="BA143" s="10" t="s">
        <v>666</v>
      </c>
      <c r="BC143" s="12" t="e">
        <f>AW143+AX143</f>
        <v>#REF!</v>
      </c>
      <c r="BD143" s="12" t="e">
        <f>H143/(100-BE143)*100</f>
        <v>#REF!</v>
      </c>
      <c r="BE143" s="12">
        <v>0</v>
      </c>
      <c r="BF143" s="12" t="e">
        <f>O143</f>
        <v>#REF!</v>
      </c>
      <c r="BH143" s="12" t="e">
        <f>G143*AO143</f>
        <v>#REF!</v>
      </c>
      <c r="BI143" s="12" t="e">
        <f>G143*AP143</f>
        <v>#REF!</v>
      </c>
      <c r="BJ143" s="12" t="e">
        <f>G143*H143</f>
        <v>#REF!</v>
      </c>
      <c r="BK143" s="12"/>
      <c r="BL143" s="12">
        <v>12</v>
      </c>
      <c r="BW143" s="12" t="str">
        <f>I143</f>
        <v>21</v>
      </c>
      <c r="BX143" s="3" t="s">
        <v>259</v>
      </c>
    </row>
    <row r="144" spans="1:76" ht="25.5">
      <c r="A144" s="51"/>
      <c r="C144" s="13" t="s">
        <v>117</v>
      </c>
      <c r="D144" s="363" t="s">
        <v>261</v>
      </c>
      <c r="E144" s="364"/>
      <c r="F144" s="364"/>
      <c r="G144" s="364"/>
      <c r="H144" s="364"/>
      <c r="I144" s="364"/>
      <c r="J144" s="364"/>
      <c r="K144" s="364"/>
      <c r="L144" s="364"/>
      <c r="M144" s="364"/>
      <c r="N144" s="364"/>
      <c r="O144" s="364"/>
      <c r="P144" s="365"/>
      <c r="BX144" s="14" t="s">
        <v>261</v>
      </c>
    </row>
    <row r="145" spans="1:76">
      <c r="A145" s="1" t="s">
        <v>672</v>
      </c>
      <c r="B145" s="2" t="s">
        <v>663</v>
      </c>
      <c r="C145" s="2" t="s">
        <v>262</v>
      </c>
      <c r="D145" s="349" t="s">
        <v>263</v>
      </c>
      <c r="E145" s="342"/>
      <c r="F145" s="2" t="s">
        <v>123</v>
      </c>
      <c r="G145" s="12" t="e">
        <f>#REF!</f>
        <v>#REF!</v>
      </c>
      <c r="H145" s="12" t="e">
        <f>#REF!</f>
        <v>#REF!</v>
      </c>
      <c r="I145" s="49" t="s">
        <v>554</v>
      </c>
      <c r="J145" s="12" t="e">
        <f>G145*AO145</f>
        <v>#REF!</v>
      </c>
      <c r="K145" s="12" t="e">
        <f>G145*AP145</f>
        <v>#REF!</v>
      </c>
      <c r="L145" s="12" t="e">
        <f>G145*H145</f>
        <v>#REF!</v>
      </c>
      <c r="M145" s="12" t="e">
        <f>L145*(1+BW145/100)</f>
        <v>#REF!</v>
      </c>
      <c r="N145" s="12">
        <v>0</v>
      </c>
      <c r="O145" s="12" t="e">
        <f>G145*N145</f>
        <v>#REF!</v>
      </c>
      <c r="P145" s="50" t="s">
        <v>577</v>
      </c>
      <c r="Z145" s="12">
        <f>IF(AQ145="5",BJ145,0)</f>
        <v>0</v>
      </c>
      <c r="AB145" s="12" t="e">
        <f>IF(AQ145="1",BH145,0)</f>
        <v>#REF!</v>
      </c>
      <c r="AC145" s="12" t="e">
        <f>IF(AQ145="1",BI145,0)</f>
        <v>#REF!</v>
      </c>
      <c r="AD145" s="12">
        <f>IF(AQ145="7",BH145,0)</f>
        <v>0</v>
      </c>
      <c r="AE145" s="12">
        <f>IF(AQ145="7",BI145,0)</f>
        <v>0</v>
      </c>
      <c r="AF145" s="12">
        <f>IF(AQ145="2",BH145,0)</f>
        <v>0</v>
      </c>
      <c r="AG145" s="12">
        <f>IF(AQ145="2",BI145,0)</f>
        <v>0</v>
      </c>
      <c r="AH145" s="12">
        <f>IF(AQ145="0",BJ145,0)</f>
        <v>0</v>
      </c>
      <c r="AI145" s="10" t="s">
        <v>663</v>
      </c>
      <c r="AJ145" s="12">
        <f>IF(AN145=0,L145,0)</f>
        <v>0</v>
      </c>
      <c r="AK145" s="12">
        <f>IF(AN145=12,L145,0)</f>
        <v>0</v>
      </c>
      <c r="AL145" s="12" t="e">
        <f>IF(AN145=21,L145,0)</f>
        <v>#REF!</v>
      </c>
      <c r="AN145" s="12">
        <v>21</v>
      </c>
      <c r="AO145" s="12" t="e">
        <f>H145*0</f>
        <v>#REF!</v>
      </c>
      <c r="AP145" s="12" t="e">
        <f>H145*(1-0)</f>
        <v>#REF!</v>
      </c>
      <c r="AQ145" s="49" t="s">
        <v>553</v>
      </c>
      <c r="AV145" s="12" t="e">
        <f>AW145+AX145</f>
        <v>#REF!</v>
      </c>
      <c r="AW145" s="12" t="e">
        <f>G145*AO145</f>
        <v>#REF!</v>
      </c>
      <c r="AX145" s="12" t="e">
        <f>G145*AP145</f>
        <v>#REF!</v>
      </c>
      <c r="AY145" s="49" t="s">
        <v>671</v>
      </c>
      <c r="AZ145" s="49" t="s">
        <v>665</v>
      </c>
      <c r="BA145" s="10" t="s">
        <v>666</v>
      </c>
      <c r="BC145" s="12" t="e">
        <f>AW145+AX145</f>
        <v>#REF!</v>
      </c>
      <c r="BD145" s="12" t="e">
        <f>H145/(100-BE145)*100</f>
        <v>#REF!</v>
      </c>
      <c r="BE145" s="12">
        <v>0</v>
      </c>
      <c r="BF145" s="12" t="e">
        <f>O145</f>
        <v>#REF!</v>
      </c>
      <c r="BH145" s="12" t="e">
        <f>G145*AO145</f>
        <v>#REF!</v>
      </c>
      <c r="BI145" s="12" t="e">
        <f>G145*AP145</f>
        <v>#REF!</v>
      </c>
      <c r="BJ145" s="12" t="e">
        <f>G145*H145</f>
        <v>#REF!</v>
      </c>
      <c r="BK145" s="12"/>
      <c r="BL145" s="12">
        <v>12</v>
      </c>
      <c r="BW145" s="12" t="str">
        <f>I145</f>
        <v>21</v>
      </c>
      <c r="BX145" s="3" t="s">
        <v>263</v>
      </c>
    </row>
    <row r="146" spans="1:76">
      <c r="A146" s="46" t="s">
        <v>21</v>
      </c>
      <c r="B146" s="9" t="s">
        <v>663</v>
      </c>
      <c r="C146" s="9" t="s">
        <v>264</v>
      </c>
      <c r="D146" s="359" t="s">
        <v>265</v>
      </c>
      <c r="E146" s="360"/>
      <c r="F146" s="47" t="s">
        <v>20</v>
      </c>
      <c r="G146" s="47" t="s">
        <v>20</v>
      </c>
      <c r="H146" s="47" t="s">
        <v>20</v>
      </c>
      <c r="I146" s="47" t="s">
        <v>20</v>
      </c>
      <c r="J146" s="11" t="e">
        <f>SUM(J147:J151)</f>
        <v>#REF!</v>
      </c>
      <c r="K146" s="11" t="e">
        <f>SUM(K147:K151)</f>
        <v>#REF!</v>
      </c>
      <c r="L146" s="11" t="e">
        <f>SUM(L147:L151)</f>
        <v>#REF!</v>
      </c>
      <c r="M146" s="11" t="e">
        <f>SUM(M147:M151)</f>
        <v>#REF!</v>
      </c>
      <c r="N146" s="10" t="s">
        <v>21</v>
      </c>
      <c r="O146" s="11" t="e">
        <f>SUM(O147:O151)</f>
        <v>#REF!</v>
      </c>
      <c r="P146" s="48" t="s">
        <v>21</v>
      </c>
      <c r="AI146" s="10" t="s">
        <v>663</v>
      </c>
      <c r="AS146" s="11">
        <f>SUM(AJ147:AJ151)</f>
        <v>0</v>
      </c>
      <c r="AT146" s="11">
        <f>SUM(AK147:AK151)</f>
        <v>0</v>
      </c>
      <c r="AU146" s="11" t="e">
        <f>SUM(AL147:AL151)</f>
        <v>#REF!</v>
      </c>
    </row>
    <row r="147" spans="1:76">
      <c r="A147" s="1" t="s">
        <v>673</v>
      </c>
      <c r="B147" s="2" t="s">
        <v>663</v>
      </c>
      <c r="C147" s="2" t="s">
        <v>266</v>
      </c>
      <c r="D147" s="349" t="s">
        <v>267</v>
      </c>
      <c r="E147" s="342"/>
      <c r="F147" s="2" t="s">
        <v>260</v>
      </c>
      <c r="G147" s="12" t="e">
        <f>#REF!</f>
        <v>#REF!</v>
      </c>
      <c r="H147" s="12" t="e">
        <f>#REF!</f>
        <v>#REF!</v>
      </c>
      <c r="I147" s="49" t="s">
        <v>554</v>
      </c>
      <c r="J147" s="12" t="e">
        <f>G147*AO147</f>
        <v>#REF!</v>
      </c>
      <c r="K147" s="12" t="e">
        <f>G147*AP147</f>
        <v>#REF!</v>
      </c>
      <c r="L147" s="12" t="e">
        <f>G147*H147</f>
        <v>#REF!</v>
      </c>
      <c r="M147" s="12" t="e">
        <f>L147*(1+BW147/100)</f>
        <v>#REF!</v>
      </c>
      <c r="N147" s="12">
        <v>1.8907700000000001</v>
      </c>
      <c r="O147" s="12" t="e">
        <f>G147*N147</f>
        <v>#REF!</v>
      </c>
      <c r="P147" s="50" t="s">
        <v>577</v>
      </c>
      <c r="Z147" s="12">
        <f>IF(AQ147="5",BJ147,0)</f>
        <v>0</v>
      </c>
      <c r="AB147" s="12" t="e">
        <f>IF(AQ147="1",BH147,0)</f>
        <v>#REF!</v>
      </c>
      <c r="AC147" s="12" t="e">
        <f>IF(AQ147="1",BI147,0)</f>
        <v>#REF!</v>
      </c>
      <c r="AD147" s="12">
        <f>IF(AQ147="7",BH147,0)</f>
        <v>0</v>
      </c>
      <c r="AE147" s="12">
        <f>IF(AQ147="7",BI147,0)</f>
        <v>0</v>
      </c>
      <c r="AF147" s="12">
        <f>IF(AQ147="2",BH147,0)</f>
        <v>0</v>
      </c>
      <c r="AG147" s="12">
        <f>IF(AQ147="2",BI147,0)</f>
        <v>0</v>
      </c>
      <c r="AH147" s="12">
        <f>IF(AQ147="0",BJ147,0)</f>
        <v>0</v>
      </c>
      <c r="AI147" s="10" t="s">
        <v>663</v>
      </c>
      <c r="AJ147" s="12">
        <f>IF(AN147=0,L147,0)</f>
        <v>0</v>
      </c>
      <c r="AK147" s="12">
        <f>IF(AN147=12,L147,0)</f>
        <v>0</v>
      </c>
      <c r="AL147" s="12" t="e">
        <f>IF(AN147=21,L147,0)</f>
        <v>#REF!</v>
      </c>
      <c r="AN147" s="12">
        <v>21</v>
      </c>
      <c r="AO147" s="12" t="e">
        <f>H147*0.440822368</f>
        <v>#REF!</v>
      </c>
      <c r="AP147" s="12" t="e">
        <f>H147*(1-0.440822368)</f>
        <v>#REF!</v>
      </c>
      <c r="AQ147" s="49" t="s">
        <v>553</v>
      </c>
      <c r="AV147" s="12" t="e">
        <f>AW147+AX147</f>
        <v>#REF!</v>
      </c>
      <c r="AW147" s="12" t="e">
        <f>G147*AO147</f>
        <v>#REF!</v>
      </c>
      <c r="AX147" s="12" t="e">
        <f>G147*AP147</f>
        <v>#REF!</v>
      </c>
      <c r="AY147" s="49" t="s">
        <v>674</v>
      </c>
      <c r="AZ147" s="49" t="s">
        <v>665</v>
      </c>
      <c r="BA147" s="10" t="s">
        <v>666</v>
      </c>
      <c r="BC147" s="12" t="e">
        <f>AW147+AX147</f>
        <v>#REF!</v>
      </c>
      <c r="BD147" s="12" t="e">
        <f>H147/(100-BE147)*100</f>
        <v>#REF!</v>
      </c>
      <c r="BE147" s="12">
        <v>0</v>
      </c>
      <c r="BF147" s="12" t="e">
        <f>O147</f>
        <v>#REF!</v>
      </c>
      <c r="BH147" s="12" t="e">
        <f>G147*AO147</f>
        <v>#REF!</v>
      </c>
      <c r="BI147" s="12" t="e">
        <f>G147*AP147</f>
        <v>#REF!</v>
      </c>
      <c r="BJ147" s="12" t="e">
        <f>G147*H147</f>
        <v>#REF!</v>
      </c>
      <c r="BK147" s="12"/>
      <c r="BL147" s="12">
        <v>17</v>
      </c>
      <c r="BW147" s="12" t="str">
        <f>I147</f>
        <v>21</v>
      </c>
      <c r="BX147" s="3" t="s">
        <v>267</v>
      </c>
    </row>
    <row r="148" spans="1:76" ht="25.5">
      <c r="A148" s="51"/>
      <c r="C148" s="13" t="s">
        <v>117</v>
      </c>
      <c r="D148" s="363" t="s">
        <v>268</v>
      </c>
      <c r="E148" s="364"/>
      <c r="F148" s="364"/>
      <c r="G148" s="364"/>
      <c r="H148" s="364"/>
      <c r="I148" s="364"/>
      <c r="J148" s="364"/>
      <c r="K148" s="364"/>
      <c r="L148" s="364"/>
      <c r="M148" s="364"/>
      <c r="N148" s="364"/>
      <c r="O148" s="364"/>
      <c r="P148" s="365"/>
      <c r="BX148" s="14" t="s">
        <v>268</v>
      </c>
    </row>
    <row r="149" spans="1:76">
      <c r="A149" s="1" t="s">
        <v>675</v>
      </c>
      <c r="B149" s="2" t="s">
        <v>663</v>
      </c>
      <c r="C149" s="2" t="s">
        <v>269</v>
      </c>
      <c r="D149" s="349" t="s">
        <v>270</v>
      </c>
      <c r="E149" s="342"/>
      <c r="F149" s="2" t="s">
        <v>260</v>
      </c>
      <c r="G149" s="12" t="e">
        <f>#REF!</f>
        <v>#REF!</v>
      </c>
      <c r="H149" s="12" t="e">
        <f>#REF!</f>
        <v>#REF!</v>
      </c>
      <c r="I149" s="49" t="s">
        <v>554</v>
      </c>
      <c r="J149" s="12" t="e">
        <f>G149*AO149</f>
        <v>#REF!</v>
      </c>
      <c r="K149" s="12" t="e">
        <f>G149*AP149</f>
        <v>#REF!</v>
      </c>
      <c r="L149" s="12" t="e">
        <f>G149*H149</f>
        <v>#REF!</v>
      </c>
      <c r="M149" s="12" t="e">
        <f>L149*(1+BW149/100)</f>
        <v>#REF!</v>
      </c>
      <c r="N149" s="12">
        <v>1.7</v>
      </c>
      <c r="O149" s="12" t="e">
        <f>G149*N149</f>
        <v>#REF!</v>
      </c>
      <c r="P149" s="50" t="s">
        <v>577</v>
      </c>
      <c r="Z149" s="12">
        <f>IF(AQ149="5",BJ149,0)</f>
        <v>0</v>
      </c>
      <c r="AB149" s="12" t="e">
        <f>IF(AQ149="1",BH149,0)</f>
        <v>#REF!</v>
      </c>
      <c r="AC149" s="12" t="e">
        <f>IF(AQ149="1",BI149,0)</f>
        <v>#REF!</v>
      </c>
      <c r="AD149" s="12">
        <f>IF(AQ149="7",BH149,0)</f>
        <v>0</v>
      </c>
      <c r="AE149" s="12">
        <f>IF(AQ149="7",BI149,0)</f>
        <v>0</v>
      </c>
      <c r="AF149" s="12">
        <f>IF(AQ149="2",BH149,0)</f>
        <v>0</v>
      </c>
      <c r="AG149" s="12">
        <f>IF(AQ149="2",BI149,0)</f>
        <v>0</v>
      </c>
      <c r="AH149" s="12">
        <f>IF(AQ149="0",BJ149,0)</f>
        <v>0</v>
      </c>
      <c r="AI149" s="10" t="s">
        <v>663</v>
      </c>
      <c r="AJ149" s="12">
        <f>IF(AN149=0,L149,0)</f>
        <v>0</v>
      </c>
      <c r="AK149" s="12">
        <f>IF(AN149=12,L149,0)</f>
        <v>0</v>
      </c>
      <c r="AL149" s="12" t="e">
        <f>IF(AN149=21,L149,0)</f>
        <v>#REF!</v>
      </c>
      <c r="AN149" s="12">
        <v>21</v>
      </c>
      <c r="AO149" s="12" t="e">
        <f>H149*0.496426735</f>
        <v>#REF!</v>
      </c>
      <c r="AP149" s="12" t="e">
        <f>H149*(1-0.496426735)</f>
        <v>#REF!</v>
      </c>
      <c r="AQ149" s="49" t="s">
        <v>553</v>
      </c>
      <c r="AV149" s="12" t="e">
        <f>AW149+AX149</f>
        <v>#REF!</v>
      </c>
      <c r="AW149" s="12" t="e">
        <f>G149*AO149</f>
        <v>#REF!</v>
      </c>
      <c r="AX149" s="12" t="e">
        <f>G149*AP149</f>
        <v>#REF!</v>
      </c>
      <c r="AY149" s="49" t="s">
        <v>674</v>
      </c>
      <c r="AZ149" s="49" t="s">
        <v>665</v>
      </c>
      <c r="BA149" s="10" t="s">
        <v>666</v>
      </c>
      <c r="BC149" s="12" t="e">
        <f>AW149+AX149</f>
        <v>#REF!</v>
      </c>
      <c r="BD149" s="12" t="e">
        <f>H149/(100-BE149)*100</f>
        <v>#REF!</v>
      </c>
      <c r="BE149" s="12">
        <v>0</v>
      </c>
      <c r="BF149" s="12" t="e">
        <f>O149</f>
        <v>#REF!</v>
      </c>
      <c r="BH149" s="12" t="e">
        <f>G149*AO149</f>
        <v>#REF!</v>
      </c>
      <c r="BI149" s="12" t="e">
        <f>G149*AP149</f>
        <v>#REF!</v>
      </c>
      <c r="BJ149" s="12" t="e">
        <f>G149*H149</f>
        <v>#REF!</v>
      </c>
      <c r="BK149" s="12"/>
      <c r="BL149" s="12">
        <v>17</v>
      </c>
      <c r="BW149" s="12" t="str">
        <f>I149</f>
        <v>21</v>
      </c>
      <c r="BX149" s="3" t="s">
        <v>270</v>
      </c>
    </row>
    <row r="150" spans="1:76">
      <c r="A150" s="51"/>
      <c r="C150" s="13" t="s">
        <v>117</v>
      </c>
      <c r="D150" s="363" t="s">
        <v>271</v>
      </c>
      <c r="E150" s="364"/>
      <c r="F150" s="364"/>
      <c r="G150" s="364"/>
      <c r="H150" s="364"/>
      <c r="I150" s="364"/>
      <c r="J150" s="364"/>
      <c r="K150" s="364"/>
      <c r="L150" s="364"/>
      <c r="M150" s="364"/>
      <c r="N150" s="364"/>
      <c r="O150" s="364"/>
      <c r="P150" s="365"/>
      <c r="BX150" s="14" t="s">
        <v>271</v>
      </c>
    </row>
    <row r="151" spans="1:76">
      <c r="A151" s="1" t="s">
        <v>676</v>
      </c>
      <c r="B151" s="2" t="s">
        <v>663</v>
      </c>
      <c r="C151" s="2" t="s">
        <v>272</v>
      </c>
      <c r="D151" s="349" t="s">
        <v>273</v>
      </c>
      <c r="E151" s="342"/>
      <c r="F151" s="2" t="s">
        <v>260</v>
      </c>
      <c r="G151" s="12" t="e">
        <f>#REF!</f>
        <v>#REF!</v>
      </c>
      <c r="H151" s="12" t="e">
        <f>#REF!</f>
        <v>#REF!</v>
      </c>
      <c r="I151" s="49" t="s">
        <v>554</v>
      </c>
      <c r="J151" s="12" t="e">
        <f>G151*AO151</f>
        <v>#REF!</v>
      </c>
      <c r="K151" s="12" t="e">
        <f>G151*AP151</f>
        <v>#REF!</v>
      </c>
      <c r="L151" s="12" t="e">
        <f>G151*H151</f>
        <v>#REF!</v>
      </c>
      <c r="M151" s="12" t="e">
        <f>L151*(1+BW151/100)</f>
        <v>#REF!</v>
      </c>
      <c r="N151" s="12">
        <v>0</v>
      </c>
      <c r="O151" s="12" t="e">
        <f>G151*N151</f>
        <v>#REF!</v>
      </c>
      <c r="P151" s="50" t="s">
        <v>577</v>
      </c>
      <c r="Z151" s="12">
        <f>IF(AQ151="5",BJ151,0)</f>
        <v>0</v>
      </c>
      <c r="AB151" s="12" t="e">
        <f>IF(AQ151="1",BH151,0)</f>
        <v>#REF!</v>
      </c>
      <c r="AC151" s="12" t="e">
        <f>IF(AQ151="1",BI151,0)</f>
        <v>#REF!</v>
      </c>
      <c r="AD151" s="12">
        <f>IF(AQ151="7",BH151,0)</f>
        <v>0</v>
      </c>
      <c r="AE151" s="12">
        <f>IF(AQ151="7",BI151,0)</f>
        <v>0</v>
      </c>
      <c r="AF151" s="12">
        <f>IF(AQ151="2",BH151,0)</f>
        <v>0</v>
      </c>
      <c r="AG151" s="12">
        <f>IF(AQ151="2",BI151,0)</f>
        <v>0</v>
      </c>
      <c r="AH151" s="12">
        <f>IF(AQ151="0",BJ151,0)</f>
        <v>0</v>
      </c>
      <c r="AI151" s="10" t="s">
        <v>663</v>
      </c>
      <c r="AJ151" s="12">
        <f>IF(AN151=0,L151,0)</f>
        <v>0</v>
      </c>
      <c r="AK151" s="12">
        <f>IF(AN151=12,L151,0)</f>
        <v>0</v>
      </c>
      <c r="AL151" s="12" t="e">
        <f>IF(AN151=21,L151,0)</f>
        <v>#REF!</v>
      </c>
      <c r="AN151" s="12">
        <v>21</v>
      </c>
      <c r="AO151" s="12" t="e">
        <f>H151*0</f>
        <v>#REF!</v>
      </c>
      <c r="AP151" s="12" t="e">
        <f>H151*(1-0)</f>
        <v>#REF!</v>
      </c>
      <c r="AQ151" s="49" t="s">
        <v>553</v>
      </c>
      <c r="AV151" s="12" t="e">
        <f>AW151+AX151</f>
        <v>#REF!</v>
      </c>
      <c r="AW151" s="12" t="e">
        <f>G151*AO151</f>
        <v>#REF!</v>
      </c>
      <c r="AX151" s="12" t="e">
        <f>G151*AP151</f>
        <v>#REF!</v>
      </c>
      <c r="AY151" s="49" t="s">
        <v>674</v>
      </c>
      <c r="AZ151" s="49" t="s">
        <v>665</v>
      </c>
      <c r="BA151" s="10" t="s">
        <v>666</v>
      </c>
      <c r="BC151" s="12" t="e">
        <f>AW151+AX151</f>
        <v>#REF!</v>
      </c>
      <c r="BD151" s="12" t="e">
        <f>H151/(100-BE151)*100</f>
        <v>#REF!</v>
      </c>
      <c r="BE151" s="12">
        <v>0</v>
      </c>
      <c r="BF151" s="12" t="e">
        <f>O151</f>
        <v>#REF!</v>
      </c>
      <c r="BH151" s="12" t="e">
        <f>G151*AO151</f>
        <v>#REF!</v>
      </c>
      <c r="BI151" s="12" t="e">
        <f>G151*AP151</f>
        <v>#REF!</v>
      </c>
      <c r="BJ151" s="12" t="e">
        <f>G151*H151</f>
        <v>#REF!</v>
      </c>
      <c r="BK151" s="12"/>
      <c r="BL151" s="12">
        <v>17</v>
      </c>
      <c r="BW151" s="12" t="str">
        <f>I151</f>
        <v>21</v>
      </c>
      <c r="BX151" s="3" t="s">
        <v>273</v>
      </c>
    </row>
    <row r="152" spans="1:76">
      <c r="A152" s="46" t="s">
        <v>21</v>
      </c>
      <c r="B152" s="9" t="s">
        <v>663</v>
      </c>
      <c r="C152" s="9" t="s">
        <v>274</v>
      </c>
      <c r="D152" s="359" t="s">
        <v>275</v>
      </c>
      <c r="E152" s="360"/>
      <c r="F152" s="47" t="s">
        <v>20</v>
      </c>
      <c r="G152" s="47" t="s">
        <v>20</v>
      </c>
      <c r="H152" s="47" t="s">
        <v>20</v>
      </c>
      <c r="I152" s="47" t="s">
        <v>20</v>
      </c>
      <c r="J152" s="11" t="e">
        <f>SUM(J153:J153)</f>
        <v>#REF!</v>
      </c>
      <c r="K152" s="11" t="e">
        <f>SUM(K153:K153)</f>
        <v>#REF!</v>
      </c>
      <c r="L152" s="11" t="e">
        <f>SUM(L153:L153)</f>
        <v>#REF!</v>
      </c>
      <c r="M152" s="11" t="e">
        <f>SUM(M153:M153)</f>
        <v>#REF!</v>
      </c>
      <c r="N152" s="10" t="s">
        <v>21</v>
      </c>
      <c r="O152" s="11" t="e">
        <f>SUM(O153:O153)</f>
        <v>#REF!</v>
      </c>
      <c r="P152" s="48" t="s">
        <v>21</v>
      </c>
      <c r="AI152" s="10" t="s">
        <v>663</v>
      </c>
      <c r="AS152" s="11">
        <f>SUM(AJ153:AJ153)</f>
        <v>0</v>
      </c>
      <c r="AT152" s="11">
        <f>SUM(AK153:AK153)</f>
        <v>0</v>
      </c>
      <c r="AU152" s="11" t="e">
        <f>SUM(AL153:AL153)</f>
        <v>#REF!</v>
      </c>
    </row>
    <row r="153" spans="1:76">
      <c r="A153" s="1" t="s">
        <v>677</v>
      </c>
      <c r="B153" s="2" t="s">
        <v>663</v>
      </c>
      <c r="C153" s="2" t="s">
        <v>276</v>
      </c>
      <c r="D153" s="349" t="s">
        <v>277</v>
      </c>
      <c r="E153" s="342"/>
      <c r="F153" s="2" t="s">
        <v>245</v>
      </c>
      <c r="G153" s="12" t="e">
        <f>#REF!</f>
        <v>#REF!</v>
      </c>
      <c r="H153" s="12" t="e">
        <f>#REF!</f>
        <v>#REF!</v>
      </c>
      <c r="I153" s="49" t="s">
        <v>554</v>
      </c>
      <c r="J153" s="12" t="e">
        <f>G153*AO153</f>
        <v>#REF!</v>
      </c>
      <c r="K153" s="12" t="e">
        <f>G153*AP153</f>
        <v>#REF!</v>
      </c>
      <c r="L153" s="12" t="e">
        <f>G153*H153</f>
        <v>#REF!</v>
      </c>
      <c r="M153" s="12" t="e">
        <f>L153*(1+BW153/100)</f>
        <v>#REF!</v>
      </c>
      <c r="N153" s="12">
        <v>0</v>
      </c>
      <c r="O153" s="12" t="e">
        <f>G153*N153</f>
        <v>#REF!</v>
      </c>
      <c r="P153" s="50" t="s">
        <v>577</v>
      </c>
      <c r="Z153" s="12">
        <f>IF(AQ153="5",BJ153,0)</f>
        <v>0</v>
      </c>
      <c r="AB153" s="12" t="e">
        <f>IF(AQ153="1",BH153,0)</f>
        <v>#REF!</v>
      </c>
      <c r="AC153" s="12" t="e">
        <f>IF(AQ153="1",BI153,0)</f>
        <v>#REF!</v>
      </c>
      <c r="AD153" s="12">
        <f>IF(AQ153="7",BH153,0)</f>
        <v>0</v>
      </c>
      <c r="AE153" s="12">
        <f>IF(AQ153="7",BI153,0)</f>
        <v>0</v>
      </c>
      <c r="AF153" s="12">
        <f>IF(AQ153="2",BH153,0)</f>
        <v>0</v>
      </c>
      <c r="AG153" s="12">
        <f>IF(AQ153="2",BI153,0)</f>
        <v>0</v>
      </c>
      <c r="AH153" s="12">
        <f>IF(AQ153="0",BJ153,0)</f>
        <v>0</v>
      </c>
      <c r="AI153" s="10" t="s">
        <v>663</v>
      </c>
      <c r="AJ153" s="12">
        <f>IF(AN153=0,L153,0)</f>
        <v>0</v>
      </c>
      <c r="AK153" s="12">
        <f>IF(AN153=12,L153,0)</f>
        <v>0</v>
      </c>
      <c r="AL153" s="12" t="e">
        <f>IF(AN153=21,L153,0)</f>
        <v>#REF!</v>
      </c>
      <c r="AN153" s="12">
        <v>21</v>
      </c>
      <c r="AO153" s="12" t="e">
        <f>H153*0</f>
        <v>#REF!</v>
      </c>
      <c r="AP153" s="12" t="e">
        <f>H153*(1-0)</f>
        <v>#REF!</v>
      </c>
      <c r="AQ153" s="49" t="s">
        <v>553</v>
      </c>
      <c r="AV153" s="12" t="e">
        <f>AW153+AX153</f>
        <v>#REF!</v>
      </c>
      <c r="AW153" s="12" t="e">
        <f>G153*AO153</f>
        <v>#REF!</v>
      </c>
      <c r="AX153" s="12" t="e">
        <f>G153*AP153</f>
        <v>#REF!</v>
      </c>
      <c r="AY153" s="49" t="s">
        <v>678</v>
      </c>
      <c r="AZ153" s="49" t="s">
        <v>665</v>
      </c>
      <c r="BA153" s="10" t="s">
        <v>666</v>
      </c>
      <c r="BC153" s="12" t="e">
        <f>AW153+AX153</f>
        <v>#REF!</v>
      </c>
      <c r="BD153" s="12" t="e">
        <f>H153/(100-BE153)*100</f>
        <v>#REF!</v>
      </c>
      <c r="BE153" s="12">
        <v>0</v>
      </c>
      <c r="BF153" s="12" t="e">
        <f>O153</f>
        <v>#REF!</v>
      </c>
      <c r="BH153" s="12" t="e">
        <f>G153*AO153</f>
        <v>#REF!</v>
      </c>
      <c r="BI153" s="12" t="e">
        <f>G153*AP153</f>
        <v>#REF!</v>
      </c>
      <c r="BJ153" s="12" t="e">
        <f>G153*H153</f>
        <v>#REF!</v>
      </c>
      <c r="BK153" s="12"/>
      <c r="BL153" s="12">
        <v>18</v>
      </c>
      <c r="BW153" s="12" t="str">
        <f>I153</f>
        <v>21</v>
      </c>
      <c r="BX153" s="3" t="s">
        <v>277</v>
      </c>
    </row>
    <row r="154" spans="1:76">
      <c r="A154" s="46" t="s">
        <v>21</v>
      </c>
      <c r="B154" s="9" t="s">
        <v>663</v>
      </c>
      <c r="C154" s="9" t="s">
        <v>278</v>
      </c>
      <c r="D154" s="359" t="s">
        <v>279</v>
      </c>
      <c r="E154" s="360"/>
      <c r="F154" s="47" t="s">
        <v>20</v>
      </c>
      <c r="G154" s="47" t="s">
        <v>20</v>
      </c>
      <c r="H154" s="47" t="s">
        <v>20</v>
      </c>
      <c r="I154" s="47" t="s">
        <v>20</v>
      </c>
      <c r="J154" s="11" t="e">
        <f>SUM(J155:J155)</f>
        <v>#REF!</v>
      </c>
      <c r="K154" s="11" t="e">
        <f>SUM(K155:K155)</f>
        <v>#REF!</v>
      </c>
      <c r="L154" s="11" t="e">
        <f>SUM(L155:L155)</f>
        <v>#REF!</v>
      </c>
      <c r="M154" s="11" t="e">
        <f>SUM(M155:M155)</f>
        <v>#REF!</v>
      </c>
      <c r="N154" s="10" t="s">
        <v>21</v>
      </c>
      <c r="O154" s="11" t="e">
        <f>SUM(O155:O155)</f>
        <v>#REF!</v>
      </c>
      <c r="P154" s="48" t="s">
        <v>21</v>
      </c>
      <c r="AI154" s="10" t="s">
        <v>663</v>
      </c>
      <c r="AS154" s="11">
        <f>SUM(AJ155:AJ155)</f>
        <v>0</v>
      </c>
      <c r="AT154" s="11">
        <f>SUM(AK155:AK155)</f>
        <v>0</v>
      </c>
      <c r="AU154" s="11" t="e">
        <f>SUM(AL155:AL155)</f>
        <v>#REF!</v>
      </c>
    </row>
    <row r="155" spans="1:76" ht="25.5">
      <c r="A155" s="1" t="s">
        <v>679</v>
      </c>
      <c r="B155" s="2" t="s">
        <v>663</v>
      </c>
      <c r="C155" s="2" t="s">
        <v>280</v>
      </c>
      <c r="D155" s="349" t="s">
        <v>281</v>
      </c>
      <c r="E155" s="342"/>
      <c r="F155" s="2" t="s">
        <v>260</v>
      </c>
      <c r="G155" s="12" t="e">
        <f>#REF!</f>
        <v>#REF!</v>
      </c>
      <c r="H155" s="12" t="e">
        <f>#REF!</f>
        <v>#REF!</v>
      </c>
      <c r="I155" s="49" t="s">
        <v>554</v>
      </c>
      <c r="J155" s="12" t="e">
        <f>G155*AO155</f>
        <v>#REF!</v>
      </c>
      <c r="K155" s="12" t="e">
        <f>G155*AP155</f>
        <v>#REF!</v>
      </c>
      <c r="L155" s="12" t="e">
        <f>G155*H155</f>
        <v>#REF!</v>
      </c>
      <c r="M155" s="12" t="e">
        <f>L155*(1+BW155/100)</f>
        <v>#REF!</v>
      </c>
      <c r="N155" s="12">
        <v>3.0539000000000001</v>
      </c>
      <c r="O155" s="12" t="e">
        <f>G155*N155</f>
        <v>#REF!</v>
      </c>
      <c r="P155" s="50" t="s">
        <v>577</v>
      </c>
      <c r="Z155" s="12">
        <f>IF(AQ155="5",BJ155,0)</f>
        <v>0</v>
      </c>
      <c r="AB155" s="12" t="e">
        <f>IF(AQ155="1",BH155,0)</f>
        <v>#REF!</v>
      </c>
      <c r="AC155" s="12" t="e">
        <f>IF(AQ155="1",BI155,0)</f>
        <v>#REF!</v>
      </c>
      <c r="AD155" s="12">
        <f>IF(AQ155="7",BH155,0)</f>
        <v>0</v>
      </c>
      <c r="AE155" s="12">
        <f>IF(AQ155="7",BI155,0)</f>
        <v>0</v>
      </c>
      <c r="AF155" s="12">
        <f>IF(AQ155="2",BH155,0)</f>
        <v>0</v>
      </c>
      <c r="AG155" s="12">
        <f>IF(AQ155="2",BI155,0)</f>
        <v>0</v>
      </c>
      <c r="AH155" s="12">
        <f>IF(AQ155="0",BJ155,0)</f>
        <v>0</v>
      </c>
      <c r="AI155" s="10" t="s">
        <v>663</v>
      </c>
      <c r="AJ155" s="12">
        <f>IF(AN155=0,L155,0)</f>
        <v>0</v>
      </c>
      <c r="AK155" s="12">
        <f>IF(AN155=12,L155,0)</f>
        <v>0</v>
      </c>
      <c r="AL155" s="12" t="e">
        <f>IF(AN155=21,L155,0)</f>
        <v>#REF!</v>
      </c>
      <c r="AN155" s="12">
        <v>21</v>
      </c>
      <c r="AO155" s="12" t="e">
        <f>H155*0.453666127</f>
        <v>#REF!</v>
      </c>
      <c r="AP155" s="12" t="e">
        <f>H155*(1-0.453666127)</f>
        <v>#REF!</v>
      </c>
      <c r="AQ155" s="49" t="s">
        <v>553</v>
      </c>
      <c r="AV155" s="12" t="e">
        <f>AW155+AX155</f>
        <v>#REF!</v>
      </c>
      <c r="AW155" s="12" t="e">
        <f>G155*AO155</f>
        <v>#REF!</v>
      </c>
      <c r="AX155" s="12" t="e">
        <f>G155*AP155</f>
        <v>#REF!</v>
      </c>
      <c r="AY155" s="49" t="s">
        <v>680</v>
      </c>
      <c r="AZ155" s="49" t="s">
        <v>681</v>
      </c>
      <c r="BA155" s="10" t="s">
        <v>666</v>
      </c>
      <c r="BC155" s="12" t="e">
        <f>AW155+AX155</f>
        <v>#REF!</v>
      </c>
      <c r="BD155" s="12" t="e">
        <f>H155/(100-BE155)*100</f>
        <v>#REF!</v>
      </c>
      <c r="BE155" s="12">
        <v>0</v>
      </c>
      <c r="BF155" s="12" t="e">
        <f>O155</f>
        <v>#REF!</v>
      </c>
      <c r="BH155" s="12" t="e">
        <f>G155*AO155</f>
        <v>#REF!</v>
      </c>
      <c r="BI155" s="12" t="e">
        <f>G155*AP155</f>
        <v>#REF!</v>
      </c>
      <c r="BJ155" s="12" t="e">
        <f>G155*H155</f>
        <v>#REF!</v>
      </c>
      <c r="BK155" s="12"/>
      <c r="BL155" s="12">
        <v>38</v>
      </c>
      <c r="BW155" s="12" t="str">
        <f>I155</f>
        <v>21</v>
      </c>
      <c r="BX155" s="3" t="s">
        <v>281</v>
      </c>
    </row>
    <row r="156" spans="1:76">
      <c r="A156" s="46" t="s">
        <v>21</v>
      </c>
      <c r="B156" s="9" t="s">
        <v>663</v>
      </c>
      <c r="C156" s="9" t="s">
        <v>282</v>
      </c>
      <c r="D156" s="359" t="s">
        <v>283</v>
      </c>
      <c r="E156" s="360"/>
      <c r="F156" s="47" t="s">
        <v>20</v>
      </c>
      <c r="G156" s="47" t="s">
        <v>20</v>
      </c>
      <c r="H156" s="47" t="s">
        <v>20</v>
      </c>
      <c r="I156" s="47" t="s">
        <v>20</v>
      </c>
      <c r="J156" s="11" t="e">
        <f>SUM(J157:J157)</f>
        <v>#REF!</v>
      </c>
      <c r="K156" s="11" t="e">
        <f>SUM(K157:K157)</f>
        <v>#REF!</v>
      </c>
      <c r="L156" s="11" t="e">
        <f>SUM(L157:L157)</f>
        <v>#REF!</v>
      </c>
      <c r="M156" s="11" t="e">
        <f>SUM(M157:M157)</f>
        <v>#REF!</v>
      </c>
      <c r="N156" s="10" t="s">
        <v>21</v>
      </c>
      <c r="O156" s="11" t="e">
        <f>SUM(O157:O157)</f>
        <v>#REF!</v>
      </c>
      <c r="P156" s="48" t="s">
        <v>21</v>
      </c>
      <c r="AI156" s="10" t="s">
        <v>663</v>
      </c>
      <c r="AS156" s="11">
        <f>SUM(AJ157:AJ157)</f>
        <v>0</v>
      </c>
      <c r="AT156" s="11">
        <f>SUM(AK157:AK157)</f>
        <v>0</v>
      </c>
      <c r="AU156" s="11" t="e">
        <f>SUM(AL157:AL157)</f>
        <v>#REF!</v>
      </c>
    </row>
    <row r="157" spans="1:76">
      <c r="A157" s="1" t="s">
        <v>556</v>
      </c>
      <c r="B157" s="2" t="s">
        <v>663</v>
      </c>
      <c r="C157" s="2" t="s">
        <v>284</v>
      </c>
      <c r="D157" s="349" t="s">
        <v>285</v>
      </c>
      <c r="E157" s="342"/>
      <c r="F157" s="2" t="s">
        <v>245</v>
      </c>
      <c r="G157" s="12" t="e">
        <f>#REF!</f>
        <v>#REF!</v>
      </c>
      <c r="H157" s="12" t="e">
        <f>#REF!</f>
        <v>#REF!</v>
      </c>
      <c r="I157" s="49" t="s">
        <v>554</v>
      </c>
      <c r="J157" s="12" t="e">
        <f>G157*AO157</f>
        <v>#REF!</v>
      </c>
      <c r="K157" s="12" t="e">
        <f>G157*AP157</f>
        <v>#REF!</v>
      </c>
      <c r="L157" s="12" t="e">
        <f>G157*H157</f>
        <v>#REF!</v>
      </c>
      <c r="M157" s="12" t="e">
        <f>L157*(1+BW157/100)</f>
        <v>#REF!</v>
      </c>
      <c r="N157" s="12">
        <v>0.66954999999999998</v>
      </c>
      <c r="O157" s="12" t="e">
        <f>G157*N157</f>
        <v>#REF!</v>
      </c>
      <c r="P157" s="50" t="s">
        <v>577</v>
      </c>
      <c r="Z157" s="12">
        <f>IF(AQ157="5",BJ157,0)</f>
        <v>0</v>
      </c>
      <c r="AB157" s="12" t="e">
        <f>IF(AQ157="1",BH157,0)</f>
        <v>#REF!</v>
      </c>
      <c r="AC157" s="12" t="e">
        <f>IF(AQ157="1",BI157,0)</f>
        <v>#REF!</v>
      </c>
      <c r="AD157" s="12">
        <f>IF(AQ157="7",BH157,0)</f>
        <v>0</v>
      </c>
      <c r="AE157" s="12">
        <f>IF(AQ157="7",BI157,0)</f>
        <v>0</v>
      </c>
      <c r="AF157" s="12">
        <f>IF(AQ157="2",BH157,0)</f>
        <v>0</v>
      </c>
      <c r="AG157" s="12">
        <f>IF(AQ157="2",BI157,0)</f>
        <v>0</v>
      </c>
      <c r="AH157" s="12">
        <f>IF(AQ157="0",BJ157,0)</f>
        <v>0</v>
      </c>
      <c r="AI157" s="10" t="s">
        <v>663</v>
      </c>
      <c r="AJ157" s="12">
        <f>IF(AN157=0,L157,0)</f>
        <v>0</v>
      </c>
      <c r="AK157" s="12">
        <f>IF(AN157=12,L157,0)</f>
        <v>0</v>
      </c>
      <c r="AL157" s="12" t="e">
        <f>IF(AN157=21,L157,0)</f>
        <v>#REF!</v>
      </c>
      <c r="AN157" s="12">
        <v>21</v>
      </c>
      <c r="AO157" s="12" t="e">
        <f>H157*0.485750587</f>
        <v>#REF!</v>
      </c>
      <c r="AP157" s="12" t="e">
        <f>H157*(1-0.485750587)</f>
        <v>#REF!</v>
      </c>
      <c r="AQ157" s="49" t="s">
        <v>553</v>
      </c>
      <c r="AV157" s="12" t="e">
        <f>AW157+AX157</f>
        <v>#REF!</v>
      </c>
      <c r="AW157" s="12" t="e">
        <f>G157*AO157</f>
        <v>#REF!</v>
      </c>
      <c r="AX157" s="12" t="e">
        <f>G157*AP157</f>
        <v>#REF!</v>
      </c>
      <c r="AY157" s="49" t="s">
        <v>682</v>
      </c>
      <c r="AZ157" s="49" t="s">
        <v>683</v>
      </c>
      <c r="BA157" s="10" t="s">
        <v>666</v>
      </c>
      <c r="BC157" s="12" t="e">
        <f>AW157+AX157</f>
        <v>#REF!</v>
      </c>
      <c r="BD157" s="12" t="e">
        <f>H157/(100-BE157)*100</f>
        <v>#REF!</v>
      </c>
      <c r="BE157" s="12">
        <v>0</v>
      </c>
      <c r="BF157" s="12" t="e">
        <f>O157</f>
        <v>#REF!</v>
      </c>
      <c r="BH157" s="12" t="e">
        <f>G157*AO157</f>
        <v>#REF!</v>
      </c>
      <c r="BI157" s="12" t="e">
        <f>G157*AP157</f>
        <v>#REF!</v>
      </c>
      <c r="BJ157" s="12" t="e">
        <f>G157*H157</f>
        <v>#REF!</v>
      </c>
      <c r="BK157" s="12"/>
      <c r="BL157" s="12">
        <v>59</v>
      </c>
      <c r="BW157" s="12" t="str">
        <f>I157</f>
        <v>21</v>
      </c>
      <c r="BX157" s="3" t="s">
        <v>285</v>
      </c>
    </row>
    <row r="158" spans="1:76" ht="38.25">
      <c r="A158" s="51"/>
      <c r="C158" s="13" t="s">
        <v>117</v>
      </c>
      <c r="D158" s="363" t="s">
        <v>286</v>
      </c>
      <c r="E158" s="364"/>
      <c r="F158" s="364"/>
      <c r="G158" s="364"/>
      <c r="H158" s="364"/>
      <c r="I158" s="364"/>
      <c r="J158" s="364"/>
      <c r="K158" s="364"/>
      <c r="L158" s="364"/>
      <c r="M158" s="364"/>
      <c r="N158" s="364"/>
      <c r="O158" s="364"/>
      <c r="P158" s="365"/>
      <c r="BX158" s="14" t="s">
        <v>286</v>
      </c>
    </row>
    <row r="159" spans="1:76">
      <c r="A159" s="46" t="s">
        <v>21</v>
      </c>
      <c r="B159" s="9" t="s">
        <v>663</v>
      </c>
      <c r="C159" s="9" t="s">
        <v>85</v>
      </c>
      <c r="D159" s="359" t="s">
        <v>86</v>
      </c>
      <c r="E159" s="360"/>
      <c r="F159" s="47" t="s">
        <v>20</v>
      </c>
      <c r="G159" s="47" t="s">
        <v>20</v>
      </c>
      <c r="H159" s="47" t="s">
        <v>20</v>
      </c>
      <c r="I159" s="47" t="s">
        <v>20</v>
      </c>
      <c r="J159" s="11" t="e">
        <f>SUM(J160:J185)</f>
        <v>#REF!</v>
      </c>
      <c r="K159" s="11" t="e">
        <f>SUM(K160:K185)</f>
        <v>#REF!</v>
      </c>
      <c r="L159" s="11" t="e">
        <f>SUM(L160:L185)</f>
        <v>#REF!</v>
      </c>
      <c r="M159" s="11" t="e">
        <f>SUM(M160:M185)</f>
        <v>#REF!</v>
      </c>
      <c r="N159" s="10" t="s">
        <v>21</v>
      </c>
      <c r="O159" s="11" t="e">
        <f>SUM(O160:O185)</f>
        <v>#REF!</v>
      </c>
      <c r="P159" s="48" t="s">
        <v>21</v>
      </c>
      <c r="AI159" s="10" t="s">
        <v>663</v>
      </c>
      <c r="AS159" s="11">
        <f>SUM(AJ160:AJ185)</f>
        <v>0</v>
      </c>
      <c r="AT159" s="11">
        <f>SUM(AK160:AK185)</f>
        <v>0</v>
      </c>
      <c r="AU159" s="11" t="e">
        <f>SUM(AL160:AL185)</f>
        <v>#REF!</v>
      </c>
    </row>
    <row r="160" spans="1:76">
      <c r="A160" s="1" t="s">
        <v>684</v>
      </c>
      <c r="B160" s="2" t="s">
        <v>663</v>
      </c>
      <c r="C160" s="2" t="s">
        <v>287</v>
      </c>
      <c r="D160" s="349" t="s">
        <v>288</v>
      </c>
      <c r="E160" s="342"/>
      <c r="F160" s="2" t="s">
        <v>63</v>
      </c>
      <c r="G160" s="12" t="e">
        <f>#REF!</f>
        <v>#REF!</v>
      </c>
      <c r="H160" s="12" t="e">
        <f>#REF!</f>
        <v>#REF!</v>
      </c>
      <c r="I160" s="49" t="s">
        <v>554</v>
      </c>
      <c r="J160" s="12" t="e">
        <f>G160*AO160</f>
        <v>#REF!</v>
      </c>
      <c r="K160" s="12" t="e">
        <f>G160*AP160</f>
        <v>#REF!</v>
      </c>
      <c r="L160" s="12" t="e">
        <f>G160*H160</f>
        <v>#REF!</v>
      </c>
      <c r="M160" s="12" t="e">
        <f>L160*(1+BW160/100)</f>
        <v>#REF!</v>
      </c>
      <c r="N160" s="12">
        <v>0</v>
      </c>
      <c r="O160" s="12" t="e">
        <f>G160*N160</f>
        <v>#REF!</v>
      </c>
      <c r="P160" s="50" t="s">
        <v>21</v>
      </c>
      <c r="Z160" s="12">
        <f>IF(AQ160="5",BJ160,0)</f>
        <v>0</v>
      </c>
      <c r="AB160" s="12">
        <f>IF(AQ160="1",BH160,0)</f>
        <v>0</v>
      </c>
      <c r="AC160" s="12">
        <f>IF(AQ160="1",BI160,0)</f>
        <v>0</v>
      </c>
      <c r="AD160" s="12" t="e">
        <f>IF(AQ160="7",BH160,0)</f>
        <v>#REF!</v>
      </c>
      <c r="AE160" s="12" t="e">
        <f>IF(AQ160="7",BI160,0)</f>
        <v>#REF!</v>
      </c>
      <c r="AF160" s="12">
        <f>IF(AQ160="2",BH160,0)</f>
        <v>0</v>
      </c>
      <c r="AG160" s="12">
        <f>IF(AQ160="2",BI160,0)</f>
        <v>0</v>
      </c>
      <c r="AH160" s="12">
        <f>IF(AQ160="0",BJ160,0)</f>
        <v>0</v>
      </c>
      <c r="AI160" s="10" t="s">
        <v>663</v>
      </c>
      <c r="AJ160" s="12">
        <f>IF(AN160=0,L160,0)</f>
        <v>0</v>
      </c>
      <c r="AK160" s="12">
        <f>IF(AN160=12,L160,0)</f>
        <v>0</v>
      </c>
      <c r="AL160" s="12" t="e">
        <f>IF(AN160=21,L160,0)</f>
        <v>#REF!</v>
      </c>
      <c r="AN160" s="12">
        <v>21</v>
      </c>
      <c r="AO160" s="12" t="e">
        <f>H160*0.383928571</f>
        <v>#REF!</v>
      </c>
      <c r="AP160" s="12" t="e">
        <f>H160*(1-0.383928571)</f>
        <v>#REF!</v>
      </c>
      <c r="AQ160" s="49" t="s">
        <v>567</v>
      </c>
      <c r="AV160" s="12" t="e">
        <f>AW160+AX160</f>
        <v>#REF!</v>
      </c>
      <c r="AW160" s="12" t="e">
        <f>G160*AO160</f>
        <v>#REF!</v>
      </c>
      <c r="AX160" s="12" t="e">
        <f>G160*AP160</f>
        <v>#REF!</v>
      </c>
      <c r="AY160" s="49" t="s">
        <v>588</v>
      </c>
      <c r="AZ160" s="49" t="s">
        <v>685</v>
      </c>
      <c r="BA160" s="10" t="s">
        <v>666</v>
      </c>
      <c r="BC160" s="12" t="e">
        <f>AW160+AX160</f>
        <v>#REF!</v>
      </c>
      <c r="BD160" s="12" t="e">
        <f>H160/(100-BE160)*100</f>
        <v>#REF!</v>
      </c>
      <c r="BE160" s="12">
        <v>0</v>
      </c>
      <c r="BF160" s="12" t="e">
        <f>O160</f>
        <v>#REF!</v>
      </c>
      <c r="BH160" s="12" t="e">
        <f>G160*AO160</f>
        <v>#REF!</v>
      </c>
      <c r="BI160" s="12" t="e">
        <f>G160*AP160</f>
        <v>#REF!</v>
      </c>
      <c r="BJ160" s="12" t="e">
        <f>G160*H160</f>
        <v>#REF!</v>
      </c>
      <c r="BK160" s="12"/>
      <c r="BL160" s="12">
        <v>733</v>
      </c>
      <c r="BW160" s="12" t="str">
        <f>I160</f>
        <v>21</v>
      </c>
      <c r="BX160" s="3" t="s">
        <v>288</v>
      </c>
    </row>
    <row r="161" spans="1:76">
      <c r="A161" s="1" t="s">
        <v>686</v>
      </c>
      <c r="B161" s="2" t="s">
        <v>663</v>
      </c>
      <c r="C161" s="2" t="s">
        <v>289</v>
      </c>
      <c r="D161" s="349" t="s">
        <v>290</v>
      </c>
      <c r="E161" s="342"/>
      <c r="F161" s="2" t="s">
        <v>63</v>
      </c>
      <c r="G161" s="12" t="e">
        <f>#REF!</f>
        <v>#REF!</v>
      </c>
      <c r="H161" s="12" t="e">
        <f>#REF!</f>
        <v>#REF!</v>
      </c>
      <c r="I161" s="49" t="s">
        <v>554</v>
      </c>
      <c r="J161" s="12" t="e">
        <f>G161*AO161</f>
        <v>#REF!</v>
      </c>
      <c r="K161" s="12" t="e">
        <f>G161*AP161</f>
        <v>#REF!</v>
      </c>
      <c r="L161" s="12" t="e">
        <f>G161*H161</f>
        <v>#REF!</v>
      </c>
      <c r="M161" s="12" t="e">
        <f>L161*(1+BW161/100)</f>
        <v>#REF!</v>
      </c>
      <c r="N161" s="12">
        <v>8.4700000000000001E-3</v>
      </c>
      <c r="O161" s="12" t="e">
        <f>G161*N161</f>
        <v>#REF!</v>
      </c>
      <c r="P161" s="50" t="s">
        <v>605</v>
      </c>
      <c r="Z161" s="12">
        <f>IF(AQ161="5",BJ161,0)</f>
        <v>0</v>
      </c>
      <c r="AB161" s="12">
        <f>IF(AQ161="1",BH161,0)</f>
        <v>0</v>
      </c>
      <c r="AC161" s="12">
        <f>IF(AQ161="1",BI161,0)</f>
        <v>0</v>
      </c>
      <c r="AD161" s="12" t="e">
        <f>IF(AQ161="7",BH161,0)</f>
        <v>#REF!</v>
      </c>
      <c r="AE161" s="12" t="e">
        <f>IF(AQ161="7",BI161,0)</f>
        <v>#REF!</v>
      </c>
      <c r="AF161" s="12">
        <f>IF(AQ161="2",BH161,0)</f>
        <v>0</v>
      </c>
      <c r="AG161" s="12">
        <f>IF(AQ161="2",BI161,0)</f>
        <v>0</v>
      </c>
      <c r="AH161" s="12">
        <f>IF(AQ161="0",BJ161,0)</f>
        <v>0</v>
      </c>
      <c r="AI161" s="10" t="s">
        <v>663</v>
      </c>
      <c r="AJ161" s="12">
        <f>IF(AN161=0,L161,0)</f>
        <v>0</v>
      </c>
      <c r="AK161" s="12">
        <f>IF(AN161=12,L161,0)</f>
        <v>0</v>
      </c>
      <c r="AL161" s="12" t="e">
        <f>IF(AN161=21,L161,0)</f>
        <v>#REF!</v>
      </c>
      <c r="AN161" s="12">
        <v>21</v>
      </c>
      <c r="AO161" s="12" t="e">
        <f>H161*0.212764228</f>
        <v>#REF!</v>
      </c>
      <c r="AP161" s="12" t="e">
        <f>H161*(1-0.212764228)</f>
        <v>#REF!</v>
      </c>
      <c r="AQ161" s="49" t="s">
        <v>567</v>
      </c>
      <c r="AV161" s="12" t="e">
        <f>AW161+AX161</f>
        <v>#REF!</v>
      </c>
      <c r="AW161" s="12" t="e">
        <f>G161*AO161</f>
        <v>#REF!</v>
      </c>
      <c r="AX161" s="12" t="e">
        <f>G161*AP161</f>
        <v>#REF!</v>
      </c>
      <c r="AY161" s="49" t="s">
        <v>588</v>
      </c>
      <c r="AZ161" s="49" t="s">
        <v>685</v>
      </c>
      <c r="BA161" s="10" t="s">
        <v>666</v>
      </c>
      <c r="BC161" s="12" t="e">
        <f>AW161+AX161</f>
        <v>#REF!</v>
      </c>
      <c r="BD161" s="12" t="e">
        <f>H161/(100-BE161)*100</f>
        <v>#REF!</v>
      </c>
      <c r="BE161" s="12">
        <v>0</v>
      </c>
      <c r="BF161" s="12" t="e">
        <f>O161</f>
        <v>#REF!</v>
      </c>
      <c r="BH161" s="12" t="e">
        <f>G161*AO161</f>
        <v>#REF!</v>
      </c>
      <c r="BI161" s="12" t="e">
        <f>G161*AP161</f>
        <v>#REF!</v>
      </c>
      <c r="BJ161" s="12" t="e">
        <f>G161*H161</f>
        <v>#REF!</v>
      </c>
      <c r="BK161" s="12"/>
      <c r="BL161" s="12">
        <v>733</v>
      </c>
      <c r="BW161" s="12" t="str">
        <f>I161</f>
        <v>21</v>
      </c>
      <c r="BX161" s="3" t="s">
        <v>290</v>
      </c>
    </row>
    <row r="162" spans="1:76" ht="25.5">
      <c r="A162" s="1" t="s">
        <v>687</v>
      </c>
      <c r="B162" s="2" t="s">
        <v>663</v>
      </c>
      <c r="C162" s="2" t="s">
        <v>291</v>
      </c>
      <c r="D162" s="349" t="s">
        <v>292</v>
      </c>
      <c r="E162" s="342"/>
      <c r="F162" s="2" t="s">
        <v>63</v>
      </c>
      <c r="G162" s="12" t="e">
        <f>#REF!</f>
        <v>#REF!</v>
      </c>
      <c r="H162" s="12" t="e">
        <f>#REF!</f>
        <v>#REF!</v>
      </c>
      <c r="I162" s="49" t="s">
        <v>554</v>
      </c>
      <c r="J162" s="12" t="e">
        <f>G162*AO162</f>
        <v>#REF!</v>
      </c>
      <c r="K162" s="12" t="e">
        <f>G162*AP162</f>
        <v>#REF!</v>
      </c>
      <c r="L162" s="12" t="e">
        <f>G162*H162</f>
        <v>#REF!</v>
      </c>
      <c r="M162" s="12" t="e">
        <f>L162*(1+BW162/100)</f>
        <v>#REF!</v>
      </c>
      <c r="N162" s="12">
        <v>4.0000000000000001E-3</v>
      </c>
      <c r="O162" s="12" t="e">
        <f>G162*N162</f>
        <v>#REF!</v>
      </c>
      <c r="P162" s="50" t="s">
        <v>605</v>
      </c>
      <c r="Z162" s="12">
        <f>IF(AQ162="5",BJ162,0)</f>
        <v>0</v>
      </c>
      <c r="AB162" s="12">
        <f>IF(AQ162="1",BH162,0)</f>
        <v>0</v>
      </c>
      <c r="AC162" s="12">
        <f>IF(AQ162="1",BI162,0)</f>
        <v>0</v>
      </c>
      <c r="AD162" s="12" t="e">
        <f>IF(AQ162="7",BH162,0)</f>
        <v>#REF!</v>
      </c>
      <c r="AE162" s="12" t="e">
        <f>IF(AQ162="7",BI162,0)</f>
        <v>#REF!</v>
      </c>
      <c r="AF162" s="12">
        <f>IF(AQ162="2",BH162,0)</f>
        <v>0</v>
      </c>
      <c r="AG162" s="12">
        <f>IF(AQ162="2",BI162,0)</f>
        <v>0</v>
      </c>
      <c r="AH162" s="12">
        <f>IF(AQ162="0",BJ162,0)</f>
        <v>0</v>
      </c>
      <c r="AI162" s="10" t="s">
        <v>663</v>
      </c>
      <c r="AJ162" s="12">
        <f>IF(AN162=0,L162,0)</f>
        <v>0</v>
      </c>
      <c r="AK162" s="12">
        <f>IF(AN162=12,L162,0)</f>
        <v>0</v>
      </c>
      <c r="AL162" s="12" t="e">
        <f>IF(AN162=21,L162,0)</f>
        <v>#REF!</v>
      </c>
      <c r="AN162" s="12">
        <v>21</v>
      </c>
      <c r="AO162" s="12" t="e">
        <f>H162*1</f>
        <v>#REF!</v>
      </c>
      <c r="AP162" s="12" t="e">
        <f>H162*(1-1)</f>
        <v>#REF!</v>
      </c>
      <c r="AQ162" s="49" t="s">
        <v>567</v>
      </c>
      <c r="AV162" s="12" t="e">
        <f>AW162+AX162</f>
        <v>#REF!</v>
      </c>
      <c r="AW162" s="12" t="e">
        <f>G162*AO162</f>
        <v>#REF!</v>
      </c>
      <c r="AX162" s="12" t="e">
        <f>G162*AP162</f>
        <v>#REF!</v>
      </c>
      <c r="AY162" s="49" t="s">
        <v>588</v>
      </c>
      <c r="AZ162" s="49" t="s">
        <v>685</v>
      </c>
      <c r="BA162" s="10" t="s">
        <v>666</v>
      </c>
      <c r="BC162" s="12" t="e">
        <f>AW162+AX162</f>
        <v>#REF!</v>
      </c>
      <c r="BD162" s="12" t="e">
        <f>H162/(100-BE162)*100</f>
        <v>#REF!</v>
      </c>
      <c r="BE162" s="12">
        <v>0</v>
      </c>
      <c r="BF162" s="12" t="e">
        <f>O162</f>
        <v>#REF!</v>
      </c>
      <c r="BH162" s="12" t="e">
        <f>G162*AO162</f>
        <v>#REF!</v>
      </c>
      <c r="BI162" s="12" t="e">
        <f>G162*AP162</f>
        <v>#REF!</v>
      </c>
      <c r="BJ162" s="12" t="e">
        <f>G162*H162</f>
        <v>#REF!</v>
      </c>
      <c r="BK162" s="12"/>
      <c r="BL162" s="12">
        <v>733</v>
      </c>
      <c r="BW162" s="12" t="str">
        <f>I162</f>
        <v>21</v>
      </c>
      <c r="BX162" s="3" t="s">
        <v>292</v>
      </c>
    </row>
    <row r="163" spans="1:76" ht="63.75">
      <c r="A163" s="51"/>
      <c r="C163" s="13" t="s">
        <v>117</v>
      </c>
      <c r="D163" s="363" t="s">
        <v>293</v>
      </c>
      <c r="E163" s="364"/>
      <c r="F163" s="364"/>
      <c r="G163" s="364"/>
      <c r="H163" s="364"/>
      <c r="I163" s="364"/>
      <c r="J163" s="364"/>
      <c r="K163" s="364"/>
      <c r="L163" s="364"/>
      <c r="M163" s="364"/>
      <c r="N163" s="364"/>
      <c r="O163" s="364"/>
      <c r="P163" s="365"/>
      <c r="BX163" s="14" t="s">
        <v>293</v>
      </c>
    </row>
    <row r="164" spans="1:76" ht="25.5">
      <c r="A164" s="1" t="s">
        <v>688</v>
      </c>
      <c r="B164" s="2" t="s">
        <v>663</v>
      </c>
      <c r="C164" s="2" t="s">
        <v>294</v>
      </c>
      <c r="D164" s="349" t="s">
        <v>295</v>
      </c>
      <c r="E164" s="342"/>
      <c r="F164" s="2" t="s">
        <v>63</v>
      </c>
      <c r="G164" s="12" t="e">
        <f>#REF!</f>
        <v>#REF!</v>
      </c>
      <c r="H164" s="12" t="e">
        <f>#REF!</f>
        <v>#REF!</v>
      </c>
      <c r="I164" s="49" t="s">
        <v>554</v>
      </c>
      <c r="J164" s="12" t="e">
        <f>G164*AO164</f>
        <v>#REF!</v>
      </c>
      <c r="K164" s="12" t="e">
        <f>G164*AP164</f>
        <v>#REF!</v>
      </c>
      <c r="L164" s="12" t="e">
        <f>G164*H164</f>
        <v>#REF!</v>
      </c>
      <c r="M164" s="12" t="e">
        <f>L164*(1+BW164/100)</f>
        <v>#REF!</v>
      </c>
      <c r="N164" s="12">
        <v>5.2999999999999998E-4</v>
      </c>
      <c r="O164" s="12" t="e">
        <f>G164*N164</f>
        <v>#REF!</v>
      </c>
      <c r="P164" s="50" t="s">
        <v>605</v>
      </c>
      <c r="Z164" s="12">
        <f>IF(AQ164="5",BJ164,0)</f>
        <v>0</v>
      </c>
      <c r="AB164" s="12">
        <f>IF(AQ164="1",BH164,0)</f>
        <v>0</v>
      </c>
      <c r="AC164" s="12">
        <f>IF(AQ164="1",BI164,0)</f>
        <v>0</v>
      </c>
      <c r="AD164" s="12" t="e">
        <f>IF(AQ164="7",BH164,0)</f>
        <v>#REF!</v>
      </c>
      <c r="AE164" s="12" t="e">
        <f>IF(AQ164="7",BI164,0)</f>
        <v>#REF!</v>
      </c>
      <c r="AF164" s="12">
        <f>IF(AQ164="2",BH164,0)</f>
        <v>0</v>
      </c>
      <c r="AG164" s="12">
        <f>IF(AQ164="2",BI164,0)</f>
        <v>0</v>
      </c>
      <c r="AH164" s="12">
        <f>IF(AQ164="0",BJ164,0)</f>
        <v>0</v>
      </c>
      <c r="AI164" s="10" t="s">
        <v>663</v>
      </c>
      <c r="AJ164" s="12">
        <f>IF(AN164=0,L164,0)</f>
        <v>0</v>
      </c>
      <c r="AK164" s="12">
        <f>IF(AN164=12,L164,0)</f>
        <v>0</v>
      </c>
      <c r="AL164" s="12" t="e">
        <f>IF(AN164=21,L164,0)</f>
        <v>#REF!</v>
      </c>
      <c r="AN164" s="12">
        <v>21</v>
      </c>
      <c r="AO164" s="12" t="e">
        <f>H164*0.316802681</f>
        <v>#REF!</v>
      </c>
      <c r="AP164" s="12" t="e">
        <f>H164*(1-0.316802681)</f>
        <v>#REF!</v>
      </c>
      <c r="AQ164" s="49" t="s">
        <v>567</v>
      </c>
      <c r="AV164" s="12" t="e">
        <f>AW164+AX164</f>
        <v>#REF!</v>
      </c>
      <c r="AW164" s="12" t="e">
        <f>G164*AO164</f>
        <v>#REF!</v>
      </c>
      <c r="AX164" s="12" t="e">
        <f>G164*AP164</f>
        <v>#REF!</v>
      </c>
      <c r="AY164" s="49" t="s">
        <v>588</v>
      </c>
      <c r="AZ164" s="49" t="s">
        <v>685</v>
      </c>
      <c r="BA164" s="10" t="s">
        <v>666</v>
      </c>
      <c r="BC164" s="12" t="e">
        <f>AW164+AX164</f>
        <v>#REF!</v>
      </c>
      <c r="BD164" s="12" t="e">
        <f>H164/(100-BE164)*100</f>
        <v>#REF!</v>
      </c>
      <c r="BE164" s="12">
        <v>0</v>
      </c>
      <c r="BF164" s="12" t="e">
        <f>O164</f>
        <v>#REF!</v>
      </c>
      <c r="BH164" s="12" t="e">
        <f>G164*AO164</f>
        <v>#REF!</v>
      </c>
      <c r="BI164" s="12" t="e">
        <f>G164*AP164</f>
        <v>#REF!</v>
      </c>
      <c r="BJ164" s="12" t="e">
        <f>G164*H164</f>
        <v>#REF!</v>
      </c>
      <c r="BK164" s="12"/>
      <c r="BL164" s="12">
        <v>733</v>
      </c>
      <c r="BW164" s="12" t="str">
        <f>I164</f>
        <v>21</v>
      </c>
      <c r="BX164" s="3" t="s">
        <v>295</v>
      </c>
    </row>
    <row r="165" spans="1:76" ht="89.25">
      <c r="A165" s="51"/>
      <c r="C165" s="13" t="s">
        <v>117</v>
      </c>
      <c r="D165" s="363" t="s">
        <v>296</v>
      </c>
      <c r="E165" s="364"/>
      <c r="F165" s="364"/>
      <c r="G165" s="364"/>
      <c r="H165" s="364"/>
      <c r="I165" s="364"/>
      <c r="J165" s="364"/>
      <c r="K165" s="364"/>
      <c r="L165" s="364"/>
      <c r="M165" s="364"/>
      <c r="N165" s="364"/>
      <c r="O165" s="364"/>
      <c r="P165" s="365"/>
      <c r="BX165" s="14" t="s">
        <v>296</v>
      </c>
    </row>
    <row r="166" spans="1:76" ht="25.5">
      <c r="A166" s="1" t="s">
        <v>689</v>
      </c>
      <c r="B166" s="2" t="s">
        <v>663</v>
      </c>
      <c r="C166" s="2" t="s">
        <v>297</v>
      </c>
      <c r="D166" s="349" t="s">
        <v>298</v>
      </c>
      <c r="E166" s="342"/>
      <c r="F166" s="2" t="s">
        <v>63</v>
      </c>
      <c r="G166" s="12" t="e">
        <f>#REF!</f>
        <v>#REF!</v>
      </c>
      <c r="H166" s="12" t="e">
        <f>#REF!</f>
        <v>#REF!</v>
      </c>
      <c r="I166" s="49" t="s">
        <v>554</v>
      </c>
      <c r="J166" s="12" t="e">
        <f>G166*AO166</f>
        <v>#REF!</v>
      </c>
      <c r="K166" s="12" t="e">
        <f>G166*AP166</f>
        <v>#REF!</v>
      </c>
      <c r="L166" s="12" t="e">
        <f>G166*H166</f>
        <v>#REF!</v>
      </c>
      <c r="M166" s="12" t="e">
        <f>L166*(1+BW166/100)</f>
        <v>#REF!</v>
      </c>
      <c r="N166" s="12">
        <v>2.8999999999999998E-3</v>
      </c>
      <c r="O166" s="12" t="e">
        <f>G166*N166</f>
        <v>#REF!</v>
      </c>
      <c r="P166" s="50" t="s">
        <v>605</v>
      </c>
      <c r="Z166" s="12">
        <f>IF(AQ166="5",BJ166,0)</f>
        <v>0</v>
      </c>
      <c r="AB166" s="12">
        <f>IF(AQ166="1",BH166,0)</f>
        <v>0</v>
      </c>
      <c r="AC166" s="12">
        <f>IF(AQ166="1",BI166,0)</f>
        <v>0</v>
      </c>
      <c r="AD166" s="12" t="e">
        <f>IF(AQ166="7",BH166,0)</f>
        <v>#REF!</v>
      </c>
      <c r="AE166" s="12" t="e">
        <f>IF(AQ166="7",BI166,0)</f>
        <v>#REF!</v>
      </c>
      <c r="AF166" s="12">
        <f>IF(AQ166="2",BH166,0)</f>
        <v>0</v>
      </c>
      <c r="AG166" s="12">
        <f>IF(AQ166="2",BI166,0)</f>
        <v>0</v>
      </c>
      <c r="AH166" s="12">
        <f>IF(AQ166="0",BJ166,0)</f>
        <v>0</v>
      </c>
      <c r="AI166" s="10" t="s">
        <v>663</v>
      </c>
      <c r="AJ166" s="12">
        <f>IF(AN166=0,L166,0)</f>
        <v>0</v>
      </c>
      <c r="AK166" s="12">
        <f>IF(AN166=12,L166,0)</f>
        <v>0</v>
      </c>
      <c r="AL166" s="12" t="e">
        <f>IF(AN166=21,L166,0)</f>
        <v>#REF!</v>
      </c>
      <c r="AN166" s="12">
        <v>21</v>
      </c>
      <c r="AO166" s="12" t="e">
        <f>H166*1</f>
        <v>#REF!</v>
      </c>
      <c r="AP166" s="12" t="e">
        <f>H166*(1-1)</f>
        <v>#REF!</v>
      </c>
      <c r="AQ166" s="49" t="s">
        <v>567</v>
      </c>
      <c r="AV166" s="12" t="e">
        <f>AW166+AX166</f>
        <v>#REF!</v>
      </c>
      <c r="AW166" s="12" t="e">
        <f>G166*AO166</f>
        <v>#REF!</v>
      </c>
      <c r="AX166" s="12" t="e">
        <f>G166*AP166</f>
        <v>#REF!</v>
      </c>
      <c r="AY166" s="49" t="s">
        <v>588</v>
      </c>
      <c r="AZ166" s="49" t="s">
        <v>685</v>
      </c>
      <c r="BA166" s="10" t="s">
        <v>666</v>
      </c>
      <c r="BC166" s="12" t="e">
        <f>AW166+AX166</f>
        <v>#REF!</v>
      </c>
      <c r="BD166" s="12" t="e">
        <f>H166/(100-BE166)*100</f>
        <v>#REF!</v>
      </c>
      <c r="BE166" s="12">
        <v>0</v>
      </c>
      <c r="BF166" s="12" t="e">
        <f>O166</f>
        <v>#REF!</v>
      </c>
      <c r="BH166" s="12" t="e">
        <f>G166*AO166</f>
        <v>#REF!</v>
      </c>
      <c r="BI166" s="12" t="e">
        <f>G166*AP166</f>
        <v>#REF!</v>
      </c>
      <c r="BJ166" s="12" t="e">
        <f>G166*H166</f>
        <v>#REF!</v>
      </c>
      <c r="BK166" s="12"/>
      <c r="BL166" s="12">
        <v>733</v>
      </c>
      <c r="BW166" s="12" t="str">
        <f>I166</f>
        <v>21</v>
      </c>
      <c r="BX166" s="3" t="s">
        <v>298</v>
      </c>
    </row>
    <row r="167" spans="1:76" ht="63.75">
      <c r="A167" s="51"/>
      <c r="C167" s="13" t="s">
        <v>117</v>
      </c>
      <c r="D167" s="363" t="s">
        <v>299</v>
      </c>
      <c r="E167" s="364"/>
      <c r="F167" s="364"/>
      <c r="G167" s="364"/>
      <c r="H167" s="364"/>
      <c r="I167" s="364"/>
      <c r="J167" s="364"/>
      <c r="K167" s="364"/>
      <c r="L167" s="364"/>
      <c r="M167" s="364"/>
      <c r="N167" s="364"/>
      <c r="O167" s="364"/>
      <c r="P167" s="365"/>
      <c r="BX167" s="14" t="s">
        <v>299</v>
      </c>
    </row>
    <row r="168" spans="1:76" ht="25.5">
      <c r="A168" s="1" t="s">
        <v>690</v>
      </c>
      <c r="B168" s="2" t="s">
        <v>663</v>
      </c>
      <c r="C168" s="2" t="s">
        <v>300</v>
      </c>
      <c r="D168" s="349" t="s">
        <v>301</v>
      </c>
      <c r="E168" s="342"/>
      <c r="F168" s="2" t="s">
        <v>63</v>
      </c>
      <c r="G168" s="12" t="e">
        <f>#REF!</f>
        <v>#REF!</v>
      </c>
      <c r="H168" s="12" t="e">
        <f>#REF!</f>
        <v>#REF!</v>
      </c>
      <c r="I168" s="49" t="s">
        <v>554</v>
      </c>
      <c r="J168" s="12" t="e">
        <f>G168*AO168</f>
        <v>#REF!</v>
      </c>
      <c r="K168" s="12" t="e">
        <f>G168*AP168</f>
        <v>#REF!</v>
      </c>
      <c r="L168" s="12" t="e">
        <f>G168*H168</f>
        <v>#REF!</v>
      </c>
      <c r="M168" s="12" t="e">
        <f>L168*(1+BW168/100)</f>
        <v>#REF!</v>
      </c>
      <c r="N168" s="12">
        <v>4.8999999999999998E-4</v>
      </c>
      <c r="O168" s="12" t="e">
        <f>G168*N168</f>
        <v>#REF!</v>
      </c>
      <c r="P168" s="50" t="s">
        <v>605</v>
      </c>
      <c r="Z168" s="12">
        <f>IF(AQ168="5",BJ168,0)</f>
        <v>0</v>
      </c>
      <c r="AB168" s="12">
        <f>IF(AQ168="1",BH168,0)</f>
        <v>0</v>
      </c>
      <c r="AC168" s="12">
        <f>IF(AQ168="1",BI168,0)</f>
        <v>0</v>
      </c>
      <c r="AD168" s="12" t="e">
        <f>IF(AQ168="7",BH168,0)</f>
        <v>#REF!</v>
      </c>
      <c r="AE168" s="12" t="e">
        <f>IF(AQ168="7",BI168,0)</f>
        <v>#REF!</v>
      </c>
      <c r="AF168" s="12">
        <f>IF(AQ168="2",BH168,0)</f>
        <v>0</v>
      </c>
      <c r="AG168" s="12">
        <f>IF(AQ168="2",BI168,0)</f>
        <v>0</v>
      </c>
      <c r="AH168" s="12">
        <f>IF(AQ168="0",BJ168,0)</f>
        <v>0</v>
      </c>
      <c r="AI168" s="10" t="s">
        <v>663</v>
      </c>
      <c r="AJ168" s="12">
        <f>IF(AN168=0,L168,0)</f>
        <v>0</v>
      </c>
      <c r="AK168" s="12">
        <f>IF(AN168=12,L168,0)</f>
        <v>0</v>
      </c>
      <c r="AL168" s="12" t="e">
        <f>IF(AN168=21,L168,0)</f>
        <v>#REF!</v>
      </c>
      <c r="AN168" s="12">
        <v>21</v>
      </c>
      <c r="AO168" s="12" t="e">
        <f>H168*0.298896952</f>
        <v>#REF!</v>
      </c>
      <c r="AP168" s="12" t="e">
        <f>H168*(1-0.298896952)</f>
        <v>#REF!</v>
      </c>
      <c r="AQ168" s="49" t="s">
        <v>567</v>
      </c>
      <c r="AV168" s="12" t="e">
        <f>AW168+AX168</f>
        <v>#REF!</v>
      </c>
      <c r="AW168" s="12" t="e">
        <f>G168*AO168</f>
        <v>#REF!</v>
      </c>
      <c r="AX168" s="12" t="e">
        <f>G168*AP168</f>
        <v>#REF!</v>
      </c>
      <c r="AY168" s="49" t="s">
        <v>588</v>
      </c>
      <c r="AZ168" s="49" t="s">
        <v>685</v>
      </c>
      <c r="BA168" s="10" t="s">
        <v>666</v>
      </c>
      <c r="BC168" s="12" t="e">
        <f>AW168+AX168</f>
        <v>#REF!</v>
      </c>
      <c r="BD168" s="12" t="e">
        <f>H168/(100-BE168)*100</f>
        <v>#REF!</v>
      </c>
      <c r="BE168" s="12">
        <v>0</v>
      </c>
      <c r="BF168" s="12" t="e">
        <f>O168</f>
        <v>#REF!</v>
      </c>
      <c r="BH168" s="12" t="e">
        <f>G168*AO168</f>
        <v>#REF!</v>
      </c>
      <c r="BI168" s="12" t="e">
        <f>G168*AP168</f>
        <v>#REF!</v>
      </c>
      <c r="BJ168" s="12" t="e">
        <f>G168*H168</f>
        <v>#REF!</v>
      </c>
      <c r="BK168" s="12"/>
      <c r="BL168" s="12">
        <v>733</v>
      </c>
      <c r="BW168" s="12" t="str">
        <f>I168</f>
        <v>21</v>
      </c>
      <c r="BX168" s="3" t="s">
        <v>301</v>
      </c>
    </row>
    <row r="169" spans="1:76" ht="89.25">
      <c r="A169" s="51"/>
      <c r="C169" s="13" t="s">
        <v>117</v>
      </c>
      <c r="D169" s="363" t="s">
        <v>296</v>
      </c>
      <c r="E169" s="364"/>
      <c r="F169" s="364"/>
      <c r="G169" s="364"/>
      <c r="H169" s="364"/>
      <c r="I169" s="364"/>
      <c r="J169" s="364"/>
      <c r="K169" s="364"/>
      <c r="L169" s="364"/>
      <c r="M169" s="364"/>
      <c r="N169" s="364"/>
      <c r="O169" s="364"/>
      <c r="P169" s="365"/>
      <c r="BX169" s="14" t="s">
        <v>296</v>
      </c>
    </row>
    <row r="170" spans="1:76" ht="25.5">
      <c r="A170" s="1" t="s">
        <v>691</v>
      </c>
      <c r="B170" s="2" t="s">
        <v>663</v>
      </c>
      <c r="C170" s="2" t="s">
        <v>302</v>
      </c>
      <c r="D170" s="349" t="s">
        <v>303</v>
      </c>
      <c r="E170" s="342"/>
      <c r="F170" s="2" t="s">
        <v>63</v>
      </c>
      <c r="G170" s="12" t="e">
        <f>#REF!</f>
        <v>#REF!</v>
      </c>
      <c r="H170" s="12" t="e">
        <f>#REF!</f>
        <v>#REF!</v>
      </c>
      <c r="I170" s="49" t="s">
        <v>554</v>
      </c>
      <c r="J170" s="12" t="e">
        <f>G170*AO170</f>
        <v>#REF!</v>
      </c>
      <c r="K170" s="12" t="e">
        <f>G170*AP170</f>
        <v>#REF!</v>
      </c>
      <c r="L170" s="12" t="e">
        <f>G170*H170</f>
        <v>#REF!</v>
      </c>
      <c r="M170" s="12" t="e">
        <f>L170*(1+BW170/100)</f>
        <v>#REF!</v>
      </c>
      <c r="N170" s="12">
        <v>2.3999999999999998E-3</v>
      </c>
      <c r="O170" s="12" t="e">
        <f>G170*N170</f>
        <v>#REF!</v>
      </c>
      <c r="P170" s="50" t="s">
        <v>605</v>
      </c>
      <c r="Z170" s="12">
        <f>IF(AQ170="5",BJ170,0)</f>
        <v>0</v>
      </c>
      <c r="AB170" s="12">
        <f>IF(AQ170="1",BH170,0)</f>
        <v>0</v>
      </c>
      <c r="AC170" s="12">
        <f>IF(AQ170="1",BI170,0)</f>
        <v>0</v>
      </c>
      <c r="AD170" s="12" t="e">
        <f>IF(AQ170="7",BH170,0)</f>
        <v>#REF!</v>
      </c>
      <c r="AE170" s="12" t="e">
        <f>IF(AQ170="7",BI170,0)</f>
        <v>#REF!</v>
      </c>
      <c r="AF170" s="12">
        <f>IF(AQ170="2",BH170,0)</f>
        <v>0</v>
      </c>
      <c r="AG170" s="12">
        <f>IF(AQ170="2",BI170,0)</f>
        <v>0</v>
      </c>
      <c r="AH170" s="12">
        <f>IF(AQ170="0",BJ170,0)</f>
        <v>0</v>
      </c>
      <c r="AI170" s="10" t="s">
        <v>663</v>
      </c>
      <c r="AJ170" s="12">
        <f>IF(AN170=0,L170,0)</f>
        <v>0</v>
      </c>
      <c r="AK170" s="12">
        <f>IF(AN170=12,L170,0)</f>
        <v>0</v>
      </c>
      <c r="AL170" s="12" t="e">
        <f>IF(AN170=21,L170,0)</f>
        <v>#REF!</v>
      </c>
      <c r="AN170" s="12">
        <v>21</v>
      </c>
      <c r="AO170" s="12" t="e">
        <f>H170*1</f>
        <v>#REF!</v>
      </c>
      <c r="AP170" s="12" t="e">
        <f>H170*(1-1)</f>
        <v>#REF!</v>
      </c>
      <c r="AQ170" s="49" t="s">
        <v>567</v>
      </c>
      <c r="AV170" s="12" t="e">
        <f>AW170+AX170</f>
        <v>#REF!</v>
      </c>
      <c r="AW170" s="12" t="e">
        <f>G170*AO170</f>
        <v>#REF!</v>
      </c>
      <c r="AX170" s="12" t="e">
        <f>G170*AP170</f>
        <v>#REF!</v>
      </c>
      <c r="AY170" s="49" t="s">
        <v>588</v>
      </c>
      <c r="AZ170" s="49" t="s">
        <v>685</v>
      </c>
      <c r="BA170" s="10" t="s">
        <v>666</v>
      </c>
      <c r="BC170" s="12" t="e">
        <f>AW170+AX170</f>
        <v>#REF!</v>
      </c>
      <c r="BD170" s="12" t="e">
        <f>H170/(100-BE170)*100</f>
        <v>#REF!</v>
      </c>
      <c r="BE170" s="12">
        <v>0</v>
      </c>
      <c r="BF170" s="12" t="e">
        <f>O170</f>
        <v>#REF!</v>
      </c>
      <c r="BH170" s="12" t="e">
        <f>G170*AO170</f>
        <v>#REF!</v>
      </c>
      <c r="BI170" s="12" t="e">
        <f>G170*AP170</f>
        <v>#REF!</v>
      </c>
      <c r="BJ170" s="12" t="e">
        <f>G170*H170</f>
        <v>#REF!</v>
      </c>
      <c r="BK170" s="12"/>
      <c r="BL170" s="12">
        <v>733</v>
      </c>
      <c r="BW170" s="12" t="str">
        <f>I170</f>
        <v>21</v>
      </c>
      <c r="BX170" s="3" t="s">
        <v>303</v>
      </c>
    </row>
    <row r="171" spans="1:76" ht="63.75">
      <c r="A171" s="51"/>
      <c r="C171" s="13" t="s">
        <v>117</v>
      </c>
      <c r="D171" s="363" t="s">
        <v>304</v>
      </c>
      <c r="E171" s="364"/>
      <c r="F171" s="364"/>
      <c r="G171" s="364"/>
      <c r="H171" s="364"/>
      <c r="I171" s="364"/>
      <c r="J171" s="364"/>
      <c r="K171" s="364"/>
      <c r="L171" s="364"/>
      <c r="M171" s="364"/>
      <c r="N171" s="364"/>
      <c r="O171" s="364"/>
      <c r="P171" s="365"/>
      <c r="BX171" s="14" t="s">
        <v>304</v>
      </c>
    </row>
    <row r="172" spans="1:76" ht="25.5">
      <c r="A172" s="1" t="s">
        <v>692</v>
      </c>
      <c r="B172" s="2" t="s">
        <v>663</v>
      </c>
      <c r="C172" s="2" t="s">
        <v>305</v>
      </c>
      <c r="D172" s="349" t="s">
        <v>306</v>
      </c>
      <c r="E172" s="342"/>
      <c r="F172" s="2" t="s">
        <v>63</v>
      </c>
      <c r="G172" s="12" t="e">
        <f>#REF!</f>
        <v>#REF!</v>
      </c>
      <c r="H172" s="12" t="e">
        <f>#REF!</f>
        <v>#REF!</v>
      </c>
      <c r="I172" s="49" t="s">
        <v>554</v>
      </c>
      <c r="J172" s="12" t="e">
        <f>G172*AO172</f>
        <v>#REF!</v>
      </c>
      <c r="K172" s="12" t="e">
        <f>G172*AP172</f>
        <v>#REF!</v>
      </c>
      <c r="L172" s="12" t="e">
        <f>G172*H172</f>
        <v>#REF!</v>
      </c>
      <c r="M172" s="12" t="e">
        <f>L172*(1+BW172/100)</f>
        <v>#REF!</v>
      </c>
      <c r="N172" s="12">
        <v>4.2999999999999999E-4</v>
      </c>
      <c r="O172" s="12" t="e">
        <f>G172*N172</f>
        <v>#REF!</v>
      </c>
      <c r="P172" s="50" t="s">
        <v>605</v>
      </c>
      <c r="Z172" s="12">
        <f>IF(AQ172="5",BJ172,0)</f>
        <v>0</v>
      </c>
      <c r="AB172" s="12">
        <f>IF(AQ172="1",BH172,0)</f>
        <v>0</v>
      </c>
      <c r="AC172" s="12">
        <f>IF(AQ172="1",BI172,0)</f>
        <v>0</v>
      </c>
      <c r="AD172" s="12" t="e">
        <f>IF(AQ172="7",BH172,0)</f>
        <v>#REF!</v>
      </c>
      <c r="AE172" s="12" t="e">
        <f>IF(AQ172="7",BI172,0)</f>
        <v>#REF!</v>
      </c>
      <c r="AF172" s="12">
        <f>IF(AQ172="2",BH172,0)</f>
        <v>0</v>
      </c>
      <c r="AG172" s="12">
        <f>IF(AQ172="2",BI172,0)</f>
        <v>0</v>
      </c>
      <c r="AH172" s="12">
        <f>IF(AQ172="0",BJ172,0)</f>
        <v>0</v>
      </c>
      <c r="AI172" s="10" t="s">
        <v>663</v>
      </c>
      <c r="AJ172" s="12">
        <f>IF(AN172=0,L172,0)</f>
        <v>0</v>
      </c>
      <c r="AK172" s="12">
        <f>IF(AN172=12,L172,0)</f>
        <v>0</v>
      </c>
      <c r="AL172" s="12" t="e">
        <f>IF(AN172=21,L172,0)</f>
        <v>#REF!</v>
      </c>
      <c r="AN172" s="12">
        <v>21</v>
      </c>
      <c r="AO172" s="12" t="e">
        <f>H172*0.271764706</f>
        <v>#REF!</v>
      </c>
      <c r="AP172" s="12" t="e">
        <f>H172*(1-0.271764706)</f>
        <v>#REF!</v>
      </c>
      <c r="AQ172" s="49" t="s">
        <v>567</v>
      </c>
      <c r="AV172" s="12" t="e">
        <f>AW172+AX172</f>
        <v>#REF!</v>
      </c>
      <c r="AW172" s="12" t="e">
        <f>G172*AO172</f>
        <v>#REF!</v>
      </c>
      <c r="AX172" s="12" t="e">
        <f>G172*AP172</f>
        <v>#REF!</v>
      </c>
      <c r="AY172" s="49" t="s">
        <v>588</v>
      </c>
      <c r="AZ172" s="49" t="s">
        <v>685</v>
      </c>
      <c r="BA172" s="10" t="s">
        <v>666</v>
      </c>
      <c r="BC172" s="12" t="e">
        <f>AW172+AX172</f>
        <v>#REF!</v>
      </c>
      <c r="BD172" s="12" t="e">
        <f>H172/(100-BE172)*100</f>
        <v>#REF!</v>
      </c>
      <c r="BE172" s="12">
        <v>0</v>
      </c>
      <c r="BF172" s="12" t="e">
        <f>O172</f>
        <v>#REF!</v>
      </c>
      <c r="BH172" s="12" t="e">
        <f>G172*AO172</f>
        <v>#REF!</v>
      </c>
      <c r="BI172" s="12" t="e">
        <f>G172*AP172</f>
        <v>#REF!</v>
      </c>
      <c r="BJ172" s="12" t="e">
        <f>G172*H172</f>
        <v>#REF!</v>
      </c>
      <c r="BK172" s="12"/>
      <c r="BL172" s="12">
        <v>733</v>
      </c>
      <c r="BW172" s="12" t="str">
        <f>I172</f>
        <v>21</v>
      </c>
      <c r="BX172" s="3" t="s">
        <v>306</v>
      </c>
    </row>
    <row r="173" spans="1:76" ht="89.25">
      <c r="A173" s="51"/>
      <c r="C173" s="13" t="s">
        <v>117</v>
      </c>
      <c r="D173" s="363" t="s">
        <v>296</v>
      </c>
      <c r="E173" s="364"/>
      <c r="F173" s="364"/>
      <c r="G173" s="364"/>
      <c r="H173" s="364"/>
      <c r="I173" s="364"/>
      <c r="J173" s="364"/>
      <c r="K173" s="364"/>
      <c r="L173" s="364"/>
      <c r="M173" s="364"/>
      <c r="N173" s="364"/>
      <c r="O173" s="364"/>
      <c r="P173" s="365"/>
      <c r="BX173" s="14" t="s">
        <v>296</v>
      </c>
    </row>
    <row r="174" spans="1:76" ht="25.5">
      <c r="A174" s="1" t="s">
        <v>693</v>
      </c>
      <c r="B174" s="2" t="s">
        <v>663</v>
      </c>
      <c r="C174" s="2" t="s">
        <v>307</v>
      </c>
      <c r="D174" s="349" t="s">
        <v>308</v>
      </c>
      <c r="E174" s="342"/>
      <c r="F174" s="2" t="s">
        <v>63</v>
      </c>
      <c r="G174" s="12" t="e">
        <f>#REF!</f>
        <v>#REF!</v>
      </c>
      <c r="H174" s="12" t="e">
        <f>#REF!</f>
        <v>#REF!</v>
      </c>
      <c r="I174" s="49" t="s">
        <v>554</v>
      </c>
      <c r="J174" s="12" t="e">
        <f>G174*AO174</f>
        <v>#REF!</v>
      </c>
      <c r="K174" s="12" t="e">
        <f>G174*AP174</f>
        <v>#REF!</v>
      </c>
      <c r="L174" s="12" t="e">
        <f>G174*H174</f>
        <v>#REF!</v>
      </c>
      <c r="M174" s="12" t="e">
        <f>L174*(1+BW174/100)</f>
        <v>#REF!</v>
      </c>
      <c r="N174" s="12">
        <v>1.34E-3</v>
      </c>
      <c r="O174" s="12" t="e">
        <f>G174*N174</f>
        <v>#REF!</v>
      </c>
      <c r="P174" s="50" t="s">
        <v>605</v>
      </c>
      <c r="Z174" s="12">
        <f>IF(AQ174="5",BJ174,0)</f>
        <v>0</v>
      </c>
      <c r="AB174" s="12">
        <f>IF(AQ174="1",BH174,0)</f>
        <v>0</v>
      </c>
      <c r="AC174" s="12">
        <f>IF(AQ174="1",BI174,0)</f>
        <v>0</v>
      </c>
      <c r="AD174" s="12" t="e">
        <f>IF(AQ174="7",BH174,0)</f>
        <v>#REF!</v>
      </c>
      <c r="AE174" s="12" t="e">
        <f>IF(AQ174="7",BI174,0)</f>
        <v>#REF!</v>
      </c>
      <c r="AF174" s="12">
        <f>IF(AQ174="2",BH174,0)</f>
        <v>0</v>
      </c>
      <c r="AG174" s="12">
        <f>IF(AQ174="2",BI174,0)</f>
        <v>0</v>
      </c>
      <c r="AH174" s="12">
        <f>IF(AQ174="0",BJ174,0)</f>
        <v>0</v>
      </c>
      <c r="AI174" s="10" t="s">
        <v>663</v>
      </c>
      <c r="AJ174" s="12">
        <f>IF(AN174=0,L174,0)</f>
        <v>0</v>
      </c>
      <c r="AK174" s="12">
        <f>IF(AN174=12,L174,0)</f>
        <v>0</v>
      </c>
      <c r="AL174" s="12" t="e">
        <f>IF(AN174=21,L174,0)</f>
        <v>#REF!</v>
      </c>
      <c r="AN174" s="12">
        <v>21</v>
      </c>
      <c r="AO174" s="12" t="e">
        <f>H174*1</f>
        <v>#REF!</v>
      </c>
      <c r="AP174" s="12" t="e">
        <f>H174*(1-1)</f>
        <v>#REF!</v>
      </c>
      <c r="AQ174" s="49" t="s">
        <v>567</v>
      </c>
      <c r="AV174" s="12" t="e">
        <f>AW174+AX174</f>
        <v>#REF!</v>
      </c>
      <c r="AW174" s="12" t="e">
        <f>G174*AO174</f>
        <v>#REF!</v>
      </c>
      <c r="AX174" s="12" t="e">
        <f>G174*AP174</f>
        <v>#REF!</v>
      </c>
      <c r="AY174" s="49" t="s">
        <v>588</v>
      </c>
      <c r="AZ174" s="49" t="s">
        <v>685</v>
      </c>
      <c r="BA174" s="10" t="s">
        <v>666</v>
      </c>
      <c r="BC174" s="12" t="e">
        <f>AW174+AX174</f>
        <v>#REF!</v>
      </c>
      <c r="BD174" s="12" t="e">
        <f>H174/(100-BE174)*100</f>
        <v>#REF!</v>
      </c>
      <c r="BE174" s="12">
        <v>0</v>
      </c>
      <c r="BF174" s="12" t="e">
        <f>O174</f>
        <v>#REF!</v>
      </c>
      <c r="BH174" s="12" t="e">
        <f>G174*AO174</f>
        <v>#REF!</v>
      </c>
      <c r="BI174" s="12" t="e">
        <f>G174*AP174</f>
        <v>#REF!</v>
      </c>
      <c r="BJ174" s="12" t="e">
        <f>G174*H174</f>
        <v>#REF!</v>
      </c>
      <c r="BK174" s="12"/>
      <c r="BL174" s="12">
        <v>733</v>
      </c>
      <c r="BW174" s="12" t="str">
        <f>I174</f>
        <v>21</v>
      </c>
      <c r="BX174" s="3" t="s">
        <v>308</v>
      </c>
    </row>
    <row r="175" spans="1:76" ht="63.75">
      <c r="A175" s="51"/>
      <c r="C175" s="13" t="s">
        <v>117</v>
      </c>
      <c r="D175" s="363" t="s">
        <v>309</v>
      </c>
      <c r="E175" s="364"/>
      <c r="F175" s="364"/>
      <c r="G175" s="364"/>
      <c r="H175" s="364"/>
      <c r="I175" s="364"/>
      <c r="J175" s="364"/>
      <c r="K175" s="364"/>
      <c r="L175" s="364"/>
      <c r="M175" s="364"/>
      <c r="N175" s="364"/>
      <c r="O175" s="364"/>
      <c r="P175" s="365"/>
      <c r="BX175" s="14" t="s">
        <v>309</v>
      </c>
    </row>
    <row r="176" spans="1:76" ht="25.5">
      <c r="A176" s="1" t="s">
        <v>694</v>
      </c>
      <c r="B176" s="2" t="s">
        <v>663</v>
      </c>
      <c r="C176" s="2" t="s">
        <v>310</v>
      </c>
      <c r="D176" s="349" t="s">
        <v>311</v>
      </c>
      <c r="E176" s="342"/>
      <c r="F176" s="2" t="s">
        <v>63</v>
      </c>
      <c r="G176" s="12" t="e">
        <f>#REF!</f>
        <v>#REF!</v>
      </c>
      <c r="H176" s="12" t="e">
        <f>#REF!</f>
        <v>#REF!</v>
      </c>
      <c r="I176" s="49" t="s">
        <v>554</v>
      </c>
      <c r="J176" s="12" t="e">
        <f>G176*AO176</f>
        <v>#REF!</v>
      </c>
      <c r="K176" s="12" t="e">
        <f>G176*AP176</f>
        <v>#REF!</v>
      </c>
      <c r="L176" s="12" t="e">
        <f>G176*H176</f>
        <v>#REF!</v>
      </c>
      <c r="M176" s="12" t="e">
        <f>L176*(1+BW176/100)</f>
        <v>#REF!</v>
      </c>
      <c r="N176" s="12">
        <v>3.6000000000000002E-4</v>
      </c>
      <c r="O176" s="12" t="e">
        <f>G176*N176</f>
        <v>#REF!</v>
      </c>
      <c r="P176" s="50" t="s">
        <v>605</v>
      </c>
      <c r="Z176" s="12">
        <f>IF(AQ176="5",BJ176,0)</f>
        <v>0</v>
      </c>
      <c r="AB176" s="12">
        <f>IF(AQ176="1",BH176,0)</f>
        <v>0</v>
      </c>
      <c r="AC176" s="12">
        <f>IF(AQ176="1",BI176,0)</f>
        <v>0</v>
      </c>
      <c r="AD176" s="12" t="e">
        <f>IF(AQ176="7",BH176,0)</f>
        <v>#REF!</v>
      </c>
      <c r="AE176" s="12" t="e">
        <f>IF(AQ176="7",BI176,0)</f>
        <v>#REF!</v>
      </c>
      <c r="AF176" s="12">
        <f>IF(AQ176="2",BH176,0)</f>
        <v>0</v>
      </c>
      <c r="AG176" s="12">
        <f>IF(AQ176="2",BI176,0)</f>
        <v>0</v>
      </c>
      <c r="AH176" s="12">
        <f>IF(AQ176="0",BJ176,0)</f>
        <v>0</v>
      </c>
      <c r="AI176" s="10" t="s">
        <v>663</v>
      </c>
      <c r="AJ176" s="12">
        <f>IF(AN176=0,L176,0)</f>
        <v>0</v>
      </c>
      <c r="AK176" s="12">
        <f>IF(AN176=12,L176,0)</f>
        <v>0</v>
      </c>
      <c r="AL176" s="12" t="e">
        <f>IF(AN176=21,L176,0)</f>
        <v>#REF!</v>
      </c>
      <c r="AN176" s="12">
        <v>21</v>
      </c>
      <c r="AO176" s="12" t="e">
        <f>H176*0.245414462</f>
        <v>#REF!</v>
      </c>
      <c r="AP176" s="12" t="e">
        <f>H176*(1-0.245414462)</f>
        <v>#REF!</v>
      </c>
      <c r="AQ176" s="49" t="s">
        <v>567</v>
      </c>
      <c r="AV176" s="12" t="e">
        <f>AW176+AX176</f>
        <v>#REF!</v>
      </c>
      <c r="AW176" s="12" t="e">
        <f>G176*AO176</f>
        <v>#REF!</v>
      </c>
      <c r="AX176" s="12" t="e">
        <f>G176*AP176</f>
        <v>#REF!</v>
      </c>
      <c r="AY176" s="49" t="s">
        <v>588</v>
      </c>
      <c r="AZ176" s="49" t="s">
        <v>685</v>
      </c>
      <c r="BA176" s="10" t="s">
        <v>666</v>
      </c>
      <c r="BC176" s="12" t="e">
        <f>AW176+AX176</f>
        <v>#REF!</v>
      </c>
      <c r="BD176" s="12" t="e">
        <f>H176/(100-BE176)*100</f>
        <v>#REF!</v>
      </c>
      <c r="BE176" s="12">
        <v>0</v>
      </c>
      <c r="BF176" s="12" t="e">
        <f>O176</f>
        <v>#REF!</v>
      </c>
      <c r="BH176" s="12" t="e">
        <f>G176*AO176</f>
        <v>#REF!</v>
      </c>
      <c r="BI176" s="12" t="e">
        <f>G176*AP176</f>
        <v>#REF!</v>
      </c>
      <c r="BJ176" s="12" t="e">
        <f>G176*H176</f>
        <v>#REF!</v>
      </c>
      <c r="BK176" s="12"/>
      <c r="BL176" s="12">
        <v>733</v>
      </c>
      <c r="BW176" s="12" t="str">
        <f>I176</f>
        <v>21</v>
      </c>
      <c r="BX176" s="3" t="s">
        <v>311</v>
      </c>
    </row>
    <row r="177" spans="1:76" ht="89.25">
      <c r="A177" s="51"/>
      <c r="C177" s="13" t="s">
        <v>117</v>
      </c>
      <c r="D177" s="363" t="s">
        <v>296</v>
      </c>
      <c r="E177" s="364"/>
      <c r="F177" s="364"/>
      <c r="G177" s="364"/>
      <c r="H177" s="364"/>
      <c r="I177" s="364"/>
      <c r="J177" s="364"/>
      <c r="K177" s="364"/>
      <c r="L177" s="364"/>
      <c r="M177" s="364"/>
      <c r="N177" s="364"/>
      <c r="O177" s="364"/>
      <c r="P177" s="365"/>
      <c r="BX177" s="14" t="s">
        <v>296</v>
      </c>
    </row>
    <row r="178" spans="1:76" ht="25.5">
      <c r="A178" s="1" t="s">
        <v>695</v>
      </c>
      <c r="B178" s="2" t="s">
        <v>663</v>
      </c>
      <c r="C178" s="2" t="s">
        <v>312</v>
      </c>
      <c r="D178" s="349" t="s">
        <v>313</v>
      </c>
      <c r="E178" s="342"/>
      <c r="F178" s="2" t="s">
        <v>63</v>
      </c>
      <c r="G178" s="12" t="e">
        <f>#REF!</f>
        <v>#REF!</v>
      </c>
      <c r="H178" s="12" t="e">
        <f>#REF!</f>
        <v>#REF!</v>
      </c>
      <c r="I178" s="49" t="s">
        <v>554</v>
      </c>
      <c r="J178" s="12" t="e">
        <f>G178*AO178</f>
        <v>#REF!</v>
      </c>
      <c r="K178" s="12" t="e">
        <f>G178*AP178</f>
        <v>#REF!</v>
      </c>
      <c r="L178" s="12" t="e">
        <f>G178*H178</f>
        <v>#REF!</v>
      </c>
      <c r="M178" s="12" t="e">
        <f>L178*(1+BW178/100)</f>
        <v>#REF!</v>
      </c>
      <c r="N178" s="12">
        <v>1.3500000000000001E-3</v>
      </c>
      <c r="O178" s="12" t="e">
        <f>G178*N178</f>
        <v>#REF!</v>
      </c>
      <c r="P178" s="50" t="s">
        <v>605</v>
      </c>
      <c r="Z178" s="12">
        <f>IF(AQ178="5",BJ178,0)</f>
        <v>0</v>
      </c>
      <c r="AB178" s="12">
        <f>IF(AQ178="1",BH178,0)</f>
        <v>0</v>
      </c>
      <c r="AC178" s="12">
        <f>IF(AQ178="1",BI178,0)</f>
        <v>0</v>
      </c>
      <c r="AD178" s="12" t="e">
        <f>IF(AQ178="7",BH178,0)</f>
        <v>#REF!</v>
      </c>
      <c r="AE178" s="12" t="e">
        <f>IF(AQ178="7",BI178,0)</f>
        <v>#REF!</v>
      </c>
      <c r="AF178" s="12">
        <f>IF(AQ178="2",BH178,0)</f>
        <v>0</v>
      </c>
      <c r="AG178" s="12">
        <f>IF(AQ178="2",BI178,0)</f>
        <v>0</v>
      </c>
      <c r="AH178" s="12">
        <f>IF(AQ178="0",BJ178,0)</f>
        <v>0</v>
      </c>
      <c r="AI178" s="10" t="s">
        <v>663</v>
      </c>
      <c r="AJ178" s="12">
        <f>IF(AN178=0,L178,0)</f>
        <v>0</v>
      </c>
      <c r="AK178" s="12">
        <f>IF(AN178=12,L178,0)</f>
        <v>0</v>
      </c>
      <c r="AL178" s="12" t="e">
        <f>IF(AN178=21,L178,0)</f>
        <v>#REF!</v>
      </c>
      <c r="AN178" s="12">
        <v>21</v>
      </c>
      <c r="AO178" s="12" t="e">
        <f>H178*1</f>
        <v>#REF!</v>
      </c>
      <c r="AP178" s="12" t="e">
        <f>H178*(1-1)</f>
        <v>#REF!</v>
      </c>
      <c r="AQ178" s="49" t="s">
        <v>567</v>
      </c>
      <c r="AV178" s="12" t="e">
        <f>AW178+AX178</f>
        <v>#REF!</v>
      </c>
      <c r="AW178" s="12" t="e">
        <f>G178*AO178</f>
        <v>#REF!</v>
      </c>
      <c r="AX178" s="12" t="e">
        <f>G178*AP178</f>
        <v>#REF!</v>
      </c>
      <c r="AY178" s="49" t="s">
        <v>588</v>
      </c>
      <c r="AZ178" s="49" t="s">
        <v>685</v>
      </c>
      <c r="BA178" s="10" t="s">
        <v>666</v>
      </c>
      <c r="BC178" s="12" t="e">
        <f>AW178+AX178</f>
        <v>#REF!</v>
      </c>
      <c r="BD178" s="12" t="e">
        <f>H178/(100-BE178)*100</f>
        <v>#REF!</v>
      </c>
      <c r="BE178" s="12">
        <v>0</v>
      </c>
      <c r="BF178" s="12" t="e">
        <f>O178</f>
        <v>#REF!</v>
      </c>
      <c r="BH178" s="12" t="e">
        <f>G178*AO178</f>
        <v>#REF!</v>
      </c>
      <c r="BI178" s="12" t="e">
        <f>G178*AP178</f>
        <v>#REF!</v>
      </c>
      <c r="BJ178" s="12" t="e">
        <f>G178*H178</f>
        <v>#REF!</v>
      </c>
      <c r="BK178" s="12"/>
      <c r="BL178" s="12">
        <v>733</v>
      </c>
      <c r="BW178" s="12" t="str">
        <f>I178</f>
        <v>21</v>
      </c>
      <c r="BX178" s="3" t="s">
        <v>313</v>
      </c>
    </row>
    <row r="179" spans="1:76" ht="63.75">
      <c r="A179" s="51"/>
      <c r="C179" s="13" t="s">
        <v>117</v>
      </c>
      <c r="D179" s="363" t="s">
        <v>314</v>
      </c>
      <c r="E179" s="364"/>
      <c r="F179" s="364"/>
      <c r="G179" s="364"/>
      <c r="H179" s="364"/>
      <c r="I179" s="364"/>
      <c r="J179" s="364"/>
      <c r="K179" s="364"/>
      <c r="L179" s="364"/>
      <c r="M179" s="364"/>
      <c r="N179" s="364"/>
      <c r="O179" s="364"/>
      <c r="P179" s="365"/>
      <c r="BX179" s="14" t="s">
        <v>314</v>
      </c>
    </row>
    <row r="180" spans="1:76" ht="25.5">
      <c r="A180" s="1" t="s">
        <v>696</v>
      </c>
      <c r="B180" s="2" t="s">
        <v>663</v>
      </c>
      <c r="C180" s="2" t="s">
        <v>315</v>
      </c>
      <c r="D180" s="349" t="s">
        <v>316</v>
      </c>
      <c r="E180" s="342"/>
      <c r="F180" s="2" t="s">
        <v>63</v>
      </c>
      <c r="G180" s="12" t="e">
        <f>#REF!</f>
        <v>#REF!</v>
      </c>
      <c r="H180" s="12" t="e">
        <f>#REF!</f>
        <v>#REF!</v>
      </c>
      <c r="I180" s="49" t="s">
        <v>554</v>
      </c>
      <c r="J180" s="12" t="e">
        <f>G180*AO180</f>
        <v>#REF!</v>
      </c>
      <c r="K180" s="12" t="e">
        <f>G180*AP180</f>
        <v>#REF!</v>
      </c>
      <c r="L180" s="12" t="e">
        <f>G180*H180</f>
        <v>#REF!</v>
      </c>
      <c r="M180" s="12" t="e">
        <f>L180*(1+BW180/100)</f>
        <v>#REF!</v>
      </c>
      <c r="N180" s="12">
        <v>3.8000000000000002E-4</v>
      </c>
      <c r="O180" s="12" t="e">
        <f>G180*N180</f>
        <v>#REF!</v>
      </c>
      <c r="P180" s="50" t="s">
        <v>605</v>
      </c>
      <c r="Z180" s="12">
        <f>IF(AQ180="5",BJ180,0)</f>
        <v>0</v>
      </c>
      <c r="AB180" s="12">
        <f>IF(AQ180="1",BH180,0)</f>
        <v>0</v>
      </c>
      <c r="AC180" s="12">
        <f>IF(AQ180="1",BI180,0)</f>
        <v>0</v>
      </c>
      <c r="AD180" s="12" t="e">
        <f>IF(AQ180="7",BH180,0)</f>
        <v>#REF!</v>
      </c>
      <c r="AE180" s="12" t="e">
        <f>IF(AQ180="7",BI180,0)</f>
        <v>#REF!</v>
      </c>
      <c r="AF180" s="12">
        <f>IF(AQ180="2",BH180,0)</f>
        <v>0</v>
      </c>
      <c r="AG180" s="12">
        <f>IF(AQ180="2",BI180,0)</f>
        <v>0</v>
      </c>
      <c r="AH180" s="12">
        <f>IF(AQ180="0",BJ180,0)</f>
        <v>0</v>
      </c>
      <c r="AI180" s="10" t="s">
        <v>663</v>
      </c>
      <c r="AJ180" s="12">
        <f>IF(AN180=0,L180,0)</f>
        <v>0</v>
      </c>
      <c r="AK180" s="12">
        <f>IF(AN180=12,L180,0)</f>
        <v>0</v>
      </c>
      <c r="AL180" s="12" t="e">
        <f>IF(AN180=21,L180,0)</f>
        <v>#REF!</v>
      </c>
      <c r="AN180" s="12">
        <v>21</v>
      </c>
      <c r="AO180" s="12" t="e">
        <f>H180*0.276435811</f>
        <v>#REF!</v>
      </c>
      <c r="AP180" s="12" t="e">
        <f>H180*(1-0.276435811)</f>
        <v>#REF!</v>
      </c>
      <c r="AQ180" s="49" t="s">
        <v>567</v>
      </c>
      <c r="AV180" s="12" t="e">
        <f>AW180+AX180</f>
        <v>#REF!</v>
      </c>
      <c r="AW180" s="12" t="e">
        <f>G180*AO180</f>
        <v>#REF!</v>
      </c>
      <c r="AX180" s="12" t="e">
        <f>G180*AP180</f>
        <v>#REF!</v>
      </c>
      <c r="AY180" s="49" t="s">
        <v>588</v>
      </c>
      <c r="AZ180" s="49" t="s">
        <v>685</v>
      </c>
      <c r="BA180" s="10" t="s">
        <v>666</v>
      </c>
      <c r="BC180" s="12" t="e">
        <f>AW180+AX180</f>
        <v>#REF!</v>
      </c>
      <c r="BD180" s="12" t="e">
        <f>H180/(100-BE180)*100</f>
        <v>#REF!</v>
      </c>
      <c r="BE180" s="12">
        <v>0</v>
      </c>
      <c r="BF180" s="12" t="e">
        <f>O180</f>
        <v>#REF!</v>
      </c>
      <c r="BH180" s="12" t="e">
        <f>G180*AO180</f>
        <v>#REF!</v>
      </c>
      <c r="BI180" s="12" t="e">
        <f>G180*AP180</f>
        <v>#REF!</v>
      </c>
      <c r="BJ180" s="12" t="e">
        <f>G180*H180</f>
        <v>#REF!</v>
      </c>
      <c r="BK180" s="12"/>
      <c r="BL180" s="12">
        <v>733</v>
      </c>
      <c r="BW180" s="12" t="str">
        <f>I180</f>
        <v>21</v>
      </c>
      <c r="BX180" s="3" t="s">
        <v>316</v>
      </c>
    </row>
    <row r="181" spans="1:76" ht="89.25">
      <c r="A181" s="51"/>
      <c r="C181" s="13" t="s">
        <v>117</v>
      </c>
      <c r="D181" s="363" t="s">
        <v>296</v>
      </c>
      <c r="E181" s="364"/>
      <c r="F181" s="364"/>
      <c r="G181" s="364"/>
      <c r="H181" s="364"/>
      <c r="I181" s="364"/>
      <c r="J181" s="364"/>
      <c r="K181" s="364"/>
      <c r="L181" s="364"/>
      <c r="M181" s="364"/>
      <c r="N181" s="364"/>
      <c r="O181" s="364"/>
      <c r="P181" s="365"/>
      <c r="BX181" s="14" t="s">
        <v>296</v>
      </c>
    </row>
    <row r="182" spans="1:76">
      <c r="A182" s="1" t="s">
        <v>697</v>
      </c>
      <c r="B182" s="2" t="s">
        <v>663</v>
      </c>
      <c r="C182" s="2" t="s">
        <v>317</v>
      </c>
      <c r="D182" s="349" t="s">
        <v>318</v>
      </c>
      <c r="E182" s="342"/>
      <c r="F182" s="2" t="s">
        <v>68</v>
      </c>
      <c r="G182" s="12" t="e">
        <f>#REF!</f>
        <v>#REF!</v>
      </c>
      <c r="H182" s="12" t="e">
        <f>#REF!</f>
        <v>#REF!</v>
      </c>
      <c r="I182" s="49" t="s">
        <v>554</v>
      </c>
      <c r="J182" s="12" t="e">
        <f>G182*AO182</f>
        <v>#REF!</v>
      </c>
      <c r="K182" s="12" t="e">
        <f>G182*AP182</f>
        <v>#REF!</v>
      </c>
      <c r="L182" s="12" t="e">
        <f>G182*H182</f>
        <v>#REF!</v>
      </c>
      <c r="M182" s="12" t="e">
        <f>L182*(1+BW182/100)</f>
        <v>#REF!</v>
      </c>
      <c r="N182" s="12">
        <v>5.5999999999999995E-4</v>
      </c>
      <c r="O182" s="12" t="e">
        <f>G182*N182</f>
        <v>#REF!</v>
      </c>
      <c r="P182" s="50" t="s">
        <v>577</v>
      </c>
      <c r="Z182" s="12">
        <f>IF(AQ182="5",BJ182,0)</f>
        <v>0</v>
      </c>
      <c r="AB182" s="12">
        <f>IF(AQ182="1",BH182,0)</f>
        <v>0</v>
      </c>
      <c r="AC182" s="12">
        <f>IF(AQ182="1",BI182,0)</f>
        <v>0</v>
      </c>
      <c r="AD182" s="12" t="e">
        <f>IF(AQ182="7",BH182,0)</f>
        <v>#REF!</v>
      </c>
      <c r="AE182" s="12" t="e">
        <f>IF(AQ182="7",BI182,0)</f>
        <v>#REF!</v>
      </c>
      <c r="AF182" s="12">
        <f>IF(AQ182="2",BH182,0)</f>
        <v>0</v>
      </c>
      <c r="AG182" s="12">
        <f>IF(AQ182="2",BI182,0)</f>
        <v>0</v>
      </c>
      <c r="AH182" s="12">
        <f>IF(AQ182="0",BJ182,0)</f>
        <v>0</v>
      </c>
      <c r="AI182" s="10" t="s">
        <v>663</v>
      </c>
      <c r="AJ182" s="12">
        <f>IF(AN182=0,L182,0)</f>
        <v>0</v>
      </c>
      <c r="AK182" s="12">
        <f>IF(AN182=12,L182,0)</f>
        <v>0</v>
      </c>
      <c r="AL182" s="12" t="e">
        <f>IF(AN182=21,L182,0)</f>
        <v>#REF!</v>
      </c>
      <c r="AN182" s="12">
        <v>21</v>
      </c>
      <c r="AO182" s="12" t="e">
        <f>H182*0.173847134</f>
        <v>#REF!</v>
      </c>
      <c r="AP182" s="12" t="e">
        <f>H182*(1-0.173847134)</f>
        <v>#REF!</v>
      </c>
      <c r="AQ182" s="49" t="s">
        <v>567</v>
      </c>
      <c r="AV182" s="12" t="e">
        <f>AW182+AX182</f>
        <v>#REF!</v>
      </c>
      <c r="AW182" s="12" t="e">
        <f>G182*AO182</f>
        <v>#REF!</v>
      </c>
      <c r="AX182" s="12" t="e">
        <f>G182*AP182</f>
        <v>#REF!</v>
      </c>
      <c r="AY182" s="49" t="s">
        <v>588</v>
      </c>
      <c r="AZ182" s="49" t="s">
        <v>685</v>
      </c>
      <c r="BA182" s="10" t="s">
        <v>666</v>
      </c>
      <c r="BC182" s="12" t="e">
        <f>AW182+AX182</f>
        <v>#REF!</v>
      </c>
      <c r="BD182" s="12" t="e">
        <f>H182/(100-BE182)*100</f>
        <v>#REF!</v>
      </c>
      <c r="BE182" s="12">
        <v>0</v>
      </c>
      <c r="BF182" s="12" t="e">
        <f>O182</f>
        <v>#REF!</v>
      </c>
      <c r="BH182" s="12" t="e">
        <f>G182*AO182</f>
        <v>#REF!</v>
      </c>
      <c r="BI182" s="12" t="e">
        <f>G182*AP182</f>
        <v>#REF!</v>
      </c>
      <c r="BJ182" s="12" t="e">
        <f>G182*H182</f>
        <v>#REF!</v>
      </c>
      <c r="BK182" s="12"/>
      <c r="BL182" s="12">
        <v>733</v>
      </c>
      <c r="BW182" s="12" t="str">
        <f>I182</f>
        <v>21</v>
      </c>
      <c r="BX182" s="3" t="s">
        <v>318</v>
      </c>
    </row>
    <row r="183" spans="1:76">
      <c r="A183" s="1" t="s">
        <v>698</v>
      </c>
      <c r="B183" s="2" t="s">
        <v>663</v>
      </c>
      <c r="C183" s="2" t="s">
        <v>319</v>
      </c>
      <c r="D183" s="349" t="s">
        <v>320</v>
      </c>
      <c r="E183" s="342"/>
      <c r="F183" s="2" t="s">
        <v>63</v>
      </c>
      <c r="G183" s="12" t="e">
        <f>#REF!</f>
        <v>#REF!</v>
      </c>
      <c r="H183" s="12" t="e">
        <f>#REF!</f>
        <v>#REF!</v>
      </c>
      <c r="I183" s="49" t="s">
        <v>554</v>
      </c>
      <c r="J183" s="12" t="e">
        <f>G183*AO183</f>
        <v>#REF!</v>
      </c>
      <c r="K183" s="12" t="e">
        <f>G183*AP183</f>
        <v>#REF!</v>
      </c>
      <c r="L183" s="12" t="e">
        <f>G183*H183</f>
        <v>#REF!</v>
      </c>
      <c r="M183" s="12" t="e">
        <f>L183*(1+BW183/100)</f>
        <v>#REF!</v>
      </c>
      <c r="N183" s="12">
        <v>7.3999999999999999E-4</v>
      </c>
      <c r="O183" s="12" t="e">
        <f>G183*N183</f>
        <v>#REF!</v>
      </c>
      <c r="P183" s="50" t="s">
        <v>605</v>
      </c>
      <c r="Z183" s="12">
        <f>IF(AQ183="5",BJ183,0)</f>
        <v>0</v>
      </c>
      <c r="AB183" s="12">
        <f>IF(AQ183="1",BH183,0)</f>
        <v>0</v>
      </c>
      <c r="AC183" s="12">
        <f>IF(AQ183="1",BI183,0)</f>
        <v>0</v>
      </c>
      <c r="AD183" s="12" t="e">
        <f>IF(AQ183="7",BH183,0)</f>
        <v>#REF!</v>
      </c>
      <c r="AE183" s="12" t="e">
        <f>IF(AQ183="7",BI183,0)</f>
        <v>#REF!</v>
      </c>
      <c r="AF183" s="12">
        <f>IF(AQ183="2",BH183,0)</f>
        <v>0</v>
      </c>
      <c r="AG183" s="12">
        <f>IF(AQ183="2",BI183,0)</f>
        <v>0</v>
      </c>
      <c r="AH183" s="12">
        <f>IF(AQ183="0",BJ183,0)</f>
        <v>0</v>
      </c>
      <c r="AI183" s="10" t="s">
        <v>663</v>
      </c>
      <c r="AJ183" s="12">
        <f>IF(AN183=0,L183,0)</f>
        <v>0</v>
      </c>
      <c r="AK183" s="12">
        <f>IF(AN183=12,L183,0)</f>
        <v>0</v>
      </c>
      <c r="AL183" s="12" t="e">
        <f>IF(AN183=21,L183,0)</f>
        <v>#REF!</v>
      </c>
      <c r="AN183" s="12">
        <v>21</v>
      </c>
      <c r="AO183" s="12" t="e">
        <f>H183*0.638894787</f>
        <v>#REF!</v>
      </c>
      <c r="AP183" s="12" t="e">
        <f>H183*(1-0.638894787)</f>
        <v>#REF!</v>
      </c>
      <c r="AQ183" s="49" t="s">
        <v>567</v>
      </c>
      <c r="AV183" s="12" t="e">
        <f>AW183+AX183</f>
        <v>#REF!</v>
      </c>
      <c r="AW183" s="12" t="e">
        <f>G183*AO183</f>
        <v>#REF!</v>
      </c>
      <c r="AX183" s="12" t="e">
        <f>G183*AP183</f>
        <v>#REF!</v>
      </c>
      <c r="AY183" s="49" t="s">
        <v>588</v>
      </c>
      <c r="AZ183" s="49" t="s">
        <v>685</v>
      </c>
      <c r="BA183" s="10" t="s">
        <v>666</v>
      </c>
      <c r="BC183" s="12" t="e">
        <f>AW183+AX183</f>
        <v>#REF!</v>
      </c>
      <c r="BD183" s="12" t="e">
        <f>H183/(100-BE183)*100</f>
        <v>#REF!</v>
      </c>
      <c r="BE183" s="12">
        <v>0</v>
      </c>
      <c r="BF183" s="12" t="e">
        <f>O183</f>
        <v>#REF!</v>
      </c>
      <c r="BH183" s="12" t="e">
        <f>G183*AO183</f>
        <v>#REF!</v>
      </c>
      <c r="BI183" s="12" t="e">
        <f>G183*AP183</f>
        <v>#REF!</v>
      </c>
      <c r="BJ183" s="12" t="e">
        <f>G183*H183</f>
        <v>#REF!</v>
      </c>
      <c r="BK183" s="12"/>
      <c r="BL183" s="12">
        <v>733</v>
      </c>
      <c r="BW183" s="12" t="str">
        <f>I183</f>
        <v>21</v>
      </c>
      <c r="BX183" s="3" t="s">
        <v>320</v>
      </c>
    </row>
    <row r="184" spans="1:76" ht="38.25">
      <c r="A184" s="51"/>
      <c r="C184" s="13" t="s">
        <v>117</v>
      </c>
      <c r="D184" s="363" t="s">
        <v>321</v>
      </c>
      <c r="E184" s="364"/>
      <c r="F184" s="364"/>
      <c r="G184" s="364"/>
      <c r="H184" s="364"/>
      <c r="I184" s="364"/>
      <c r="J184" s="364"/>
      <c r="K184" s="364"/>
      <c r="L184" s="364"/>
      <c r="M184" s="364"/>
      <c r="N184" s="364"/>
      <c r="O184" s="364"/>
      <c r="P184" s="365"/>
      <c r="BX184" s="14" t="s">
        <v>321</v>
      </c>
    </row>
    <row r="185" spans="1:76">
      <c r="A185" s="1" t="s">
        <v>699</v>
      </c>
      <c r="B185" s="2" t="s">
        <v>663</v>
      </c>
      <c r="C185" s="2" t="s">
        <v>322</v>
      </c>
      <c r="D185" s="349" t="s">
        <v>323</v>
      </c>
      <c r="E185" s="342"/>
      <c r="F185" s="2" t="s">
        <v>68</v>
      </c>
      <c r="G185" s="12" t="e">
        <f>#REF!</f>
        <v>#REF!</v>
      </c>
      <c r="H185" s="12" t="e">
        <f>#REF!</f>
        <v>#REF!</v>
      </c>
      <c r="I185" s="49" t="s">
        <v>554</v>
      </c>
      <c r="J185" s="12" t="e">
        <f>G185*AO185</f>
        <v>#REF!</v>
      </c>
      <c r="K185" s="12" t="e">
        <f>G185*AP185</f>
        <v>#REF!</v>
      </c>
      <c r="L185" s="12" t="e">
        <f>G185*H185</f>
        <v>#REF!</v>
      </c>
      <c r="M185" s="12" t="e">
        <f>L185*(1+BW185/100)</f>
        <v>#REF!</v>
      </c>
      <c r="N185" s="12">
        <v>2.9600000000000001E-2</v>
      </c>
      <c r="O185" s="12" t="e">
        <f>G185*N185</f>
        <v>#REF!</v>
      </c>
      <c r="P185" s="50" t="s">
        <v>605</v>
      </c>
      <c r="Z185" s="12">
        <f>IF(AQ185="5",BJ185,0)</f>
        <v>0</v>
      </c>
      <c r="AB185" s="12">
        <f>IF(AQ185="1",BH185,0)</f>
        <v>0</v>
      </c>
      <c r="AC185" s="12">
        <f>IF(AQ185="1",BI185,0)</f>
        <v>0</v>
      </c>
      <c r="AD185" s="12" t="e">
        <f>IF(AQ185="7",BH185,0)</f>
        <v>#REF!</v>
      </c>
      <c r="AE185" s="12" t="e">
        <f>IF(AQ185="7",BI185,0)</f>
        <v>#REF!</v>
      </c>
      <c r="AF185" s="12">
        <f>IF(AQ185="2",BH185,0)</f>
        <v>0</v>
      </c>
      <c r="AG185" s="12">
        <f>IF(AQ185="2",BI185,0)</f>
        <v>0</v>
      </c>
      <c r="AH185" s="12">
        <f>IF(AQ185="0",BJ185,0)</f>
        <v>0</v>
      </c>
      <c r="AI185" s="10" t="s">
        <v>663</v>
      </c>
      <c r="AJ185" s="12">
        <f>IF(AN185=0,L185,0)</f>
        <v>0</v>
      </c>
      <c r="AK185" s="12">
        <f>IF(AN185=12,L185,0)</f>
        <v>0</v>
      </c>
      <c r="AL185" s="12" t="e">
        <f>IF(AN185=21,L185,0)</f>
        <v>#REF!</v>
      </c>
      <c r="AN185" s="12">
        <v>21</v>
      </c>
      <c r="AO185" s="12" t="e">
        <f>H185*1</f>
        <v>#REF!</v>
      </c>
      <c r="AP185" s="12" t="e">
        <f>H185*(1-1)</f>
        <v>#REF!</v>
      </c>
      <c r="AQ185" s="49" t="s">
        <v>567</v>
      </c>
      <c r="AV185" s="12" t="e">
        <f>AW185+AX185</f>
        <v>#REF!</v>
      </c>
      <c r="AW185" s="12" t="e">
        <f>G185*AO185</f>
        <v>#REF!</v>
      </c>
      <c r="AX185" s="12" t="e">
        <f>G185*AP185</f>
        <v>#REF!</v>
      </c>
      <c r="AY185" s="49" t="s">
        <v>588</v>
      </c>
      <c r="AZ185" s="49" t="s">
        <v>685</v>
      </c>
      <c r="BA185" s="10" t="s">
        <v>666</v>
      </c>
      <c r="BC185" s="12" t="e">
        <f>AW185+AX185</f>
        <v>#REF!</v>
      </c>
      <c r="BD185" s="12" t="e">
        <f>H185/(100-BE185)*100</f>
        <v>#REF!</v>
      </c>
      <c r="BE185" s="12">
        <v>0</v>
      </c>
      <c r="BF185" s="12" t="e">
        <f>O185</f>
        <v>#REF!</v>
      </c>
      <c r="BH185" s="12" t="e">
        <f>G185*AO185</f>
        <v>#REF!</v>
      </c>
      <c r="BI185" s="12" t="e">
        <f>G185*AP185</f>
        <v>#REF!</v>
      </c>
      <c r="BJ185" s="12" t="e">
        <f>G185*H185</f>
        <v>#REF!</v>
      </c>
      <c r="BK185" s="12"/>
      <c r="BL185" s="12">
        <v>733</v>
      </c>
      <c r="BW185" s="12" t="str">
        <f>I185</f>
        <v>21</v>
      </c>
      <c r="BX185" s="3" t="s">
        <v>323</v>
      </c>
    </row>
    <row r="186" spans="1:76" ht="38.25">
      <c r="A186" s="51"/>
      <c r="C186" s="13" t="s">
        <v>117</v>
      </c>
      <c r="D186" s="363" t="s">
        <v>324</v>
      </c>
      <c r="E186" s="364"/>
      <c r="F186" s="364"/>
      <c r="G186" s="364"/>
      <c r="H186" s="364"/>
      <c r="I186" s="364"/>
      <c r="J186" s="364"/>
      <c r="K186" s="364"/>
      <c r="L186" s="364"/>
      <c r="M186" s="364"/>
      <c r="N186" s="364"/>
      <c r="O186" s="364"/>
      <c r="P186" s="365"/>
      <c r="BX186" s="14" t="s">
        <v>324</v>
      </c>
    </row>
    <row r="187" spans="1:76">
      <c r="A187" s="46" t="s">
        <v>21</v>
      </c>
      <c r="B187" s="9" t="s">
        <v>663</v>
      </c>
      <c r="C187" s="9" t="s">
        <v>325</v>
      </c>
      <c r="D187" s="359" t="s">
        <v>326</v>
      </c>
      <c r="E187" s="360"/>
      <c r="F187" s="47" t="s">
        <v>20</v>
      </c>
      <c r="G187" s="47" t="s">
        <v>20</v>
      </c>
      <c r="H187" s="47" t="s">
        <v>20</v>
      </c>
      <c r="I187" s="47" t="s">
        <v>20</v>
      </c>
      <c r="J187" s="11" t="e">
        <f>SUM(J188:J192)</f>
        <v>#REF!</v>
      </c>
      <c r="K187" s="11" t="e">
        <f>SUM(K188:K192)</f>
        <v>#REF!</v>
      </c>
      <c r="L187" s="11" t="e">
        <f>SUM(L188:L192)</f>
        <v>#REF!</v>
      </c>
      <c r="M187" s="11" t="e">
        <f>SUM(M188:M192)</f>
        <v>#REF!</v>
      </c>
      <c r="N187" s="10" t="s">
        <v>21</v>
      </c>
      <c r="O187" s="11" t="e">
        <f>SUM(O188:O192)</f>
        <v>#REF!</v>
      </c>
      <c r="P187" s="48" t="s">
        <v>21</v>
      </c>
      <c r="AI187" s="10" t="s">
        <v>663</v>
      </c>
      <c r="AS187" s="11">
        <f>SUM(AJ188:AJ192)</f>
        <v>0</v>
      </c>
      <c r="AT187" s="11">
        <f>SUM(AK188:AK192)</f>
        <v>0</v>
      </c>
      <c r="AU187" s="11" t="e">
        <f>SUM(AL188:AL192)</f>
        <v>#REF!</v>
      </c>
    </row>
    <row r="188" spans="1:76">
      <c r="A188" s="1" t="s">
        <v>700</v>
      </c>
      <c r="B188" s="2" t="s">
        <v>663</v>
      </c>
      <c r="C188" s="2" t="s">
        <v>327</v>
      </c>
      <c r="D188" s="349" t="s">
        <v>328</v>
      </c>
      <c r="E188" s="342"/>
      <c r="F188" s="2" t="s">
        <v>63</v>
      </c>
      <c r="G188" s="12" t="e">
        <f>#REF!</f>
        <v>#REF!</v>
      </c>
      <c r="H188" s="12" t="e">
        <f>#REF!</f>
        <v>#REF!</v>
      </c>
      <c r="I188" s="49" t="s">
        <v>554</v>
      </c>
      <c r="J188" s="12" t="e">
        <f>G188*AO188</f>
        <v>#REF!</v>
      </c>
      <c r="K188" s="12" t="e">
        <f>G188*AP188</f>
        <v>#REF!</v>
      </c>
      <c r="L188" s="12" t="e">
        <f>G188*H188</f>
        <v>#REF!</v>
      </c>
      <c r="M188" s="12" t="e">
        <f>L188*(1+BW188/100)</f>
        <v>#REF!</v>
      </c>
      <c r="N188" s="12">
        <v>0</v>
      </c>
      <c r="O188" s="12" t="e">
        <f>G188*N188</f>
        <v>#REF!</v>
      </c>
      <c r="P188" s="50" t="s">
        <v>577</v>
      </c>
      <c r="Z188" s="12">
        <f>IF(AQ188="5",BJ188,0)</f>
        <v>0</v>
      </c>
      <c r="AB188" s="12" t="e">
        <f>IF(AQ188="1",BH188,0)</f>
        <v>#REF!</v>
      </c>
      <c r="AC188" s="12" t="e">
        <f>IF(AQ188="1",BI188,0)</f>
        <v>#REF!</v>
      </c>
      <c r="AD188" s="12">
        <f>IF(AQ188="7",BH188,0)</f>
        <v>0</v>
      </c>
      <c r="AE188" s="12">
        <f>IF(AQ188="7",BI188,0)</f>
        <v>0</v>
      </c>
      <c r="AF188" s="12">
        <f>IF(AQ188="2",BH188,0)</f>
        <v>0</v>
      </c>
      <c r="AG188" s="12">
        <f>IF(AQ188="2",BI188,0)</f>
        <v>0</v>
      </c>
      <c r="AH188" s="12">
        <f>IF(AQ188="0",BJ188,0)</f>
        <v>0</v>
      </c>
      <c r="AI188" s="10" t="s">
        <v>663</v>
      </c>
      <c r="AJ188" s="12">
        <f>IF(AN188=0,L188,0)</f>
        <v>0</v>
      </c>
      <c r="AK188" s="12">
        <f>IF(AN188=12,L188,0)</f>
        <v>0</v>
      </c>
      <c r="AL188" s="12" t="e">
        <f>IF(AN188=21,L188,0)</f>
        <v>#REF!</v>
      </c>
      <c r="AN188" s="12">
        <v>21</v>
      </c>
      <c r="AO188" s="12" t="e">
        <f>H188*0</f>
        <v>#REF!</v>
      </c>
      <c r="AP188" s="12" t="e">
        <f>H188*(1-0)</f>
        <v>#REF!</v>
      </c>
      <c r="AQ188" s="49" t="s">
        <v>553</v>
      </c>
      <c r="AV188" s="12" t="e">
        <f>AW188+AX188</f>
        <v>#REF!</v>
      </c>
      <c r="AW188" s="12" t="e">
        <f>G188*AO188</f>
        <v>#REF!</v>
      </c>
      <c r="AX188" s="12" t="e">
        <f>G188*AP188</f>
        <v>#REF!</v>
      </c>
      <c r="AY188" s="49" t="s">
        <v>701</v>
      </c>
      <c r="AZ188" s="49" t="s">
        <v>702</v>
      </c>
      <c r="BA188" s="10" t="s">
        <v>666</v>
      </c>
      <c r="BC188" s="12" t="e">
        <f>AW188+AX188</f>
        <v>#REF!</v>
      </c>
      <c r="BD188" s="12" t="e">
        <f>H188/(100-BE188)*100</f>
        <v>#REF!</v>
      </c>
      <c r="BE188" s="12">
        <v>0</v>
      </c>
      <c r="BF188" s="12" t="e">
        <f>O188</f>
        <v>#REF!</v>
      </c>
      <c r="BH188" s="12" t="e">
        <f>G188*AO188</f>
        <v>#REF!</v>
      </c>
      <c r="BI188" s="12" t="e">
        <f>G188*AP188</f>
        <v>#REF!</v>
      </c>
      <c r="BJ188" s="12" t="e">
        <f>G188*H188</f>
        <v>#REF!</v>
      </c>
      <c r="BK188" s="12"/>
      <c r="BL188" s="12">
        <v>87</v>
      </c>
      <c r="BW188" s="12" t="str">
        <f>I188</f>
        <v>21</v>
      </c>
      <c r="BX188" s="3" t="s">
        <v>328</v>
      </c>
    </row>
    <row r="189" spans="1:76" ht="51">
      <c r="A189" s="51"/>
      <c r="C189" s="13" t="s">
        <v>117</v>
      </c>
      <c r="D189" s="363" t="s">
        <v>329</v>
      </c>
      <c r="E189" s="364"/>
      <c r="F189" s="364"/>
      <c r="G189" s="364"/>
      <c r="H189" s="364"/>
      <c r="I189" s="364"/>
      <c r="J189" s="364"/>
      <c r="K189" s="364"/>
      <c r="L189" s="364"/>
      <c r="M189" s="364"/>
      <c r="N189" s="364"/>
      <c r="O189" s="364"/>
      <c r="P189" s="365"/>
      <c r="BX189" s="14" t="s">
        <v>329</v>
      </c>
    </row>
    <row r="190" spans="1:76">
      <c r="A190" s="1" t="s">
        <v>703</v>
      </c>
      <c r="B190" s="2" t="s">
        <v>663</v>
      </c>
      <c r="C190" s="2" t="s">
        <v>330</v>
      </c>
      <c r="D190" s="349" t="s">
        <v>331</v>
      </c>
      <c r="E190" s="342"/>
      <c r="F190" s="2" t="s">
        <v>63</v>
      </c>
      <c r="G190" s="12" t="e">
        <f>#REF!</f>
        <v>#REF!</v>
      </c>
      <c r="H190" s="12" t="e">
        <f>#REF!</f>
        <v>#REF!</v>
      </c>
      <c r="I190" s="49" t="s">
        <v>554</v>
      </c>
      <c r="J190" s="12" t="e">
        <f>G190*AO190</f>
        <v>#REF!</v>
      </c>
      <c r="K190" s="12" t="e">
        <f>G190*AP190</f>
        <v>#REF!</v>
      </c>
      <c r="L190" s="12" t="e">
        <f>G190*H190</f>
        <v>#REF!</v>
      </c>
      <c r="M190" s="12" t="e">
        <f>L190*(1+BW190/100)</f>
        <v>#REF!</v>
      </c>
      <c r="N190" s="12">
        <v>2.7E-4</v>
      </c>
      <c r="O190" s="12" t="e">
        <f>G190*N190</f>
        <v>#REF!</v>
      </c>
      <c r="P190" s="50" t="s">
        <v>605</v>
      </c>
      <c r="Z190" s="12">
        <f>IF(AQ190="5",BJ190,0)</f>
        <v>0</v>
      </c>
      <c r="AB190" s="12" t="e">
        <f>IF(AQ190="1",BH190,0)</f>
        <v>#REF!</v>
      </c>
      <c r="AC190" s="12" t="e">
        <f>IF(AQ190="1",BI190,0)</f>
        <v>#REF!</v>
      </c>
      <c r="AD190" s="12">
        <f>IF(AQ190="7",BH190,0)</f>
        <v>0</v>
      </c>
      <c r="AE190" s="12">
        <f>IF(AQ190="7",BI190,0)</f>
        <v>0</v>
      </c>
      <c r="AF190" s="12">
        <f>IF(AQ190="2",BH190,0)</f>
        <v>0</v>
      </c>
      <c r="AG190" s="12">
        <f>IF(AQ190="2",BI190,0)</f>
        <v>0</v>
      </c>
      <c r="AH190" s="12">
        <f>IF(AQ190="0",BJ190,0)</f>
        <v>0</v>
      </c>
      <c r="AI190" s="10" t="s">
        <v>663</v>
      </c>
      <c r="AJ190" s="12">
        <f>IF(AN190=0,L190,0)</f>
        <v>0</v>
      </c>
      <c r="AK190" s="12">
        <f>IF(AN190=12,L190,0)</f>
        <v>0</v>
      </c>
      <c r="AL190" s="12" t="e">
        <f>IF(AN190=21,L190,0)</f>
        <v>#REF!</v>
      </c>
      <c r="AN190" s="12">
        <v>21</v>
      </c>
      <c r="AO190" s="12" t="e">
        <f>H190*1</f>
        <v>#REF!</v>
      </c>
      <c r="AP190" s="12" t="e">
        <f>H190*(1-1)</f>
        <v>#REF!</v>
      </c>
      <c r="AQ190" s="49" t="s">
        <v>553</v>
      </c>
      <c r="AV190" s="12" t="e">
        <f>AW190+AX190</f>
        <v>#REF!</v>
      </c>
      <c r="AW190" s="12" t="e">
        <f>G190*AO190</f>
        <v>#REF!</v>
      </c>
      <c r="AX190" s="12" t="e">
        <f>G190*AP190</f>
        <v>#REF!</v>
      </c>
      <c r="AY190" s="49" t="s">
        <v>701</v>
      </c>
      <c r="AZ190" s="49" t="s">
        <v>702</v>
      </c>
      <c r="BA190" s="10" t="s">
        <v>666</v>
      </c>
      <c r="BC190" s="12" t="e">
        <f>AW190+AX190</f>
        <v>#REF!</v>
      </c>
      <c r="BD190" s="12" t="e">
        <f>H190/(100-BE190)*100</f>
        <v>#REF!</v>
      </c>
      <c r="BE190" s="12">
        <v>0</v>
      </c>
      <c r="BF190" s="12" t="e">
        <f>O190</f>
        <v>#REF!</v>
      </c>
      <c r="BH190" s="12" t="e">
        <f>G190*AO190</f>
        <v>#REF!</v>
      </c>
      <c r="BI190" s="12" t="e">
        <f>G190*AP190</f>
        <v>#REF!</v>
      </c>
      <c r="BJ190" s="12" t="e">
        <f>G190*H190</f>
        <v>#REF!</v>
      </c>
      <c r="BK190" s="12"/>
      <c r="BL190" s="12">
        <v>87</v>
      </c>
      <c r="BW190" s="12" t="str">
        <f>I190</f>
        <v>21</v>
      </c>
      <c r="BX190" s="3" t="s">
        <v>331</v>
      </c>
    </row>
    <row r="191" spans="1:76" ht="51">
      <c r="A191" s="51"/>
      <c r="C191" s="13" t="s">
        <v>117</v>
      </c>
      <c r="D191" s="363" t="s">
        <v>332</v>
      </c>
      <c r="E191" s="364"/>
      <c r="F191" s="364"/>
      <c r="G191" s="364"/>
      <c r="H191" s="364"/>
      <c r="I191" s="364"/>
      <c r="J191" s="364"/>
      <c r="K191" s="364"/>
      <c r="L191" s="364"/>
      <c r="M191" s="364"/>
      <c r="N191" s="364"/>
      <c r="O191" s="364"/>
      <c r="P191" s="365"/>
      <c r="BX191" s="14" t="s">
        <v>332</v>
      </c>
    </row>
    <row r="192" spans="1:76">
      <c r="A192" s="1" t="s">
        <v>704</v>
      </c>
      <c r="B192" s="2" t="s">
        <v>663</v>
      </c>
      <c r="C192" s="2" t="s">
        <v>333</v>
      </c>
      <c r="D192" s="349" t="s">
        <v>334</v>
      </c>
      <c r="E192" s="342"/>
      <c r="F192" s="2" t="s">
        <v>68</v>
      </c>
      <c r="G192" s="12" t="e">
        <f>#REF!</f>
        <v>#REF!</v>
      </c>
      <c r="H192" s="12" t="e">
        <f>#REF!</f>
        <v>#REF!</v>
      </c>
      <c r="I192" s="49" t="s">
        <v>554</v>
      </c>
      <c r="J192" s="12" t="e">
        <f>G192*AO192</f>
        <v>#REF!</v>
      </c>
      <c r="K192" s="12" t="e">
        <f>G192*AP192</f>
        <v>#REF!</v>
      </c>
      <c r="L192" s="12" t="e">
        <f>G192*H192</f>
        <v>#REF!</v>
      </c>
      <c r="M192" s="12" t="e">
        <f>L192*(1+BW192/100)</f>
        <v>#REF!</v>
      </c>
      <c r="N192" s="12">
        <v>0</v>
      </c>
      <c r="O192" s="12" t="e">
        <f>G192*N192</f>
        <v>#REF!</v>
      </c>
      <c r="P192" s="50" t="s">
        <v>605</v>
      </c>
      <c r="Z192" s="12">
        <f>IF(AQ192="5",BJ192,0)</f>
        <v>0</v>
      </c>
      <c r="AB192" s="12" t="e">
        <f>IF(AQ192="1",BH192,0)</f>
        <v>#REF!</v>
      </c>
      <c r="AC192" s="12" t="e">
        <f>IF(AQ192="1",BI192,0)</f>
        <v>#REF!</v>
      </c>
      <c r="AD192" s="12">
        <f>IF(AQ192="7",BH192,0)</f>
        <v>0</v>
      </c>
      <c r="AE192" s="12">
        <f>IF(AQ192="7",BI192,0)</f>
        <v>0</v>
      </c>
      <c r="AF192" s="12">
        <f>IF(AQ192="2",BH192,0)</f>
        <v>0</v>
      </c>
      <c r="AG192" s="12">
        <f>IF(AQ192="2",BI192,0)</f>
        <v>0</v>
      </c>
      <c r="AH192" s="12">
        <f>IF(AQ192="0",BJ192,0)</f>
        <v>0</v>
      </c>
      <c r="AI192" s="10" t="s">
        <v>663</v>
      </c>
      <c r="AJ192" s="12">
        <f>IF(AN192=0,L192,0)</f>
        <v>0</v>
      </c>
      <c r="AK192" s="12">
        <f>IF(AN192=12,L192,0)</f>
        <v>0</v>
      </c>
      <c r="AL192" s="12" t="e">
        <f>IF(AN192=21,L192,0)</f>
        <v>#REF!</v>
      </c>
      <c r="AN192" s="12">
        <v>21</v>
      </c>
      <c r="AO192" s="12" t="e">
        <f>H192*1</f>
        <v>#REF!</v>
      </c>
      <c r="AP192" s="12" t="e">
        <f>H192*(1-1)</f>
        <v>#REF!</v>
      </c>
      <c r="AQ192" s="49" t="s">
        <v>553</v>
      </c>
      <c r="AV192" s="12" t="e">
        <f>AW192+AX192</f>
        <v>#REF!</v>
      </c>
      <c r="AW192" s="12" t="e">
        <f>G192*AO192</f>
        <v>#REF!</v>
      </c>
      <c r="AX192" s="12" t="e">
        <f>G192*AP192</f>
        <v>#REF!</v>
      </c>
      <c r="AY192" s="49" t="s">
        <v>701</v>
      </c>
      <c r="AZ192" s="49" t="s">
        <v>702</v>
      </c>
      <c r="BA192" s="10" t="s">
        <v>666</v>
      </c>
      <c r="BC192" s="12" t="e">
        <f>AW192+AX192</f>
        <v>#REF!</v>
      </c>
      <c r="BD192" s="12" t="e">
        <f>H192/(100-BE192)*100</f>
        <v>#REF!</v>
      </c>
      <c r="BE192" s="12">
        <v>0</v>
      </c>
      <c r="BF192" s="12" t="e">
        <f>O192</f>
        <v>#REF!</v>
      </c>
      <c r="BH192" s="12" t="e">
        <f>G192*AO192</f>
        <v>#REF!</v>
      </c>
      <c r="BI192" s="12" t="e">
        <f>G192*AP192</f>
        <v>#REF!</v>
      </c>
      <c r="BJ192" s="12" t="e">
        <f>G192*H192</f>
        <v>#REF!</v>
      </c>
      <c r="BK192" s="12"/>
      <c r="BL192" s="12">
        <v>87</v>
      </c>
      <c r="BW192" s="12" t="str">
        <f>I192</f>
        <v>21</v>
      </c>
      <c r="BX192" s="3" t="s">
        <v>334</v>
      </c>
    </row>
    <row r="193" spans="1:76">
      <c r="A193" s="51"/>
      <c r="C193" s="13" t="s">
        <v>117</v>
      </c>
      <c r="D193" s="363" t="s">
        <v>335</v>
      </c>
      <c r="E193" s="364"/>
      <c r="F193" s="364"/>
      <c r="G193" s="364"/>
      <c r="H193" s="364"/>
      <c r="I193" s="364"/>
      <c r="J193" s="364"/>
      <c r="K193" s="364"/>
      <c r="L193" s="364"/>
      <c r="M193" s="364"/>
      <c r="N193" s="364"/>
      <c r="O193" s="364"/>
      <c r="P193" s="365"/>
      <c r="BX193" s="14" t="s">
        <v>335</v>
      </c>
    </row>
    <row r="194" spans="1:76">
      <c r="A194" s="46" t="s">
        <v>21</v>
      </c>
      <c r="B194" s="9" t="s">
        <v>663</v>
      </c>
      <c r="C194" s="9" t="s">
        <v>336</v>
      </c>
      <c r="D194" s="359" t="s">
        <v>337</v>
      </c>
      <c r="E194" s="360"/>
      <c r="F194" s="47" t="s">
        <v>20</v>
      </c>
      <c r="G194" s="47" t="s">
        <v>20</v>
      </c>
      <c r="H194" s="47" t="s">
        <v>20</v>
      </c>
      <c r="I194" s="47" t="s">
        <v>20</v>
      </c>
      <c r="J194" s="11" t="e">
        <f>SUM(J195:J200)</f>
        <v>#REF!</v>
      </c>
      <c r="K194" s="11" t="e">
        <f>SUM(K195:K200)</f>
        <v>#REF!</v>
      </c>
      <c r="L194" s="11" t="e">
        <f>SUM(L195:L200)</f>
        <v>#REF!</v>
      </c>
      <c r="M194" s="11" t="e">
        <f>SUM(M195:M200)</f>
        <v>#REF!</v>
      </c>
      <c r="N194" s="10" t="s">
        <v>21</v>
      </c>
      <c r="O194" s="11" t="e">
        <f>SUM(O195:O200)</f>
        <v>#REF!</v>
      </c>
      <c r="P194" s="48" t="s">
        <v>21</v>
      </c>
      <c r="AI194" s="10" t="s">
        <v>663</v>
      </c>
      <c r="AS194" s="11">
        <f>SUM(AJ195:AJ200)</f>
        <v>0</v>
      </c>
      <c r="AT194" s="11">
        <f>SUM(AK195:AK200)</f>
        <v>0</v>
      </c>
      <c r="AU194" s="11" t="e">
        <f>SUM(AL195:AL200)</f>
        <v>#REF!</v>
      </c>
    </row>
    <row r="195" spans="1:76">
      <c r="A195" s="1" t="s">
        <v>705</v>
      </c>
      <c r="B195" s="2" t="s">
        <v>663</v>
      </c>
      <c r="C195" s="2" t="s">
        <v>338</v>
      </c>
      <c r="D195" s="349" t="s">
        <v>339</v>
      </c>
      <c r="E195" s="342"/>
      <c r="F195" s="2" t="s">
        <v>63</v>
      </c>
      <c r="G195" s="12" t="e">
        <f>#REF!</f>
        <v>#REF!</v>
      </c>
      <c r="H195" s="12" t="e">
        <f>#REF!</f>
        <v>#REF!</v>
      </c>
      <c r="I195" s="49" t="s">
        <v>554</v>
      </c>
      <c r="J195" s="12" t="e">
        <f>G195*AO195</f>
        <v>#REF!</v>
      </c>
      <c r="K195" s="12" t="e">
        <f>G195*AP195</f>
        <v>#REF!</v>
      </c>
      <c r="L195" s="12" t="e">
        <f>G195*H195</f>
        <v>#REF!</v>
      </c>
      <c r="M195" s="12" t="e">
        <f>L195*(1+BW195/100)</f>
        <v>#REF!</v>
      </c>
      <c r="N195" s="12">
        <v>2.1360000000000001E-2</v>
      </c>
      <c r="O195" s="12" t="e">
        <f>G195*N195</f>
        <v>#REF!</v>
      </c>
      <c r="P195" s="50" t="s">
        <v>577</v>
      </c>
      <c r="Z195" s="12">
        <f>IF(AQ195="5",BJ195,0)</f>
        <v>0</v>
      </c>
      <c r="AB195" s="12" t="e">
        <f>IF(AQ195="1",BH195,0)</f>
        <v>#REF!</v>
      </c>
      <c r="AC195" s="12" t="e">
        <f>IF(AQ195="1",BI195,0)</f>
        <v>#REF!</v>
      </c>
      <c r="AD195" s="12">
        <f>IF(AQ195="7",BH195,0)</f>
        <v>0</v>
      </c>
      <c r="AE195" s="12">
        <f>IF(AQ195="7",BI195,0)</f>
        <v>0</v>
      </c>
      <c r="AF195" s="12">
        <f>IF(AQ195="2",BH195,0)</f>
        <v>0</v>
      </c>
      <c r="AG195" s="12">
        <f>IF(AQ195="2",BI195,0)</f>
        <v>0</v>
      </c>
      <c r="AH195" s="12">
        <f>IF(AQ195="0",BJ195,0)</f>
        <v>0</v>
      </c>
      <c r="AI195" s="10" t="s">
        <v>663</v>
      </c>
      <c r="AJ195" s="12">
        <f>IF(AN195=0,L195,0)</f>
        <v>0</v>
      </c>
      <c r="AK195" s="12">
        <f>IF(AN195=12,L195,0)</f>
        <v>0</v>
      </c>
      <c r="AL195" s="12" t="e">
        <f>IF(AN195=21,L195,0)</f>
        <v>#REF!</v>
      </c>
      <c r="AN195" s="12">
        <v>21</v>
      </c>
      <c r="AO195" s="12" t="e">
        <f>H195*0.702746827</f>
        <v>#REF!</v>
      </c>
      <c r="AP195" s="12" t="e">
        <f>H195*(1-0.702746827)</f>
        <v>#REF!</v>
      </c>
      <c r="AQ195" s="49" t="s">
        <v>553</v>
      </c>
      <c r="AV195" s="12" t="e">
        <f>AW195+AX195</f>
        <v>#REF!</v>
      </c>
      <c r="AW195" s="12" t="e">
        <f>G195*AO195</f>
        <v>#REF!</v>
      </c>
      <c r="AX195" s="12" t="e">
        <f>G195*AP195</f>
        <v>#REF!</v>
      </c>
      <c r="AY195" s="49" t="s">
        <v>706</v>
      </c>
      <c r="AZ195" s="49" t="s">
        <v>702</v>
      </c>
      <c r="BA195" s="10" t="s">
        <v>666</v>
      </c>
      <c r="BC195" s="12" t="e">
        <f>AW195+AX195</f>
        <v>#REF!</v>
      </c>
      <c r="BD195" s="12" t="e">
        <f>H195/(100-BE195)*100</f>
        <v>#REF!</v>
      </c>
      <c r="BE195" s="12">
        <v>0</v>
      </c>
      <c r="BF195" s="12" t="e">
        <f>O195</f>
        <v>#REF!</v>
      </c>
      <c r="BH195" s="12" t="e">
        <f>G195*AO195</f>
        <v>#REF!</v>
      </c>
      <c r="BI195" s="12" t="e">
        <f>G195*AP195</f>
        <v>#REF!</v>
      </c>
      <c r="BJ195" s="12" t="e">
        <f>G195*H195</f>
        <v>#REF!</v>
      </c>
      <c r="BK195" s="12"/>
      <c r="BL195" s="12">
        <v>89</v>
      </c>
      <c r="BW195" s="12" t="str">
        <f>I195</f>
        <v>21</v>
      </c>
      <c r="BX195" s="3" t="s">
        <v>339</v>
      </c>
    </row>
    <row r="196" spans="1:76">
      <c r="A196" s="51"/>
      <c r="C196" s="13" t="s">
        <v>117</v>
      </c>
      <c r="D196" s="363" t="s">
        <v>340</v>
      </c>
      <c r="E196" s="364"/>
      <c r="F196" s="364"/>
      <c r="G196" s="364"/>
      <c r="H196" s="364"/>
      <c r="I196" s="364"/>
      <c r="J196" s="364"/>
      <c r="K196" s="364"/>
      <c r="L196" s="364"/>
      <c r="M196" s="364"/>
      <c r="N196" s="364"/>
      <c r="O196" s="364"/>
      <c r="P196" s="365"/>
      <c r="BX196" s="14" t="s">
        <v>340</v>
      </c>
    </row>
    <row r="197" spans="1:76">
      <c r="A197" s="1" t="s">
        <v>707</v>
      </c>
      <c r="B197" s="2" t="s">
        <v>663</v>
      </c>
      <c r="C197" s="2" t="s">
        <v>341</v>
      </c>
      <c r="D197" s="349" t="s">
        <v>342</v>
      </c>
      <c r="E197" s="342"/>
      <c r="F197" s="2" t="s">
        <v>68</v>
      </c>
      <c r="G197" s="12" t="e">
        <f>#REF!</f>
        <v>#REF!</v>
      </c>
      <c r="H197" s="12" t="e">
        <f>#REF!</f>
        <v>#REF!</v>
      </c>
      <c r="I197" s="49" t="s">
        <v>554</v>
      </c>
      <c r="J197" s="12" t="e">
        <f>G197*AO197</f>
        <v>#REF!</v>
      </c>
      <c r="K197" s="12" t="e">
        <f>G197*AP197</f>
        <v>#REF!</v>
      </c>
      <c r="L197" s="12" t="e">
        <f>G197*H197</f>
        <v>#REF!</v>
      </c>
      <c r="M197" s="12" t="e">
        <f>L197*(1+BW197/100)</f>
        <v>#REF!</v>
      </c>
      <c r="N197" s="12">
        <v>4.7620000000000003E-2</v>
      </c>
      <c r="O197" s="12" t="e">
        <f>G197*N197</f>
        <v>#REF!</v>
      </c>
      <c r="P197" s="50" t="s">
        <v>577</v>
      </c>
      <c r="Z197" s="12">
        <f>IF(AQ197="5",BJ197,0)</f>
        <v>0</v>
      </c>
      <c r="AB197" s="12" t="e">
        <f>IF(AQ197="1",BH197,0)</f>
        <v>#REF!</v>
      </c>
      <c r="AC197" s="12" t="e">
        <f>IF(AQ197="1",BI197,0)</f>
        <v>#REF!</v>
      </c>
      <c r="AD197" s="12">
        <f>IF(AQ197="7",BH197,0)</f>
        <v>0</v>
      </c>
      <c r="AE197" s="12">
        <f>IF(AQ197="7",BI197,0)</f>
        <v>0</v>
      </c>
      <c r="AF197" s="12">
        <f>IF(AQ197="2",BH197,0)</f>
        <v>0</v>
      </c>
      <c r="AG197" s="12">
        <f>IF(AQ197="2",BI197,0)</f>
        <v>0</v>
      </c>
      <c r="AH197" s="12">
        <f>IF(AQ197="0",BJ197,0)</f>
        <v>0</v>
      </c>
      <c r="AI197" s="10" t="s">
        <v>663</v>
      </c>
      <c r="AJ197" s="12">
        <f>IF(AN197=0,L197,0)</f>
        <v>0</v>
      </c>
      <c r="AK197" s="12">
        <f>IF(AN197=12,L197,0)</f>
        <v>0</v>
      </c>
      <c r="AL197" s="12" t="e">
        <f>IF(AN197=21,L197,0)</f>
        <v>#REF!</v>
      </c>
      <c r="AN197" s="12">
        <v>21</v>
      </c>
      <c r="AO197" s="12" t="e">
        <f>H197*0.90482</f>
        <v>#REF!</v>
      </c>
      <c r="AP197" s="12" t="e">
        <f>H197*(1-0.90482)</f>
        <v>#REF!</v>
      </c>
      <c r="AQ197" s="49" t="s">
        <v>553</v>
      </c>
      <c r="AV197" s="12" t="e">
        <f>AW197+AX197</f>
        <v>#REF!</v>
      </c>
      <c r="AW197" s="12" t="e">
        <f>G197*AO197</f>
        <v>#REF!</v>
      </c>
      <c r="AX197" s="12" t="e">
        <f>G197*AP197</f>
        <v>#REF!</v>
      </c>
      <c r="AY197" s="49" t="s">
        <v>706</v>
      </c>
      <c r="AZ197" s="49" t="s">
        <v>702</v>
      </c>
      <c r="BA197" s="10" t="s">
        <v>666</v>
      </c>
      <c r="BC197" s="12" t="e">
        <f>AW197+AX197</f>
        <v>#REF!</v>
      </c>
      <c r="BD197" s="12" t="e">
        <f>H197/(100-BE197)*100</f>
        <v>#REF!</v>
      </c>
      <c r="BE197" s="12">
        <v>0</v>
      </c>
      <c r="BF197" s="12" t="e">
        <f>O197</f>
        <v>#REF!</v>
      </c>
      <c r="BH197" s="12" t="e">
        <f>G197*AO197</f>
        <v>#REF!</v>
      </c>
      <c r="BI197" s="12" t="e">
        <f>G197*AP197</f>
        <v>#REF!</v>
      </c>
      <c r="BJ197" s="12" t="e">
        <f>G197*H197</f>
        <v>#REF!</v>
      </c>
      <c r="BK197" s="12"/>
      <c r="BL197" s="12">
        <v>89</v>
      </c>
      <c r="BW197" s="12" t="str">
        <f>I197</f>
        <v>21</v>
      </c>
      <c r="BX197" s="3" t="s">
        <v>342</v>
      </c>
    </row>
    <row r="198" spans="1:76" ht="51">
      <c r="A198" s="51"/>
      <c r="C198" s="13" t="s">
        <v>117</v>
      </c>
      <c r="D198" s="363" t="s">
        <v>343</v>
      </c>
      <c r="E198" s="364"/>
      <c r="F198" s="364"/>
      <c r="G198" s="364"/>
      <c r="H198" s="364"/>
      <c r="I198" s="364"/>
      <c r="J198" s="364"/>
      <c r="K198" s="364"/>
      <c r="L198" s="364"/>
      <c r="M198" s="364"/>
      <c r="N198" s="364"/>
      <c r="O198" s="364"/>
      <c r="P198" s="365"/>
      <c r="BX198" s="14" t="s">
        <v>343</v>
      </c>
    </row>
    <row r="199" spans="1:76">
      <c r="A199" s="1" t="s">
        <v>708</v>
      </c>
      <c r="B199" s="2" t="s">
        <v>663</v>
      </c>
      <c r="C199" s="2" t="s">
        <v>344</v>
      </c>
      <c r="D199" s="349" t="s">
        <v>345</v>
      </c>
      <c r="E199" s="342"/>
      <c r="F199" s="2" t="s">
        <v>63</v>
      </c>
      <c r="G199" s="12" t="e">
        <f>#REF!</f>
        <v>#REF!</v>
      </c>
      <c r="H199" s="12" t="e">
        <f>#REF!</f>
        <v>#REF!</v>
      </c>
      <c r="I199" s="49" t="s">
        <v>554</v>
      </c>
      <c r="J199" s="12" t="e">
        <f>G199*AO199</f>
        <v>#REF!</v>
      </c>
      <c r="K199" s="12" t="e">
        <f>G199*AP199</f>
        <v>#REF!</v>
      </c>
      <c r="L199" s="12" t="e">
        <f>G199*H199</f>
        <v>#REF!</v>
      </c>
      <c r="M199" s="12" t="e">
        <f>L199*(1+BW199/100)</f>
        <v>#REF!</v>
      </c>
      <c r="N199" s="12">
        <v>0</v>
      </c>
      <c r="O199" s="12" t="e">
        <f>G199*N199</f>
        <v>#REF!</v>
      </c>
      <c r="P199" s="50" t="s">
        <v>605</v>
      </c>
      <c r="Z199" s="12">
        <f>IF(AQ199="5",BJ199,0)</f>
        <v>0</v>
      </c>
      <c r="AB199" s="12" t="e">
        <f>IF(AQ199="1",BH199,0)</f>
        <v>#REF!</v>
      </c>
      <c r="AC199" s="12" t="e">
        <f>IF(AQ199="1",BI199,0)</f>
        <v>#REF!</v>
      </c>
      <c r="AD199" s="12">
        <f>IF(AQ199="7",BH199,0)</f>
        <v>0</v>
      </c>
      <c r="AE199" s="12">
        <f>IF(AQ199="7",BI199,0)</f>
        <v>0</v>
      </c>
      <c r="AF199" s="12">
        <f>IF(AQ199="2",BH199,0)</f>
        <v>0</v>
      </c>
      <c r="AG199" s="12">
        <f>IF(AQ199="2",BI199,0)</f>
        <v>0</v>
      </c>
      <c r="AH199" s="12">
        <f>IF(AQ199="0",BJ199,0)</f>
        <v>0</v>
      </c>
      <c r="AI199" s="10" t="s">
        <v>663</v>
      </c>
      <c r="AJ199" s="12">
        <f>IF(AN199=0,L199,0)</f>
        <v>0</v>
      </c>
      <c r="AK199" s="12">
        <f>IF(AN199=12,L199,0)</f>
        <v>0</v>
      </c>
      <c r="AL199" s="12" t="e">
        <f>IF(AN199=21,L199,0)</f>
        <v>#REF!</v>
      </c>
      <c r="AN199" s="12">
        <v>21</v>
      </c>
      <c r="AO199" s="12" t="e">
        <f>H199*0.353992183</f>
        <v>#REF!</v>
      </c>
      <c r="AP199" s="12" t="e">
        <f>H199*(1-0.353992183)</f>
        <v>#REF!</v>
      </c>
      <c r="AQ199" s="49" t="s">
        <v>553</v>
      </c>
      <c r="AV199" s="12" t="e">
        <f>AW199+AX199</f>
        <v>#REF!</v>
      </c>
      <c r="AW199" s="12" t="e">
        <f>G199*AO199</f>
        <v>#REF!</v>
      </c>
      <c r="AX199" s="12" t="e">
        <f>G199*AP199</f>
        <v>#REF!</v>
      </c>
      <c r="AY199" s="49" t="s">
        <v>706</v>
      </c>
      <c r="AZ199" s="49" t="s">
        <v>702</v>
      </c>
      <c r="BA199" s="10" t="s">
        <v>666</v>
      </c>
      <c r="BC199" s="12" t="e">
        <f>AW199+AX199</f>
        <v>#REF!</v>
      </c>
      <c r="BD199" s="12" t="e">
        <f>H199/(100-BE199)*100</f>
        <v>#REF!</v>
      </c>
      <c r="BE199" s="12">
        <v>0</v>
      </c>
      <c r="BF199" s="12" t="e">
        <f>O199</f>
        <v>#REF!</v>
      </c>
      <c r="BH199" s="12" t="e">
        <f>G199*AO199</f>
        <v>#REF!</v>
      </c>
      <c r="BI199" s="12" t="e">
        <f>G199*AP199</f>
        <v>#REF!</v>
      </c>
      <c r="BJ199" s="12" t="e">
        <f>G199*H199</f>
        <v>#REF!</v>
      </c>
      <c r="BK199" s="12"/>
      <c r="BL199" s="12">
        <v>89</v>
      </c>
      <c r="BW199" s="12" t="str">
        <f>I199</f>
        <v>21</v>
      </c>
      <c r="BX199" s="3" t="s">
        <v>345</v>
      </c>
    </row>
    <row r="200" spans="1:76">
      <c r="A200" s="1" t="s">
        <v>709</v>
      </c>
      <c r="B200" s="2" t="s">
        <v>663</v>
      </c>
      <c r="C200" s="2" t="s">
        <v>346</v>
      </c>
      <c r="D200" s="349" t="s">
        <v>347</v>
      </c>
      <c r="E200" s="342"/>
      <c r="F200" s="2" t="s">
        <v>63</v>
      </c>
      <c r="G200" s="12" t="e">
        <f>#REF!</f>
        <v>#REF!</v>
      </c>
      <c r="H200" s="12" t="e">
        <f>#REF!</f>
        <v>#REF!</v>
      </c>
      <c r="I200" s="49" t="s">
        <v>554</v>
      </c>
      <c r="J200" s="12" t="e">
        <f>G200*AO200</f>
        <v>#REF!</v>
      </c>
      <c r="K200" s="12" t="e">
        <f>G200*AP200</f>
        <v>#REF!</v>
      </c>
      <c r="L200" s="12" t="e">
        <f>G200*H200</f>
        <v>#REF!</v>
      </c>
      <c r="M200" s="12" t="e">
        <f>L200*(1+BW200/100)</f>
        <v>#REF!</v>
      </c>
      <c r="N200" s="12">
        <v>8.0000000000000007E-5</v>
      </c>
      <c r="O200" s="12" t="e">
        <f>G200*N200</f>
        <v>#REF!</v>
      </c>
      <c r="P200" s="50" t="s">
        <v>577</v>
      </c>
      <c r="Z200" s="12">
        <f>IF(AQ200="5",BJ200,0)</f>
        <v>0</v>
      </c>
      <c r="AB200" s="12" t="e">
        <f>IF(AQ200="1",BH200,0)</f>
        <v>#REF!</v>
      </c>
      <c r="AC200" s="12" t="e">
        <f>IF(AQ200="1",BI200,0)</f>
        <v>#REF!</v>
      </c>
      <c r="AD200" s="12">
        <f>IF(AQ200="7",BH200,0)</f>
        <v>0</v>
      </c>
      <c r="AE200" s="12">
        <f>IF(AQ200="7",BI200,0)</f>
        <v>0</v>
      </c>
      <c r="AF200" s="12">
        <f>IF(AQ200="2",BH200,0)</f>
        <v>0</v>
      </c>
      <c r="AG200" s="12">
        <f>IF(AQ200="2",BI200,0)</f>
        <v>0</v>
      </c>
      <c r="AH200" s="12">
        <f>IF(AQ200="0",BJ200,0)</f>
        <v>0</v>
      </c>
      <c r="AI200" s="10" t="s">
        <v>663</v>
      </c>
      <c r="AJ200" s="12">
        <f>IF(AN200=0,L200,0)</f>
        <v>0</v>
      </c>
      <c r="AK200" s="12">
        <f>IF(AN200=12,L200,0)</f>
        <v>0</v>
      </c>
      <c r="AL200" s="12" t="e">
        <f>IF(AN200=21,L200,0)</f>
        <v>#REF!</v>
      </c>
      <c r="AN200" s="12">
        <v>21</v>
      </c>
      <c r="AO200" s="12" t="e">
        <f>H200*0.610502283</f>
        <v>#REF!</v>
      </c>
      <c r="AP200" s="12" t="e">
        <f>H200*(1-0.610502283)</f>
        <v>#REF!</v>
      </c>
      <c r="AQ200" s="49" t="s">
        <v>553</v>
      </c>
      <c r="AV200" s="12" t="e">
        <f>AW200+AX200</f>
        <v>#REF!</v>
      </c>
      <c r="AW200" s="12" t="e">
        <f>G200*AO200</f>
        <v>#REF!</v>
      </c>
      <c r="AX200" s="12" t="e">
        <f>G200*AP200</f>
        <v>#REF!</v>
      </c>
      <c r="AY200" s="49" t="s">
        <v>706</v>
      </c>
      <c r="AZ200" s="49" t="s">
        <v>702</v>
      </c>
      <c r="BA200" s="10" t="s">
        <v>666</v>
      </c>
      <c r="BC200" s="12" t="e">
        <f>AW200+AX200</f>
        <v>#REF!</v>
      </c>
      <c r="BD200" s="12" t="e">
        <f>H200/(100-BE200)*100</f>
        <v>#REF!</v>
      </c>
      <c r="BE200" s="12">
        <v>0</v>
      </c>
      <c r="BF200" s="12" t="e">
        <f>O200</f>
        <v>#REF!</v>
      </c>
      <c r="BH200" s="12" t="e">
        <f>G200*AO200</f>
        <v>#REF!</v>
      </c>
      <c r="BI200" s="12" t="e">
        <f>G200*AP200</f>
        <v>#REF!</v>
      </c>
      <c r="BJ200" s="12" t="e">
        <f>G200*H200</f>
        <v>#REF!</v>
      </c>
      <c r="BK200" s="12"/>
      <c r="BL200" s="12">
        <v>89</v>
      </c>
      <c r="BW200" s="12" t="str">
        <f>I200</f>
        <v>21</v>
      </c>
      <c r="BX200" s="3" t="s">
        <v>347</v>
      </c>
    </row>
    <row r="201" spans="1:76">
      <c r="A201" s="46" t="s">
        <v>21</v>
      </c>
      <c r="B201" s="9" t="s">
        <v>663</v>
      </c>
      <c r="C201" s="9" t="s">
        <v>23</v>
      </c>
      <c r="D201" s="359" t="s">
        <v>24</v>
      </c>
      <c r="E201" s="360"/>
      <c r="F201" s="47" t="s">
        <v>20</v>
      </c>
      <c r="G201" s="47" t="s">
        <v>20</v>
      </c>
      <c r="H201" s="47" t="s">
        <v>20</v>
      </c>
      <c r="I201" s="47" t="s">
        <v>20</v>
      </c>
      <c r="J201" s="11" t="e">
        <f>J202</f>
        <v>#REF!</v>
      </c>
      <c r="K201" s="11" t="e">
        <f>K202</f>
        <v>#REF!</v>
      </c>
      <c r="L201" s="11" t="e">
        <f>L202</f>
        <v>#REF!</v>
      </c>
      <c r="M201" s="11" t="e">
        <f>M202</f>
        <v>#REF!</v>
      </c>
      <c r="N201" s="10" t="s">
        <v>21</v>
      </c>
      <c r="O201" s="11" t="e">
        <f>O202</f>
        <v>#REF!</v>
      </c>
      <c r="P201" s="48" t="s">
        <v>21</v>
      </c>
      <c r="AI201" s="10" t="s">
        <v>663</v>
      </c>
    </row>
    <row r="202" spans="1:76">
      <c r="A202" s="46" t="s">
        <v>21</v>
      </c>
      <c r="B202" s="9" t="s">
        <v>663</v>
      </c>
      <c r="C202" s="9" t="s">
        <v>348</v>
      </c>
      <c r="D202" s="359" t="s">
        <v>349</v>
      </c>
      <c r="E202" s="360"/>
      <c r="F202" s="47" t="s">
        <v>20</v>
      </c>
      <c r="G202" s="47" t="s">
        <v>20</v>
      </c>
      <c r="H202" s="47" t="s">
        <v>20</v>
      </c>
      <c r="I202" s="47" t="s">
        <v>20</v>
      </c>
      <c r="J202" s="11" t="e">
        <f>SUM(J203:J204)</f>
        <v>#REF!</v>
      </c>
      <c r="K202" s="11" t="e">
        <f>SUM(K203:K204)</f>
        <v>#REF!</v>
      </c>
      <c r="L202" s="11" t="e">
        <f>SUM(L203:L204)</f>
        <v>#REF!</v>
      </c>
      <c r="M202" s="11" t="e">
        <f>SUM(M203:M204)</f>
        <v>#REF!</v>
      </c>
      <c r="N202" s="10" t="s">
        <v>21</v>
      </c>
      <c r="O202" s="11" t="e">
        <f>SUM(O203:O204)</f>
        <v>#REF!</v>
      </c>
      <c r="P202" s="48" t="s">
        <v>21</v>
      </c>
      <c r="AI202" s="10" t="s">
        <v>663</v>
      </c>
      <c r="AS202" s="11">
        <f>SUM(AJ203:AJ204)</f>
        <v>0</v>
      </c>
      <c r="AT202" s="11">
        <f>SUM(AK203:AK204)</f>
        <v>0</v>
      </c>
      <c r="AU202" s="11" t="e">
        <f>SUM(AL203:AL204)</f>
        <v>#REF!</v>
      </c>
    </row>
    <row r="203" spans="1:76">
      <c r="A203" s="1" t="s">
        <v>710</v>
      </c>
      <c r="B203" s="2" t="s">
        <v>663</v>
      </c>
      <c r="C203" s="2" t="s">
        <v>350</v>
      </c>
      <c r="D203" s="349" t="s">
        <v>351</v>
      </c>
      <c r="E203" s="342"/>
      <c r="F203" s="2" t="s">
        <v>29</v>
      </c>
      <c r="G203" s="12" t="e">
        <f>#REF!</f>
        <v>#REF!</v>
      </c>
      <c r="H203" s="12" t="e">
        <f>#REF!</f>
        <v>#REF!</v>
      </c>
      <c r="I203" s="49" t="s">
        <v>554</v>
      </c>
      <c r="J203" s="12" t="e">
        <f>G203*AO203</f>
        <v>#REF!</v>
      </c>
      <c r="K203" s="12" t="e">
        <f>G203*AP203</f>
        <v>#REF!</v>
      </c>
      <c r="L203" s="12" t="e">
        <f>G203*H203</f>
        <v>#REF!</v>
      </c>
      <c r="M203" s="12" t="e">
        <f>L203*(1+BW203/100)</f>
        <v>#REF!</v>
      </c>
      <c r="N203" s="12">
        <v>0</v>
      </c>
      <c r="O203" s="12" t="e">
        <f>G203*N203</f>
        <v>#REF!</v>
      </c>
      <c r="P203" s="50" t="s">
        <v>605</v>
      </c>
      <c r="Z203" s="12">
        <f>IF(AQ203="5",BJ203,0)</f>
        <v>0</v>
      </c>
      <c r="AB203" s="12">
        <f>IF(AQ203="1",BH203,0)</f>
        <v>0</v>
      </c>
      <c r="AC203" s="12">
        <f>IF(AQ203="1",BI203,0)</f>
        <v>0</v>
      </c>
      <c r="AD203" s="12">
        <f>IF(AQ203="7",BH203,0)</f>
        <v>0</v>
      </c>
      <c r="AE203" s="12">
        <f>IF(AQ203="7",BI203,0)</f>
        <v>0</v>
      </c>
      <c r="AF203" s="12">
        <f>IF(AQ203="2",BH203,0)</f>
        <v>0</v>
      </c>
      <c r="AG203" s="12">
        <f>IF(AQ203="2",BI203,0)</f>
        <v>0</v>
      </c>
      <c r="AH203" s="12">
        <f>IF(AQ203="0",BJ203,0)</f>
        <v>0</v>
      </c>
      <c r="AI203" s="10" t="s">
        <v>663</v>
      </c>
      <c r="AJ203" s="12">
        <f>IF(AN203=0,L203,0)</f>
        <v>0</v>
      </c>
      <c r="AK203" s="12">
        <f>IF(AN203=12,L203,0)</f>
        <v>0</v>
      </c>
      <c r="AL203" s="12" t="e">
        <f>IF(AN203=21,L203,0)</f>
        <v>#REF!</v>
      </c>
      <c r="AN203" s="12">
        <v>21</v>
      </c>
      <c r="AO203" s="12" t="e">
        <f>H203*0</f>
        <v>#REF!</v>
      </c>
      <c r="AP203" s="12" t="e">
        <f>H203*(1-0)</f>
        <v>#REF!</v>
      </c>
      <c r="AQ203" s="49" t="s">
        <v>556</v>
      </c>
      <c r="AV203" s="12" t="e">
        <f>AW203+AX203</f>
        <v>#REF!</v>
      </c>
      <c r="AW203" s="12" t="e">
        <f>G203*AO203</f>
        <v>#REF!</v>
      </c>
      <c r="AX203" s="12" t="e">
        <f>G203*AP203</f>
        <v>#REF!</v>
      </c>
      <c r="AY203" s="49" t="s">
        <v>711</v>
      </c>
      <c r="AZ203" s="49" t="s">
        <v>712</v>
      </c>
      <c r="BA203" s="10" t="s">
        <v>666</v>
      </c>
      <c r="BC203" s="12" t="e">
        <f>AW203+AX203</f>
        <v>#REF!</v>
      </c>
      <c r="BD203" s="12" t="e">
        <f>H203/(100-BE203)*100</f>
        <v>#REF!</v>
      </c>
      <c r="BE203" s="12">
        <v>0</v>
      </c>
      <c r="BF203" s="12" t="e">
        <f>O203</f>
        <v>#REF!</v>
      </c>
      <c r="BH203" s="12" t="e">
        <f>G203*AO203</f>
        <v>#REF!</v>
      </c>
      <c r="BI203" s="12" t="e">
        <f>G203*AP203</f>
        <v>#REF!</v>
      </c>
      <c r="BJ203" s="12" t="e">
        <f>G203*H203</f>
        <v>#REF!</v>
      </c>
      <c r="BK203" s="12"/>
      <c r="BL203" s="12"/>
      <c r="BR203" s="12" t="e">
        <f>G203*H203</f>
        <v>#REF!</v>
      </c>
      <c r="BW203" s="12" t="str">
        <f>I203</f>
        <v>21</v>
      </c>
      <c r="BX203" s="3" t="s">
        <v>351</v>
      </c>
    </row>
    <row r="204" spans="1:76">
      <c r="A204" s="1" t="s">
        <v>713</v>
      </c>
      <c r="B204" s="2" t="s">
        <v>663</v>
      </c>
      <c r="C204" s="2" t="s">
        <v>352</v>
      </c>
      <c r="D204" s="349" t="s">
        <v>353</v>
      </c>
      <c r="E204" s="342"/>
      <c r="F204" s="2" t="s">
        <v>123</v>
      </c>
      <c r="G204" s="12" t="e">
        <f>#REF!</f>
        <v>#REF!</v>
      </c>
      <c r="H204" s="12" t="e">
        <f>#REF!</f>
        <v>#REF!</v>
      </c>
      <c r="I204" s="49" t="s">
        <v>554</v>
      </c>
      <c r="J204" s="12" t="e">
        <f>G204*AO204</f>
        <v>#REF!</v>
      </c>
      <c r="K204" s="12" t="e">
        <f>G204*AP204</f>
        <v>#REF!</v>
      </c>
      <c r="L204" s="12" t="e">
        <f>G204*H204</f>
        <v>#REF!</v>
      </c>
      <c r="M204" s="12" t="e">
        <f>L204*(1+BW204/100)</f>
        <v>#REF!</v>
      </c>
      <c r="N204" s="12">
        <v>0</v>
      </c>
      <c r="O204" s="12" t="e">
        <f>G204*N204</f>
        <v>#REF!</v>
      </c>
      <c r="P204" s="50" t="s">
        <v>577</v>
      </c>
      <c r="Z204" s="12">
        <f>IF(AQ204="5",BJ204,0)</f>
        <v>0</v>
      </c>
      <c r="AB204" s="12">
        <f>IF(AQ204="1",BH204,0)</f>
        <v>0</v>
      </c>
      <c r="AC204" s="12">
        <f>IF(AQ204="1",BI204,0)</f>
        <v>0</v>
      </c>
      <c r="AD204" s="12">
        <f>IF(AQ204="7",BH204,0)</f>
        <v>0</v>
      </c>
      <c r="AE204" s="12">
        <f>IF(AQ204="7",BI204,0)</f>
        <v>0</v>
      </c>
      <c r="AF204" s="12">
        <f>IF(AQ204="2",BH204,0)</f>
        <v>0</v>
      </c>
      <c r="AG204" s="12">
        <f>IF(AQ204="2",BI204,0)</f>
        <v>0</v>
      </c>
      <c r="AH204" s="12">
        <f>IF(AQ204="0",BJ204,0)</f>
        <v>0</v>
      </c>
      <c r="AI204" s="10" t="s">
        <v>663</v>
      </c>
      <c r="AJ204" s="12">
        <f>IF(AN204=0,L204,0)</f>
        <v>0</v>
      </c>
      <c r="AK204" s="12">
        <f>IF(AN204=12,L204,0)</f>
        <v>0</v>
      </c>
      <c r="AL204" s="12" t="e">
        <f>IF(AN204=21,L204,0)</f>
        <v>#REF!</v>
      </c>
      <c r="AN204" s="12">
        <v>21</v>
      </c>
      <c r="AO204" s="12" t="e">
        <f>H204*0</f>
        <v>#REF!</v>
      </c>
      <c r="AP204" s="12" t="e">
        <f>H204*(1-0)</f>
        <v>#REF!</v>
      </c>
      <c r="AQ204" s="49" t="s">
        <v>556</v>
      </c>
      <c r="AV204" s="12" t="e">
        <f>AW204+AX204</f>
        <v>#REF!</v>
      </c>
      <c r="AW204" s="12" t="e">
        <f>G204*AO204</f>
        <v>#REF!</v>
      </c>
      <c r="AX204" s="12" t="e">
        <f>G204*AP204</f>
        <v>#REF!</v>
      </c>
      <c r="AY204" s="49" t="s">
        <v>711</v>
      </c>
      <c r="AZ204" s="49" t="s">
        <v>712</v>
      </c>
      <c r="BA204" s="10" t="s">
        <v>666</v>
      </c>
      <c r="BC204" s="12" t="e">
        <f>AW204+AX204</f>
        <v>#REF!</v>
      </c>
      <c r="BD204" s="12" t="e">
        <f>H204/(100-BE204)*100</f>
        <v>#REF!</v>
      </c>
      <c r="BE204" s="12">
        <v>0</v>
      </c>
      <c r="BF204" s="12" t="e">
        <f>O204</f>
        <v>#REF!</v>
      </c>
      <c r="BH204" s="12" t="e">
        <f>G204*AO204</f>
        <v>#REF!</v>
      </c>
      <c r="BI204" s="12" t="e">
        <f>G204*AP204</f>
        <v>#REF!</v>
      </c>
      <c r="BJ204" s="12" t="e">
        <f>G204*H204</f>
        <v>#REF!</v>
      </c>
      <c r="BK204" s="12"/>
      <c r="BL204" s="12"/>
      <c r="BR204" s="12" t="e">
        <f>G204*H204</f>
        <v>#REF!</v>
      </c>
      <c r="BW204" s="12" t="str">
        <f>I204</f>
        <v>21</v>
      </c>
      <c r="BX204" s="3" t="s">
        <v>353</v>
      </c>
    </row>
    <row r="205" spans="1:76" ht="76.5">
      <c r="A205" s="51"/>
      <c r="C205" s="13" t="s">
        <v>117</v>
      </c>
      <c r="D205" s="363" t="s">
        <v>354</v>
      </c>
      <c r="E205" s="364"/>
      <c r="F205" s="364"/>
      <c r="G205" s="364"/>
      <c r="H205" s="364"/>
      <c r="I205" s="364"/>
      <c r="J205" s="364"/>
      <c r="K205" s="364"/>
      <c r="L205" s="364"/>
      <c r="M205" s="364"/>
      <c r="N205" s="364"/>
      <c r="O205" s="364"/>
      <c r="P205" s="365"/>
      <c r="BX205" s="14" t="s">
        <v>354</v>
      </c>
    </row>
    <row r="206" spans="1:76">
      <c r="A206" s="46" t="s">
        <v>21</v>
      </c>
      <c r="B206" s="9" t="s">
        <v>714</v>
      </c>
      <c r="C206" s="9" t="s">
        <v>21</v>
      </c>
      <c r="D206" s="359" t="s">
        <v>355</v>
      </c>
      <c r="E206" s="360"/>
      <c r="F206" s="47" t="s">
        <v>20</v>
      </c>
      <c r="G206" s="47" t="s">
        <v>20</v>
      </c>
      <c r="H206" s="47" t="s">
        <v>20</v>
      </c>
      <c r="I206" s="47" t="s">
        <v>20</v>
      </c>
      <c r="J206" s="11" t="e">
        <f>J207+J217+J219+J237+J239+J247+J259+J275</f>
        <v>#REF!</v>
      </c>
      <c r="K206" s="11" t="e">
        <f>K207+K217+K219+K237+K239+K247+K259+K275</f>
        <v>#REF!</v>
      </c>
      <c r="L206" s="11" t="e">
        <f>L207+L217+L219+L237+L239+L247+L259+L275</f>
        <v>#REF!</v>
      </c>
      <c r="M206" s="11" t="e">
        <f>M207+M217+M219+M237+M239+M247+M259+M275</f>
        <v>#REF!</v>
      </c>
      <c r="N206" s="10" t="s">
        <v>21</v>
      </c>
      <c r="O206" s="11" t="e">
        <f>O207+O217+O219+O237+O239+O247+O259+O275</f>
        <v>#REF!</v>
      </c>
      <c r="P206" s="48" t="s">
        <v>21</v>
      </c>
    </row>
    <row r="207" spans="1:76">
      <c r="A207" s="46" t="s">
        <v>21</v>
      </c>
      <c r="B207" s="9" t="s">
        <v>714</v>
      </c>
      <c r="C207" s="9" t="s">
        <v>54</v>
      </c>
      <c r="D207" s="359" t="s">
        <v>55</v>
      </c>
      <c r="E207" s="360"/>
      <c r="F207" s="47" t="s">
        <v>20</v>
      </c>
      <c r="G207" s="47" t="s">
        <v>20</v>
      </c>
      <c r="H207" s="47" t="s">
        <v>20</v>
      </c>
      <c r="I207" s="47" t="s">
        <v>20</v>
      </c>
      <c r="J207" s="11" t="e">
        <f>SUM(J208:J216)</f>
        <v>#REF!</v>
      </c>
      <c r="K207" s="11" t="e">
        <f>SUM(K208:K216)</f>
        <v>#REF!</v>
      </c>
      <c r="L207" s="11" t="e">
        <f>SUM(L208:L216)</f>
        <v>#REF!</v>
      </c>
      <c r="M207" s="11" t="e">
        <f>SUM(M208:M216)</f>
        <v>#REF!</v>
      </c>
      <c r="N207" s="10" t="s">
        <v>21</v>
      </c>
      <c r="O207" s="11" t="e">
        <f>SUM(O208:O216)</f>
        <v>#REF!</v>
      </c>
      <c r="P207" s="48" t="s">
        <v>21</v>
      </c>
      <c r="AI207" s="10" t="s">
        <v>714</v>
      </c>
      <c r="AS207" s="11">
        <f>SUM(AJ208:AJ216)</f>
        <v>0</v>
      </c>
      <c r="AT207" s="11">
        <f>SUM(AK208:AK216)</f>
        <v>0</v>
      </c>
      <c r="AU207" s="11" t="e">
        <f>SUM(AL208:AL216)</f>
        <v>#REF!</v>
      </c>
    </row>
    <row r="208" spans="1:76">
      <c r="A208" s="1" t="s">
        <v>715</v>
      </c>
      <c r="B208" s="2" t="s">
        <v>714</v>
      </c>
      <c r="C208" s="2" t="s">
        <v>69</v>
      </c>
      <c r="D208" s="349" t="s">
        <v>356</v>
      </c>
      <c r="E208" s="342"/>
      <c r="F208" s="2" t="s">
        <v>68</v>
      </c>
      <c r="G208" s="12" t="e">
        <f>#REF!</f>
        <v>#REF!</v>
      </c>
      <c r="H208" s="12" t="e">
        <f>#REF!</f>
        <v>#REF!</v>
      </c>
      <c r="I208" s="49" t="s">
        <v>554</v>
      </c>
      <c r="J208" s="12" t="e">
        <f t="shared" ref="J208:J216" si="130">G208*AO208</f>
        <v>#REF!</v>
      </c>
      <c r="K208" s="12" t="e">
        <f t="shared" ref="K208:K216" si="131">G208*AP208</f>
        <v>#REF!</v>
      </c>
      <c r="L208" s="12" t="e">
        <f t="shared" ref="L208:L216" si="132">G208*H208</f>
        <v>#REF!</v>
      </c>
      <c r="M208" s="12" t="e">
        <f t="shared" ref="M208:M216" si="133">L208*(1+BW208/100)</f>
        <v>#REF!</v>
      </c>
      <c r="N208" s="12">
        <v>0</v>
      </c>
      <c r="O208" s="12" t="e">
        <f t="shared" ref="O208:O216" si="134">G208*N208</f>
        <v>#REF!</v>
      </c>
      <c r="P208" s="50" t="s">
        <v>577</v>
      </c>
      <c r="Z208" s="12">
        <f t="shared" ref="Z208:Z216" si="135">IF(AQ208="5",BJ208,0)</f>
        <v>0</v>
      </c>
      <c r="AB208" s="12" t="e">
        <f t="shared" ref="AB208:AB216" si="136">IF(AQ208="1",BH208,0)</f>
        <v>#REF!</v>
      </c>
      <c r="AC208" s="12" t="e">
        <f t="shared" ref="AC208:AC216" si="137">IF(AQ208="1",BI208,0)</f>
        <v>#REF!</v>
      </c>
      <c r="AD208" s="12">
        <f t="shared" ref="AD208:AD216" si="138">IF(AQ208="7",BH208,0)</f>
        <v>0</v>
      </c>
      <c r="AE208" s="12">
        <f t="shared" ref="AE208:AE216" si="139">IF(AQ208="7",BI208,0)</f>
        <v>0</v>
      </c>
      <c r="AF208" s="12">
        <f t="shared" ref="AF208:AF216" si="140">IF(AQ208="2",BH208,0)</f>
        <v>0</v>
      </c>
      <c r="AG208" s="12">
        <f t="shared" ref="AG208:AG216" si="141">IF(AQ208="2",BI208,0)</f>
        <v>0</v>
      </c>
      <c r="AH208" s="12">
        <f t="shared" ref="AH208:AH216" si="142">IF(AQ208="0",BJ208,0)</f>
        <v>0</v>
      </c>
      <c r="AI208" s="10" t="s">
        <v>714</v>
      </c>
      <c r="AJ208" s="12">
        <f t="shared" ref="AJ208:AJ216" si="143">IF(AN208=0,L208,0)</f>
        <v>0</v>
      </c>
      <c r="AK208" s="12">
        <f t="shared" ref="AK208:AK216" si="144">IF(AN208=12,L208,0)</f>
        <v>0</v>
      </c>
      <c r="AL208" s="12" t="e">
        <f t="shared" ref="AL208:AL216" si="145">IF(AN208=21,L208,0)</f>
        <v>#REF!</v>
      </c>
      <c r="AN208" s="12">
        <v>21</v>
      </c>
      <c r="AO208" s="12" t="e">
        <f>H208*0</f>
        <v>#REF!</v>
      </c>
      <c r="AP208" s="12" t="e">
        <f>H208*(1-0)</f>
        <v>#REF!</v>
      </c>
      <c r="AQ208" s="49" t="s">
        <v>553</v>
      </c>
      <c r="AV208" s="12" t="e">
        <f t="shared" ref="AV208:AV216" si="146">AW208+AX208</f>
        <v>#REF!</v>
      </c>
      <c r="AW208" s="12" t="e">
        <f t="shared" ref="AW208:AW216" si="147">G208*AO208</f>
        <v>#REF!</v>
      </c>
      <c r="AX208" s="12" t="e">
        <f t="shared" ref="AX208:AX216" si="148">G208*AP208</f>
        <v>#REF!</v>
      </c>
      <c r="AY208" s="49" t="s">
        <v>574</v>
      </c>
      <c r="AZ208" s="49" t="s">
        <v>716</v>
      </c>
      <c r="BA208" s="10" t="s">
        <v>717</v>
      </c>
      <c r="BC208" s="12" t="e">
        <f t="shared" ref="BC208:BC216" si="149">AW208+AX208</f>
        <v>#REF!</v>
      </c>
      <c r="BD208" s="12" t="e">
        <f t="shared" ref="BD208:BD216" si="150">H208/(100-BE208)*100</f>
        <v>#REF!</v>
      </c>
      <c r="BE208" s="12">
        <v>0</v>
      </c>
      <c r="BF208" s="12" t="e">
        <f t="shared" ref="BF208:BF216" si="151">O208</f>
        <v>#REF!</v>
      </c>
      <c r="BH208" s="12" t="e">
        <f t="shared" ref="BH208:BH216" si="152">G208*AO208</f>
        <v>#REF!</v>
      </c>
      <c r="BI208" s="12" t="e">
        <f t="shared" ref="BI208:BI216" si="153">G208*AP208</f>
        <v>#REF!</v>
      </c>
      <c r="BJ208" s="12" t="e">
        <f t="shared" ref="BJ208:BJ216" si="154">G208*H208</f>
        <v>#REF!</v>
      </c>
      <c r="BK208" s="12"/>
      <c r="BL208" s="12">
        <v>0</v>
      </c>
      <c r="BW208" s="12" t="str">
        <f t="shared" ref="BW208:BW216" si="155">I208</f>
        <v>21</v>
      </c>
      <c r="BX208" s="3" t="s">
        <v>356</v>
      </c>
    </row>
    <row r="209" spans="1:76">
      <c r="A209" s="1" t="s">
        <v>718</v>
      </c>
      <c r="B209" s="2" t="s">
        <v>714</v>
      </c>
      <c r="C209" s="2" t="s">
        <v>107</v>
      </c>
      <c r="D209" s="349" t="s">
        <v>108</v>
      </c>
      <c r="E209" s="342"/>
      <c r="F209" s="2" t="s">
        <v>109</v>
      </c>
      <c r="G209" s="12" t="e">
        <f>#REF!</f>
        <v>#REF!</v>
      </c>
      <c r="H209" s="12" t="e">
        <f>#REF!</f>
        <v>#REF!</v>
      </c>
      <c r="I209" s="49" t="s">
        <v>554</v>
      </c>
      <c r="J209" s="12" t="e">
        <f t="shared" si="130"/>
        <v>#REF!</v>
      </c>
      <c r="K209" s="12" t="e">
        <f t="shared" si="131"/>
        <v>#REF!</v>
      </c>
      <c r="L209" s="12" t="e">
        <f t="shared" si="132"/>
        <v>#REF!</v>
      </c>
      <c r="M209" s="12" t="e">
        <f t="shared" si="133"/>
        <v>#REF!</v>
      </c>
      <c r="N209" s="12">
        <v>0</v>
      </c>
      <c r="O209" s="12" t="e">
        <f t="shared" si="134"/>
        <v>#REF!</v>
      </c>
      <c r="P209" s="50" t="s">
        <v>21</v>
      </c>
      <c r="Z209" s="12">
        <f t="shared" si="135"/>
        <v>0</v>
      </c>
      <c r="AB209" s="12" t="e">
        <f t="shared" si="136"/>
        <v>#REF!</v>
      </c>
      <c r="AC209" s="12" t="e">
        <f t="shared" si="137"/>
        <v>#REF!</v>
      </c>
      <c r="AD209" s="12">
        <f t="shared" si="138"/>
        <v>0</v>
      </c>
      <c r="AE209" s="12">
        <f t="shared" si="139"/>
        <v>0</v>
      </c>
      <c r="AF209" s="12">
        <f t="shared" si="140"/>
        <v>0</v>
      </c>
      <c r="AG209" s="12">
        <f t="shared" si="141"/>
        <v>0</v>
      </c>
      <c r="AH209" s="12">
        <f t="shared" si="142"/>
        <v>0</v>
      </c>
      <c r="AI209" s="10" t="s">
        <v>714</v>
      </c>
      <c r="AJ209" s="12">
        <f t="shared" si="143"/>
        <v>0</v>
      </c>
      <c r="AK209" s="12">
        <f t="shared" si="144"/>
        <v>0</v>
      </c>
      <c r="AL209" s="12" t="e">
        <f t="shared" si="145"/>
        <v>#REF!</v>
      </c>
      <c r="AN209" s="12">
        <v>21</v>
      </c>
      <c r="AO209" s="12" t="e">
        <f>H209*0</f>
        <v>#REF!</v>
      </c>
      <c r="AP209" s="12" t="e">
        <f>H209*(1-0)</f>
        <v>#REF!</v>
      </c>
      <c r="AQ209" s="49" t="s">
        <v>553</v>
      </c>
      <c r="AV209" s="12" t="e">
        <f t="shared" si="146"/>
        <v>#REF!</v>
      </c>
      <c r="AW209" s="12" t="e">
        <f t="shared" si="147"/>
        <v>#REF!</v>
      </c>
      <c r="AX209" s="12" t="e">
        <f t="shared" si="148"/>
        <v>#REF!</v>
      </c>
      <c r="AY209" s="49" t="s">
        <v>574</v>
      </c>
      <c r="AZ209" s="49" t="s">
        <v>716</v>
      </c>
      <c r="BA209" s="10" t="s">
        <v>717</v>
      </c>
      <c r="BC209" s="12" t="e">
        <f t="shared" si="149"/>
        <v>#REF!</v>
      </c>
      <c r="BD209" s="12" t="e">
        <f t="shared" si="150"/>
        <v>#REF!</v>
      </c>
      <c r="BE209" s="12">
        <v>0</v>
      </c>
      <c r="BF209" s="12" t="e">
        <f t="shared" si="151"/>
        <v>#REF!</v>
      </c>
      <c r="BH209" s="12" t="e">
        <f t="shared" si="152"/>
        <v>#REF!</v>
      </c>
      <c r="BI209" s="12" t="e">
        <f t="shared" si="153"/>
        <v>#REF!</v>
      </c>
      <c r="BJ209" s="12" t="e">
        <f t="shared" si="154"/>
        <v>#REF!</v>
      </c>
      <c r="BK209" s="12"/>
      <c r="BL209" s="12">
        <v>0</v>
      </c>
      <c r="BW209" s="12" t="str">
        <f t="shared" si="155"/>
        <v>21</v>
      </c>
      <c r="BX209" s="3" t="s">
        <v>108</v>
      </c>
    </row>
    <row r="210" spans="1:76" ht="25.5">
      <c r="A210" s="1" t="s">
        <v>719</v>
      </c>
      <c r="B210" s="2" t="s">
        <v>714</v>
      </c>
      <c r="C210" s="2" t="s">
        <v>110</v>
      </c>
      <c r="D210" s="349" t="s">
        <v>111</v>
      </c>
      <c r="E210" s="342"/>
      <c r="F210" s="2" t="s">
        <v>112</v>
      </c>
      <c r="G210" s="12" t="e">
        <f>#REF!</f>
        <v>#REF!</v>
      </c>
      <c r="H210" s="12" t="e">
        <f>#REF!</f>
        <v>#REF!</v>
      </c>
      <c r="I210" s="49" t="s">
        <v>554</v>
      </c>
      <c r="J210" s="12" t="e">
        <f t="shared" si="130"/>
        <v>#REF!</v>
      </c>
      <c r="K210" s="12" t="e">
        <f t="shared" si="131"/>
        <v>#REF!</v>
      </c>
      <c r="L210" s="12" t="e">
        <f t="shared" si="132"/>
        <v>#REF!</v>
      </c>
      <c r="M210" s="12" t="e">
        <f t="shared" si="133"/>
        <v>#REF!</v>
      </c>
      <c r="N210" s="12">
        <v>0</v>
      </c>
      <c r="O210" s="12" t="e">
        <f t="shared" si="134"/>
        <v>#REF!</v>
      </c>
      <c r="P210" s="50" t="s">
        <v>21</v>
      </c>
      <c r="Z210" s="12">
        <f t="shared" si="135"/>
        <v>0</v>
      </c>
      <c r="AB210" s="12" t="e">
        <f t="shared" si="136"/>
        <v>#REF!</v>
      </c>
      <c r="AC210" s="12" t="e">
        <f t="shared" si="137"/>
        <v>#REF!</v>
      </c>
      <c r="AD210" s="12">
        <f t="shared" si="138"/>
        <v>0</v>
      </c>
      <c r="AE210" s="12">
        <f t="shared" si="139"/>
        <v>0</v>
      </c>
      <c r="AF210" s="12">
        <f t="shared" si="140"/>
        <v>0</v>
      </c>
      <c r="AG210" s="12">
        <f t="shared" si="141"/>
        <v>0</v>
      </c>
      <c r="AH210" s="12">
        <f t="shared" si="142"/>
        <v>0</v>
      </c>
      <c r="AI210" s="10" t="s">
        <v>714</v>
      </c>
      <c r="AJ210" s="12">
        <f t="shared" si="143"/>
        <v>0</v>
      </c>
      <c r="AK210" s="12">
        <f t="shared" si="144"/>
        <v>0</v>
      </c>
      <c r="AL210" s="12" t="e">
        <f t="shared" si="145"/>
        <v>#REF!</v>
      </c>
      <c r="AN210" s="12">
        <v>21</v>
      </c>
      <c r="AO210" s="12" t="e">
        <f>H210*0.298352654</f>
        <v>#REF!</v>
      </c>
      <c r="AP210" s="12" t="e">
        <f>H210*(1-0.298352654)</f>
        <v>#REF!</v>
      </c>
      <c r="AQ210" s="49" t="s">
        <v>553</v>
      </c>
      <c r="AV210" s="12" t="e">
        <f t="shared" si="146"/>
        <v>#REF!</v>
      </c>
      <c r="AW210" s="12" t="e">
        <f t="shared" si="147"/>
        <v>#REF!</v>
      </c>
      <c r="AX210" s="12" t="e">
        <f t="shared" si="148"/>
        <v>#REF!</v>
      </c>
      <c r="AY210" s="49" t="s">
        <v>574</v>
      </c>
      <c r="AZ210" s="49" t="s">
        <v>716</v>
      </c>
      <c r="BA210" s="10" t="s">
        <v>717</v>
      </c>
      <c r="BC210" s="12" t="e">
        <f t="shared" si="149"/>
        <v>#REF!</v>
      </c>
      <c r="BD210" s="12" t="e">
        <f t="shared" si="150"/>
        <v>#REF!</v>
      </c>
      <c r="BE210" s="12">
        <v>0</v>
      </c>
      <c r="BF210" s="12" t="e">
        <f t="shared" si="151"/>
        <v>#REF!</v>
      </c>
      <c r="BH210" s="12" t="e">
        <f t="shared" si="152"/>
        <v>#REF!</v>
      </c>
      <c r="BI210" s="12" t="e">
        <f t="shared" si="153"/>
        <v>#REF!</v>
      </c>
      <c r="BJ210" s="12" t="e">
        <f t="shared" si="154"/>
        <v>#REF!</v>
      </c>
      <c r="BK210" s="12"/>
      <c r="BL210" s="12">
        <v>0</v>
      </c>
      <c r="BW210" s="12" t="str">
        <f t="shared" si="155"/>
        <v>21</v>
      </c>
      <c r="BX210" s="3" t="s">
        <v>111</v>
      </c>
    </row>
    <row r="211" spans="1:76">
      <c r="A211" s="1" t="s">
        <v>720</v>
      </c>
      <c r="B211" s="2" t="s">
        <v>714</v>
      </c>
      <c r="C211" s="2" t="s">
        <v>115</v>
      </c>
      <c r="D211" s="349" t="s">
        <v>116</v>
      </c>
      <c r="E211" s="342"/>
      <c r="F211" s="2" t="s">
        <v>58</v>
      </c>
      <c r="G211" s="12" t="e">
        <f>#REF!</f>
        <v>#REF!</v>
      </c>
      <c r="H211" s="12" t="e">
        <f>#REF!</f>
        <v>#REF!</v>
      </c>
      <c r="I211" s="49" t="s">
        <v>554</v>
      </c>
      <c r="J211" s="12" t="e">
        <f t="shared" si="130"/>
        <v>#REF!</v>
      </c>
      <c r="K211" s="12" t="e">
        <f t="shared" si="131"/>
        <v>#REF!</v>
      </c>
      <c r="L211" s="12" t="e">
        <f t="shared" si="132"/>
        <v>#REF!</v>
      </c>
      <c r="M211" s="12" t="e">
        <f t="shared" si="133"/>
        <v>#REF!</v>
      </c>
      <c r="N211" s="12">
        <v>0</v>
      </c>
      <c r="O211" s="12" t="e">
        <f t="shared" si="134"/>
        <v>#REF!</v>
      </c>
      <c r="P211" s="50" t="s">
        <v>605</v>
      </c>
      <c r="Z211" s="12">
        <f t="shared" si="135"/>
        <v>0</v>
      </c>
      <c r="AB211" s="12" t="e">
        <f t="shared" si="136"/>
        <v>#REF!</v>
      </c>
      <c r="AC211" s="12" t="e">
        <f t="shared" si="137"/>
        <v>#REF!</v>
      </c>
      <c r="AD211" s="12">
        <f t="shared" si="138"/>
        <v>0</v>
      </c>
      <c r="AE211" s="12">
        <f t="shared" si="139"/>
        <v>0</v>
      </c>
      <c r="AF211" s="12">
        <f t="shared" si="140"/>
        <v>0</v>
      </c>
      <c r="AG211" s="12">
        <f t="shared" si="141"/>
        <v>0</v>
      </c>
      <c r="AH211" s="12">
        <f t="shared" si="142"/>
        <v>0</v>
      </c>
      <c r="AI211" s="10" t="s">
        <v>714</v>
      </c>
      <c r="AJ211" s="12">
        <f t="shared" si="143"/>
        <v>0</v>
      </c>
      <c r="AK211" s="12">
        <f t="shared" si="144"/>
        <v>0</v>
      </c>
      <c r="AL211" s="12" t="e">
        <f t="shared" si="145"/>
        <v>#REF!</v>
      </c>
      <c r="AN211" s="12">
        <v>21</v>
      </c>
      <c r="AO211" s="12" t="e">
        <f>H211*0</f>
        <v>#REF!</v>
      </c>
      <c r="AP211" s="12" t="e">
        <f>H211*(1-0)</f>
        <v>#REF!</v>
      </c>
      <c r="AQ211" s="49" t="s">
        <v>553</v>
      </c>
      <c r="AV211" s="12" t="e">
        <f t="shared" si="146"/>
        <v>#REF!</v>
      </c>
      <c r="AW211" s="12" t="e">
        <f t="shared" si="147"/>
        <v>#REF!</v>
      </c>
      <c r="AX211" s="12" t="e">
        <f t="shared" si="148"/>
        <v>#REF!</v>
      </c>
      <c r="AY211" s="49" t="s">
        <v>574</v>
      </c>
      <c r="AZ211" s="49" t="s">
        <v>716</v>
      </c>
      <c r="BA211" s="10" t="s">
        <v>717</v>
      </c>
      <c r="BC211" s="12" t="e">
        <f t="shared" si="149"/>
        <v>#REF!</v>
      </c>
      <c r="BD211" s="12" t="e">
        <f t="shared" si="150"/>
        <v>#REF!</v>
      </c>
      <c r="BE211" s="12">
        <v>0</v>
      </c>
      <c r="BF211" s="12" t="e">
        <f t="shared" si="151"/>
        <v>#REF!</v>
      </c>
      <c r="BH211" s="12" t="e">
        <f t="shared" si="152"/>
        <v>#REF!</v>
      </c>
      <c r="BI211" s="12" t="e">
        <f t="shared" si="153"/>
        <v>#REF!</v>
      </c>
      <c r="BJ211" s="12" t="e">
        <f t="shared" si="154"/>
        <v>#REF!</v>
      </c>
      <c r="BK211" s="12"/>
      <c r="BL211" s="12">
        <v>0</v>
      </c>
      <c r="BW211" s="12" t="str">
        <f t="shared" si="155"/>
        <v>21</v>
      </c>
      <c r="BX211" s="3" t="s">
        <v>116</v>
      </c>
    </row>
    <row r="212" spans="1:76">
      <c r="A212" s="1" t="s">
        <v>721</v>
      </c>
      <c r="B212" s="2" t="s">
        <v>714</v>
      </c>
      <c r="C212" s="2" t="s">
        <v>119</v>
      </c>
      <c r="D212" s="349" t="s">
        <v>120</v>
      </c>
      <c r="E212" s="342"/>
      <c r="F212" s="2" t="s">
        <v>58</v>
      </c>
      <c r="G212" s="12" t="e">
        <f>#REF!</f>
        <v>#REF!</v>
      </c>
      <c r="H212" s="12" t="e">
        <f>#REF!</f>
        <v>#REF!</v>
      </c>
      <c r="I212" s="49" t="s">
        <v>554</v>
      </c>
      <c r="J212" s="12" t="e">
        <f t="shared" si="130"/>
        <v>#REF!</v>
      </c>
      <c r="K212" s="12" t="e">
        <f t="shared" si="131"/>
        <v>#REF!</v>
      </c>
      <c r="L212" s="12" t="e">
        <f t="shared" si="132"/>
        <v>#REF!</v>
      </c>
      <c r="M212" s="12" t="e">
        <f t="shared" si="133"/>
        <v>#REF!</v>
      </c>
      <c r="N212" s="12">
        <v>0</v>
      </c>
      <c r="O212" s="12" t="e">
        <f t="shared" si="134"/>
        <v>#REF!</v>
      </c>
      <c r="P212" s="50" t="s">
        <v>605</v>
      </c>
      <c r="Z212" s="12">
        <f t="shared" si="135"/>
        <v>0</v>
      </c>
      <c r="AB212" s="12" t="e">
        <f t="shared" si="136"/>
        <v>#REF!</v>
      </c>
      <c r="AC212" s="12" t="e">
        <f t="shared" si="137"/>
        <v>#REF!</v>
      </c>
      <c r="AD212" s="12">
        <f t="shared" si="138"/>
        <v>0</v>
      </c>
      <c r="AE212" s="12">
        <f t="shared" si="139"/>
        <v>0</v>
      </c>
      <c r="AF212" s="12">
        <f t="shared" si="140"/>
        <v>0</v>
      </c>
      <c r="AG212" s="12">
        <f t="shared" si="141"/>
        <v>0</v>
      </c>
      <c r="AH212" s="12">
        <f t="shared" si="142"/>
        <v>0</v>
      </c>
      <c r="AI212" s="10" t="s">
        <v>714</v>
      </c>
      <c r="AJ212" s="12">
        <f t="shared" si="143"/>
        <v>0</v>
      </c>
      <c r="AK212" s="12">
        <f t="shared" si="144"/>
        <v>0</v>
      </c>
      <c r="AL212" s="12" t="e">
        <f t="shared" si="145"/>
        <v>#REF!</v>
      </c>
      <c r="AN212" s="12">
        <v>21</v>
      </c>
      <c r="AO212" s="12" t="e">
        <f>H212*0</f>
        <v>#REF!</v>
      </c>
      <c r="AP212" s="12" t="e">
        <f>H212*(1-0)</f>
        <v>#REF!</v>
      </c>
      <c r="AQ212" s="49" t="s">
        <v>553</v>
      </c>
      <c r="AV212" s="12" t="e">
        <f t="shared" si="146"/>
        <v>#REF!</v>
      </c>
      <c r="AW212" s="12" t="e">
        <f t="shared" si="147"/>
        <v>#REF!</v>
      </c>
      <c r="AX212" s="12" t="e">
        <f t="shared" si="148"/>
        <v>#REF!</v>
      </c>
      <c r="AY212" s="49" t="s">
        <v>574</v>
      </c>
      <c r="AZ212" s="49" t="s">
        <v>716</v>
      </c>
      <c r="BA212" s="10" t="s">
        <v>717</v>
      </c>
      <c r="BC212" s="12" t="e">
        <f t="shared" si="149"/>
        <v>#REF!</v>
      </c>
      <c r="BD212" s="12" t="e">
        <f t="shared" si="150"/>
        <v>#REF!</v>
      </c>
      <c r="BE212" s="12">
        <v>0</v>
      </c>
      <c r="BF212" s="12" t="e">
        <f t="shared" si="151"/>
        <v>#REF!</v>
      </c>
      <c r="BH212" s="12" t="e">
        <f t="shared" si="152"/>
        <v>#REF!</v>
      </c>
      <c r="BI212" s="12" t="e">
        <f t="shared" si="153"/>
        <v>#REF!</v>
      </c>
      <c r="BJ212" s="12" t="e">
        <f t="shared" si="154"/>
        <v>#REF!</v>
      </c>
      <c r="BK212" s="12"/>
      <c r="BL212" s="12">
        <v>0</v>
      </c>
      <c r="BW212" s="12" t="str">
        <f t="shared" si="155"/>
        <v>21</v>
      </c>
      <c r="BX212" s="3" t="s">
        <v>120</v>
      </c>
    </row>
    <row r="213" spans="1:76">
      <c r="A213" s="1" t="s">
        <v>722</v>
      </c>
      <c r="B213" s="2" t="s">
        <v>714</v>
      </c>
      <c r="C213" s="2" t="s">
        <v>71</v>
      </c>
      <c r="D213" s="349" t="s">
        <v>72</v>
      </c>
      <c r="E213" s="342"/>
      <c r="F213" s="2" t="s">
        <v>58</v>
      </c>
      <c r="G213" s="12" t="e">
        <f>#REF!</f>
        <v>#REF!</v>
      </c>
      <c r="H213" s="12" t="e">
        <f>#REF!</f>
        <v>#REF!</v>
      </c>
      <c r="I213" s="49" t="s">
        <v>554</v>
      </c>
      <c r="J213" s="12" t="e">
        <f t="shared" si="130"/>
        <v>#REF!</v>
      </c>
      <c r="K213" s="12" t="e">
        <f t="shared" si="131"/>
        <v>#REF!</v>
      </c>
      <c r="L213" s="12" t="e">
        <f t="shared" si="132"/>
        <v>#REF!</v>
      </c>
      <c r="M213" s="12" t="e">
        <f t="shared" si="133"/>
        <v>#REF!</v>
      </c>
      <c r="N213" s="12">
        <v>3.8999999999999999E-4</v>
      </c>
      <c r="O213" s="12" t="e">
        <f t="shared" si="134"/>
        <v>#REF!</v>
      </c>
      <c r="P213" s="50" t="s">
        <v>577</v>
      </c>
      <c r="Z213" s="12">
        <f t="shared" si="135"/>
        <v>0</v>
      </c>
      <c r="AB213" s="12" t="e">
        <f t="shared" si="136"/>
        <v>#REF!</v>
      </c>
      <c r="AC213" s="12" t="e">
        <f t="shared" si="137"/>
        <v>#REF!</v>
      </c>
      <c r="AD213" s="12">
        <f t="shared" si="138"/>
        <v>0</v>
      </c>
      <c r="AE213" s="12">
        <f t="shared" si="139"/>
        <v>0</v>
      </c>
      <c r="AF213" s="12">
        <f t="shared" si="140"/>
        <v>0</v>
      </c>
      <c r="AG213" s="12">
        <f t="shared" si="141"/>
        <v>0</v>
      </c>
      <c r="AH213" s="12">
        <f t="shared" si="142"/>
        <v>0</v>
      </c>
      <c r="AI213" s="10" t="s">
        <v>714</v>
      </c>
      <c r="AJ213" s="12">
        <f t="shared" si="143"/>
        <v>0</v>
      </c>
      <c r="AK213" s="12">
        <f t="shared" si="144"/>
        <v>0</v>
      </c>
      <c r="AL213" s="12" t="e">
        <f t="shared" si="145"/>
        <v>#REF!</v>
      </c>
      <c r="AN213" s="12">
        <v>21</v>
      </c>
      <c r="AO213" s="12" t="e">
        <f>H213*0.615509036</f>
        <v>#REF!</v>
      </c>
      <c r="AP213" s="12" t="e">
        <f>H213*(1-0.615509036)</f>
        <v>#REF!</v>
      </c>
      <c r="AQ213" s="49" t="s">
        <v>553</v>
      </c>
      <c r="AV213" s="12" t="e">
        <f t="shared" si="146"/>
        <v>#REF!</v>
      </c>
      <c r="AW213" s="12" t="e">
        <f t="shared" si="147"/>
        <v>#REF!</v>
      </c>
      <c r="AX213" s="12" t="e">
        <f t="shared" si="148"/>
        <v>#REF!</v>
      </c>
      <c r="AY213" s="49" t="s">
        <v>574</v>
      </c>
      <c r="AZ213" s="49" t="s">
        <v>716</v>
      </c>
      <c r="BA213" s="10" t="s">
        <v>717</v>
      </c>
      <c r="BC213" s="12" t="e">
        <f t="shared" si="149"/>
        <v>#REF!</v>
      </c>
      <c r="BD213" s="12" t="e">
        <f t="shared" si="150"/>
        <v>#REF!</v>
      </c>
      <c r="BE213" s="12">
        <v>0</v>
      </c>
      <c r="BF213" s="12" t="e">
        <f t="shared" si="151"/>
        <v>#REF!</v>
      </c>
      <c r="BH213" s="12" t="e">
        <f t="shared" si="152"/>
        <v>#REF!</v>
      </c>
      <c r="BI213" s="12" t="e">
        <f t="shared" si="153"/>
        <v>#REF!</v>
      </c>
      <c r="BJ213" s="12" t="e">
        <f t="shared" si="154"/>
        <v>#REF!</v>
      </c>
      <c r="BK213" s="12"/>
      <c r="BL213" s="12">
        <v>0</v>
      </c>
      <c r="BW213" s="12" t="str">
        <f t="shared" si="155"/>
        <v>21</v>
      </c>
      <c r="BX213" s="3" t="s">
        <v>72</v>
      </c>
    </row>
    <row r="214" spans="1:76">
      <c r="A214" s="1" t="s">
        <v>723</v>
      </c>
      <c r="B214" s="2" t="s">
        <v>714</v>
      </c>
      <c r="C214" s="2" t="s">
        <v>66</v>
      </c>
      <c r="D214" s="349" t="s">
        <v>67</v>
      </c>
      <c r="E214" s="342"/>
      <c r="F214" s="2" t="s">
        <v>68</v>
      </c>
      <c r="G214" s="12" t="e">
        <f>#REF!</f>
        <v>#REF!</v>
      </c>
      <c r="H214" s="12" t="e">
        <f>#REF!</f>
        <v>#REF!</v>
      </c>
      <c r="I214" s="49" t="s">
        <v>554</v>
      </c>
      <c r="J214" s="12" t="e">
        <f t="shared" si="130"/>
        <v>#REF!</v>
      </c>
      <c r="K214" s="12" t="e">
        <f t="shared" si="131"/>
        <v>#REF!</v>
      </c>
      <c r="L214" s="12" t="e">
        <f t="shared" si="132"/>
        <v>#REF!</v>
      </c>
      <c r="M214" s="12" t="e">
        <f t="shared" si="133"/>
        <v>#REF!</v>
      </c>
      <c r="N214" s="12">
        <v>0</v>
      </c>
      <c r="O214" s="12" t="e">
        <f t="shared" si="134"/>
        <v>#REF!</v>
      </c>
      <c r="P214" s="50" t="s">
        <v>577</v>
      </c>
      <c r="Z214" s="12">
        <f t="shared" si="135"/>
        <v>0</v>
      </c>
      <c r="AB214" s="12" t="e">
        <f t="shared" si="136"/>
        <v>#REF!</v>
      </c>
      <c r="AC214" s="12" t="e">
        <f t="shared" si="137"/>
        <v>#REF!</v>
      </c>
      <c r="AD214" s="12">
        <f t="shared" si="138"/>
        <v>0</v>
      </c>
      <c r="AE214" s="12">
        <f t="shared" si="139"/>
        <v>0</v>
      </c>
      <c r="AF214" s="12">
        <f t="shared" si="140"/>
        <v>0</v>
      </c>
      <c r="AG214" s="12">
        <f t="shared" si="141"/>
        <v>0</v>
      </c>
      <c r="AH214" s="12">
        <f t="shared" si="142"/>
        <v>0</v>
      </c>
      <c r="AI214" s="10" t="s">
        <v>714</v>
      </c>
      <c r="AJ214" s="12">
        <f t="shared" si="143"/>
        <v>0</v>
      </c>
      <c r="AK214" s="12">
        <f t="shared" si="144"/>
        <v>0</v>
      </c>
      <c r="AL214" s="12" t="e">
        <f t="shared" si="145"/>
        <v>#REF!</v>
      </c>
      <c r="AN214" s="12">
        <v>21</v>
      </c>
      <c r="AO214" s="12" t="e">
        <f>H214*0</f>
        <v>#REF!</v>
      </c>
      <c r="AP214" s="12" t="e">
        <f>H214*(1-0)</f>
        <v>#REF!</v>
      </c>
      <c r="AQ214" s="49" t="s">
        <v>553</v>
      </c>
      <c r="AV214" s="12" t="e">
        <f t="shared" si="146"/>
        <v>#REF!</v>
      </c>
      <c r="AW214" s="12" t="e">
        <f t="shared" si="147"/>
        <v>#REF!</v>
      </c>
      <c r="AX214" s="12" t="e">
        <f t="shared" si="148"/>
        <v>#REF!</v>
      </c>
      <c r="AY214" s="49" t="s">
        <v>574</v>
      </c>
      <c r="AZ214" s="49" t="s">
        <v>716</v>
      </c>
      <c r="BA214" s="10" t="s">
        <v>717</v>
      </c>
      <c r="BC214" s="12" t="e">
        <f t="shared" si="149"/>
        <v>#REF!</v>
      </c>
      <c r="BD214" s="12" t="e">
        <f t="shared" si="150"/>
        <v>#REF!</v>
      </c>
      <c r="BE214" s="12">
        <v>0</v>
      </c>
      <c r="BF214" s="12" t="e">
        <f t="shared" si="151"/>
        <v>#REF!</v>
      </c>
      <c r="BH214" s="12" t="e">
        <f t="shared" si="152"/>
        <v>#REF!</v>
      </c>
      <c r="BI214" s="12" t="e">
        <f t="shared" si="153"/>
        <v>#REF!</v>
      </c>
      <c r="BJ214" s="12" t="e">
        <f t="shared" si="154"/>
        <v>#REF!</v>
      </c>
      <c r="BK214" s="12"/>
      <c r="BL214" s="12">
        <v>0</v>
      </c>
      <c r="BW214" s="12" t="str">
        <f t="shared" si="155"/>
        <v>21</v>
      </c>
      <c r="BX214" s="3" t="s">
        <v>67</v>
      </c>
    </row>
    <row r="215" spans="1:76">
      <c r="A215" s="1" t="s">
        <v>724</v>
      </c>
      <c r="B215" s="2" t="s">
        <v>714</v>
      </c>
      <c r="C215" s="2" t="s">
        <v>124</v>
      </c>
      <c r="D215" s="349" t="s">
        <v>125</v>
      </c>
      <c r="E215" s="342"/>
      <c r="F215" s="2" t="s">
        <v>123</v>
      </c>
      <c r="G215" s="12" t="e">
        <f>#REF!</f>
        <v>#REF!</v>
      </c>
      <c r="H215" s="12" t="e">
        <f>#REF!</f>
        <v>#REF!</v>
      </c>
      <c r="I215" s="49" t="s">
        <v>554</v>
      </c>
      <c r="J215" s="12" t="e">
        <f t="shared" si="130"/>
        <v>#REF!</v>
      </c>
      <c r="K215" s="12" t="e">
        <f t="shared" si="131"/>
        <v>#REF!</v>
      </c>
      <c r="L215" s="12" t="e">
        <f t="shared" si="132"/>
        <v>#REF!</v>
      </c>
      <c r="M215" s="12" t="e">
        <f t="shared" si="133"/>
        <v>#REF!</v>
      </c>
      <c r="N215" s="12">
        <v>0</v>
      </c>
      <c r="O215" s="12" t="e">
        <f t="shared" si="134"/>
        <v>#REF!</v>
      </c>
      <c r="P215" s="50" t="s">
        <v>577</v>
      </c>
      <c r="Z215" s="12" t="e">
        <f t="shared" si="135"/>
        <v>#REF!</v>
      </c>
      <c r="AB215" s="12">
        <f t="shared" si="136"/>
        <v>0</v>
      </c>
      <c r="AC215" s="12">
        <f t="shared" si="137"/>
        <v>0</v>
      </c>
      <c r="AD215" s="12">
        <f t="shared" si="138"/>
        <v>0</v>
      </c>
      <c r="AE215" s="12">
        <f t="shared" si="139"/>
        <v>0</v>
      </c>
      <c r="AF215" s="12">
        <f t="shared" si="140"/>
        <v>0</v>
      </c>
      <c r="AG215" s="12">
        <f t="shared" si="141"/>
        <v>0</v>
      </c>
      <c r="AH215" s="12">
        <f t="shared" si="142"/>
        <v>0</v>
      </c>
      <c r="AI215" s="10" t="s">
        <v>714</v>
      </c>
      <c r="AJ215" s="12">
        <f t="shared" si="143"/>
        <v>0</v>
      </c>
      <c r="AK215" s="12">
        <f t="shared" si="144"/>
        <v>0</v>
      </c>
      <c r="AL215" s="12" t="e">
        <f t="shared" si="145"/>
        <v>#REF!</v>
      </c>
      <c r="AN215" s="12">
        <v>21</v>
      </c>
      <c r="AO215" s="12" t="e">
        <f>H215*0</f>
        <v>#REF!</v>
      </c>
      <c r="AP215" s="12" t="e">
        <f>H215*(1-0)</f>
        <v>#REF!</v>
      </c>
      <c r="AQ215" s="49" t="s">
        <v>564</v>
      </c>
      <c r="AV215" s="12" t="e">
        <f t="shared" si="146"/>
        <v>#REF!</v>
      </c>
      <c r="AW215" s="12" t="e">
        <f t="shared" si="147"/>
        <v>#REF!</v>
      </c>
      <c r="AX215" s="12" t="e">
        <f t="shared" si="148"/>
        <v>#REF!</v>
      </c>
      <c r="AY215" s="49" t="s">
        <v>574</v>
      </c>
      <c r="AZ215" s="49" t="s">
        <v>716</v>
      </c>
      <c r="BA215" s="10" t="s">
        <v>717</v>
      </c>
      <c r="BC215" s="12" t="e">
        <f t="shared" si="149"/>
        <v>#REF!</v>
      </c>
      <c r="BD215" s="12" t="e">
        <f t="shared" si="150"/>
        <v>#REF!</v>
      </c>
      <c r="BE215" s="12">
        <v>0</v>
      </c>
      <c r="BF215" s="12" t="e">
        <f t="shared" si="151"/>
        <v>#REF!</v>
      </c>
      <c r="BH215" s="12" t="e">
        <f t="shared" si="152"/>
        <v>#REF!</v>
      </c>
      <c r="BI215" s="12" t="e">
        <f t="shared" si="153"/>
        <v>#REF!</v>
      </c>
      <c r="BJ215" s="12" t="e">
        <f t="shared" si="154"/>
        <v>#REF!</v>
      </c>
      <c r="BK215" s="12"/>
      <c r="BL215" s="12">
        <v>0</v>
      </c>
      <c r="BW215" s="12" t="str">
        <f t="shared" si="155"/>
        <v>21</v>
      </c>
      <c r="BX215" s="3" t="s">
        <v>125</v>
      </c>
    </row>
    <row r="216" spans="1:76">
      <c r="A216" s="1" t="s">
        <v>725</v>
      </c>
      <c r="B216" s="2" t="s">
        <v>714</v>
      </c>
      <c r="C216" s="2" t="s">
        <v>121</v>
      </c>
      <c r="D216" s="349" t="s">
        <v>122</v>
      </c>
      <c r="E216" s="342"/>
      <c r="F216" s="2" t="s">
        <v>123</v>
      </c>
      <c r="G216" s="12" t="e">
        <f>#REF!</f>
        <v>#REF!</v>
      </c>
      <c r="H216" s="12" t="e">
        <f>#REF!</f>
        <v>#REF!</v>
      </c>
      <c r="I216" s="49" t="s">
        <v>554</v>
      </c>
      <c r="J216" s="12" t="e">
        <f t="shared" si="130"/>
        <v>#REF!</v>
      </c>
      <c r="K216" s="12" t="e">
        <f t="shared" si="131"/>
        <v>#REF!</v>
      </c>
      <c r="L216" s="12" t="e">
        <f t="shared" si="132"/>
        <v>#REF!</v>
      </c>
      <c r="M216" s="12" t="e">
        <f t="shared" si="133"/>
        <v>#REF!</v>
      </c>
      <c r="N216" s="12">
        <v>0</v>
      </c>
      <c r="O216" s="12" t="e">
        <f t="shared" si="134"/>
        <v>#REF!</v>
      </c>
      <c r="P216" s="50" t="s">
        <v>577</v>
      </c>
      <c r="Z216" s="12" t="e">
        <f t="shared" si="135"/>
        <v>#REF!</v>
      </c>
      <c r="AB216" s="12">
        <f t="shared" si="136"/>
        <v>0</v>
      </c>
      <c r="AC216" s="12">
        <f t="shared" si="137"/>
        <v>0</v>
      </c>
      <c r="AD216" s="12">
        <f t="shared" si="138"/>
        <v>0</v>
      </c>
      <c r="AE216" s="12">
        <f t="shared" si="139"/>
        <v>0</v>
      </c>
      <c r="AF216" s="12">
        <f t="shared" si="140"/>
        <v>0</v>
      </c>
      <c r="AG216" s="12">
        <f t="shared" si="141"/>
        <v>0</v>
      </c>
      <c r="AH216" s="12">
        <f t="shared" si="142"/>
        <v>0</v>
      </c>
      <c r="AI216" s="10" t="s">
        <v>714</v>
      </c>
      <c r="AJ216" s="12">
        <f t="shared" si="143"/>
        <v>0</v>
      </c>
      <c r="AK216" s="12">
        <f t="shared" si="144"/>
        <v>0</v>
      </c>
      <c r="AL216" s="12" t="e">
        <f t="shared" si="145"/>
        <v>#REF!</v>
      </c>
      <c r="AN216" s="12">
        <v>21</v>
      </c>
      <c r="AO216" s="12" t="e">
        <f>H216*0</f>
        <v>#REF!</v>
      </c>
      <c r="AP216" s="12" t="e">
        <f>H216*(1-0)</f>
        <v>#REF!</v>
      </c>
      <c r="AQ216" s="49" t="s">
        <v>564</v>
      </c>
      <c r="AV216" s="12" t="e">
        <f t="shared" si="146"/>
        <v>#REF!</v>
      </c>
      <c r="AW216" s="12" t="e">
        <f t="shared" si="147"/>
        <v>#REF!</v>
      </c>
      <c r="AX216" s="12" t="e">
        <f t="shared" si="148"/>
        <v>#REF!</v>
      </c>
      <c r="AY216" s="49" t="s">
        <v>574</v>
      </c>
      <c r="AZ216" s="49" t="s">
        <v>716</v>
      </c>
      <c r="BA216" s="10" t="s">
        <v>717</v>
      </c>
      <c r="BC216" s="12" t="e">
        <f t="shared" si="149"/>
        <v>#REF!</v>
      </c>
      <c r="BD216" s="12" t="e">
        <f t="shared" si="150"/>
        <v>#REF!</v>
      </c>
      <c r="BE216" s="12">
        <v>0</v>
      </c>
      <c r="BF216" s="12" t="e">
        <f t="shared" si="151"/>
        <v>#REF!</v>
      </c>
      <c r="BH216" s="12" t="e">
        <f t="shared" si="152"/>
        <v>#REF!</v>
      </c>
      <c r="BI216" s="12" t="e">
        <f t="shared" si="153"/>
        <v>#REF!</v>
      </c>
      <c r="BJ216" s="12" t="e">
        <f t="shared" si="154"/>
        <v>#REF!</v>
      </c>
      <c r="BK216" s="12"/>
      <c r="BL216" s="12">
        <v>0</v>
      </c>
      <c r="BW216" s="12" t="str">
        <f t="shared" si="155"/>
        <v>21</v>
      </c>
      <c r="BX216" s="3" t="s">
        <v>122</v>
      </c>
    </row>
    <row r="217" spans="1:76">
      <c r="A217" s="46" t="s">
        <v>21</v>
      </c>
      <c r="B217" s="9" t="s">
        <v>714</v>
      </c>
      <c r="C217" s="9" t="s">
        <v>59</v>
      </c>
      <c r="D217" s="359" t="s">
        <v>60</v>
      </c>
      <c r="E217" s="360"/>
      <c r="F217" s="47" t="s">
        <v>20</v>
      </c>
      <c r="G217" s="47" t="s">
        <v>20</v>
      </c>
      <c r="H217" s="47" t="s">
        <v>20</v>
      </c>
      <c r="I217" s="47" t="s">
        <v>20</v>
      </c>
      <c r="J217" s="11" t="e">
        <f>SUM(J218:J218)</f>
        <v>#REF!</v>
      </c>
      <c r="K217" s="11" t="e">
        <f>SUM(K218:K218)</f>
        <v>#REF!</v>
      </c>
      <c r="L217" s="11" t="e">
        <f>SUM(L218:L218)</f>
        <v>#REF!</v>
      </c>
      <c r="M217" s="11" t="e">
        <f>SUM(M218:M218)</f>
        <v>#REF!</v>
      </c>
      <c r="N217" s="10" t="s">
        <v>21</v>
      </c>
      <c r="O217" s="11" t="e">
        <f>SUM(O218:O218)</f>
        <v>#REF!</v>
      </c>
      <c r="P217" s="48" t="s">
        <v>21</v>
      </c>
      <c r="AI217" s="10" t="s">
        <v>714</v>
      </c>
      <c r="AS217" s="11">
        <f>SUM(AJ218:AJ218)</f>
        <v>0</v>
      </c>
      <c r="AT217" s="11">
        <f>SUM(AK218:AK218)</f>
        <v>0</v>
      </c>
      <c r="AU217" s="11" t="e">
        <f>SUM(AL218:AL218)</f>
        <v>#REF!</v>
      </c>
    </row>
    <row r="218" spans="1:76">
      <c r="A218" s="1" t="s">
        <v>726</v>
      </c>
      <c r="B218" s="2" t="s">
        <v>714</v>
      </c>
      <c r="C218" s="2" t="s">
        <v>61</v>
      </c>
      <c r="D218" s="349" t="s">
        <v>62</v>
      </c>
      <c r="E218" s="342"/>
      <c r="F218" s="2" t="s">
        <v>63</v>
      </c>
      <c r="G218" s="12" t="e">
        <f>#REF!</f>
        <v>#REF!</v>
      </c>
      <c r="H218" s="12" t="e">
        <f>#REF!</f>
        <v>#REF!</v>
      </c>
      <c r="I218" s="49" t="s">
        <v>554</v>
      </c>
      <c r="J218" s="12" t="e">
        <f>G218*AO218</f>
        <v>#REF!</v>
      </c>
      <c r="K218" s="12" t="e">
        <f>G218*AP218</f>
        <v>#REF!</v>
      </c>
      <c r="L218" s="12" t="e">
        <f>G218*H218</f>
        <v>#REF!</v>
      </c>
      <c r="M218" s="12" t="e">
        <f>L218*(1+BW218/100)</f>
        <v>#REF!</v>
      </c>
      <c r="N218" s="12">
        <v>2.0999999999999999E-3</v>
      </c>
      <c r="O218" s="12" t="e">
        <f>G218*N218</f>
        <v>#REF!</v>
      </c>
      <c r="P218" s="50" t="s">
        <v>577</v>
      </c>
      <c r="Z218" s="12">
        <f>IF(AQ218="5",BJ218,0)</f>
        <v>0</v>
      </c>
      <c r="AB218" s="12">
        <f>IF(AQ218="1",BH218,0)</f>
        <v>0</v>
      </c>
      <c r="AC218" s="12">
        <f>IF(AQ218="1",BI218,0)</f>
        <v>0</v>
      </c>
      <c r="AD218" s="12" t="e">
        <f>IF(AQ218="7",BH218,0)</f>
        <v>#REF!</v>
      </c>
      <c r="AE218" s="12" t="e">
        <f>IF(AQ218="7",BI218,0)</f>
        <v>#REF!</v>
      </c>
      <c r="AF218" s="12">
        <f>IF(AQ218="2",BH218,0)</f>
        <v>0</v>
      </c>
      <c r="AG218" s="12">
        <f>IF(AQ218="2",BI218,0)</f>
        <v>0</v>
      </c>
      <c r="AH218" s="12">
        <f>IF(AQ218="0",BJ218,0)</f>
        <v>0</v>
      </c>
      <c r="AI218" s="10" t="s">
        <v>714</v>
      </c>
      <c r="AJ218" s="12">
        <f>IF(AN218=0,L218,0)</f>
        <v>0</v>
      </c>
      <c r="AK218" s="12">
        <f>IF(AN218=12,L218,0)</f>
        <v>0</v>
      </c>
      <c r="AL218" s="12" t="e">
        <f>IF(AN218=21,L218,0)</f>
        <v>#REF!</v>
      </c>
      <c r="AN218" s="12">
        <v>21</v>
      </c>
      <c r="AO218" s="12" t="e">
        <f>H218*0</f>
        <v>#REF!</v>
      </c>
      <c r="AP218" s="12" t="e">
        <f>H218*(1-0)</f>
        <v>#REF!</v>
      </c>
      <c r="AQ218" s="49" t="s">
        <v>567</v>
      </c>
      <c r="AV218" s="12" t="e">
        <f>AW218+AX218</f>
        <v>#REF!</v>
      </c>
      <c r="AW218" s="12" t="e">
        <f>G218*AO218</f>
        <v>#REF!</v>
      </c>
      <c r="AX218" s="12" t="e">
        <f>G218*AP218</f>
        <v>#REF!</v>
      </c>
      <c r="AY218" s="49" t="s">
        <v>578</v>
      </c>
      <c r="AZ218" s="49" t="s">
        <v>727</v>
      </c>
      <c r="BA218" s="10" t="s">
        <v>717</v>
      </c>
      <c r="BC218" s="12" t="e">
        <f>AW218+AX218</f>
        <v>#REF!</v>
      </c>
      <c r="BD218" s="12" t="e">
        <f>H218/(100-BE218)*100</f>
        <v>#REF!</v>
      </c>
      <c r="BE218" s="12">
        <v>0</v>
      </c>
      <c r="BF218" s="12" t="e">
        <f>O218</f>
        <v>#REF!</v>
      </c>
      <c r="BH218" s="12" t="e">
        <f>G218*AO218</f>
        <v>#REF!</v>
      </c>
      <c r="BI218" s="12" t="e">
        <f>G218*AP218</f>
        <v>#REF!</v>
      </c>
      <c r="BJ218" s="12" t="e">
        <f>G218*H218</f>
        <v>#REF!</v>
      </c>
      <c r="BK218" s="12"/>
      <c r="BL218" s="12">
        <v>713</v>
      </c>
      <c r="BW218" s="12" t="str">
        <f>I218</f>
        <v>21</v>
      </c>
      <c r="BX218" s="3" t="s">
        <v>62</v>
      </c>
    </row>
    <row r="219" spans="1:76">
      <c r="A219" s="46" t="s">
        <v>21</v>
      </c>
      <c r="B219" s="9" t="s">
        <v>714</v>
      </c>
      <c r="C219" s="9" t="s">
        <v>126</v>
      </c>
      <c r="D219" s="359" t="s">
        <v>127</v>
      </c>
      <c r="E219" s="360"/>
      <c r="F219" s="47" t="s">
        <v>20</v>
      </c>
      <c r="G219" s="47" t="s">
        <v>20</v>
      </c>
      <c r="H219" s="47" t="s">
        <v>20</v>
      </c>
      <c r="I219" s="47" t="s">
        <v>20</v>
      </c>
      <c r="J219" s="11" t="e">
        <f>SUM(J220:J236)</f>
        <v>#REF!</v>
      </c>
      <c r="K219" s="11" t="e">
        <f>SUM(K220:K236)</f>
        <v>#REF!</v>
      </c>
      <c r="L219" s="11" t="e">
        <f>SUM(L220:L236)</f>
        <v>#REF!</v>
      </c>
      <c r="M219" s="11" t="e">
        <f>SUM(M220:M236)</f>
        <v>#REF!</v>
      </c>
      <c r="N219" s="10" t="s">
        <v>21</v>
      </c>
      <c r="O219" s="11" t="e">
        <f>SUM(O220:O236)</f>
        <v>#REF!</v>
      </c>
      <c r="P219" s="48" t="s">
        <v>21</v>
      </c>
      <c r="AI219" s="10" t="s">
        <v>714</v>
      </c>
      <c r="AS219" s="11">
        <f>SUM(AJ220:AJ236)</f>
        <v>0</v>
      </c>
      <c r="AT219" s="11">
        <f>SUM(AK220:AK236)</f>
        <v>0</v>
      </c>
      <c r="AU219" s="11" t="e">
        <f>SUM(AL220:AL236)</f>
        <v>#REF!</v>
      </c>
    </row>
    <row r="220" spans="1:76">
      <c r="A220" s="1" t="s">
        <v>728</v>
      </c>
      <c r="B220" s="2" t="s">
        <v>714</v>
      </c>
      <c r="C220" s="2" t="s">
        <v>357</v>
      </c>
      <c r="D220" s="349" t="s">
        <v>358</v>
      </c>
      <c r="E220" s="342"/>
      <c r="F220" s="2" t="s">
        <v>68</v>
      </c>
      <c r="G220" s="12" t="e">
        <f>#REF!</f>
        <v>#REF!</v>
      </c>
      <c r="H220" s="12" t="e">
        <f>#REF!</f>
        <v>#REF!</v>
      </c>
      <c r="I220" s="49" t="s">
        <v>554</v>
      </c>
      <c r="J220" s="12" t="e">
        <f>G220*AO220</f>
        <v>#REF!</v>
      </c>
      <c r="K220" s="12" t="e">
        <f>G220*AP220</f>
        <v>#REF!</v>
      </c>
      <c r="L220" s="12" t="e">
        <f>G220*H220</f>
        <v>#REF!</v>
      </c>
      <c r="M220" s="12" t="e">
        <f>L220*(1+BW220/100)</f>
        <v>#REF!</v>
      </c>
      <c r="N220" s="12">
        <v>2.4399999999999999E-3</v>
      </c>
      <c r="O220" s="12" t="e">
        <f>G220*N220</f>
        <v>#REF!</v>
      </c>
      <c r="P220" s="50" t="s">
        <v>577</v>
      </c>
      <c r="Z220" s="12">
        <f>IF(AQ220="5",BJ220,0)</f>
        <v>0</v>
      </c>
      <c r="AB220" s="12">
        <f>IF(AQ220="1",BH220,0)</f>
        <v>0</v>
      </c>
      <c r="AC220" s="12">
        <f>IF(AQ220="1",BI220,0)</f>
        <v>0</v>
      </c>
      <c r="AD220" s="12" t="e">
        <f>IF(AQ220="7",BH220,0)</f>
        <v>#REF!</v>
      </c>
      <c r="AE220" s="12" t="e">
        <f>IF(AQ220="7",BI220,0)</f>
        <v>#REF!</v>
      </c>
      <c r="AF220" s="12">
        <f>IF(AQ220="2",BH220,0)</f>
        <v>0</v>
      </c>
      <c r="AG220" s="12">
        <f>IF(AQ220="2",BI220,0)</f>
        <v>0</v>
      </c>
      <c r="AH220" s="12">
        <f>IF(AQ220="0",BJ220,0)</f>
        <v>0</v>
      </c>
      <c r="AI220" s="10" t="s">
        <v>714</v>
      </c>
      <c r="AJ220" s="12">
        <f>IF(AN220=0,L220,0)</f>
        <v>0</v>
      </c>
      <c r="AK220" s="12">
        <f>IF(AN220=12,L220,0)</f>
        <v>0</v>
      </c>
      <c r="AL220" s="12" t="e">
        <f>IF(AN220=21,L220,0)</f>
        <v>#REF!</v>
      </c>
      <c r="AN220" s="12">
        <v>21</v>
      </c>
      <c r="AO220" s="12" t="e">
        <f>H220*0</f>
        <v>#REF!</v>
      </c>
      <c r="AP220" s="12" t="e">
        <f>H220*(1-0)</f>
        <v>#REF!</v>
      </c>
      <c r="AQ220" s="49" t="s">
        <v>567</v>
      </c>
      <c r="AV220" s="12" t="e">
        <f>AW220+AX220</f>
        <v>#REF!</v>
      </c>
      <c r="AW220" s="12" t="e">
        <f>G220*AO220</f>
        <v>#REF!</v>
      </c>
      <c r="AX220" s="12" t="e">
        <f>G220*AP220</f>
        <v>#REF!</v>
      </c>
      <c r="AY220" s="49" t="s">
        <v>610</v>
      </c>
      <c r="AZ220" s="49" t="s">
        <v>729</v>
      </c>
      <c r="BA220" s="10" t="s">
        <v>717</v>
      </c>
      <c r="BC220" s="12" t="e">
        <f>AW220+AX220</f>
        <v>#REF!</v>
      </c>
      <c r="BD220" s="12" t="e">
        <f>H220/(100-BE220)*100</f>
        <v>#REF!</v>
      </c>
      <c r="BE220" s="12">
        <v>0</v>
      </c>
      <c r="BF220" s="12" t="e">
        <f>O220</f>
        <v>#REF!</v>
      </c>
      <c r="BH220" s="12" t="e">
        <f>G220*AO220</f>
        <v>#REF!</v>
      </c>
      <c r="BI220" s="12" t="e">
        <f>G220*AP220</f>
        <v>#REF!</v>
      </c>
      <c r="BJ220" s="12" t="e">
        <f>G220*H220</f>
        <v>#REF!</v>
      </c>
      <c r="BK220" s="12"/>
      <c r="BL220" s="12">
        <v>722</v>
      </c>
      <c r="BW220" s="12" t="str">
        <f>I220</f>
        <v>21</v>
      </c>
      <c r="BX220" s="3" t="s">
        <v>358</v>
      </c>
    </row>
    <row r="221" spans="1:76">
      <c r="A221" s="1" t="s">
        <v>730</v>
      </c>
      <c r="B221" s="2" t="s">
        <v>714</v>
      </c>
      <c r="C221" s="2" t="s">
        <v>359</v>
      </c>
      <c r="D221" s="349" t="s">
        <v>360</v>
      </c>
      <c r="E221" s="342"/>
      <c r="F221" s="2" t="s">
        <v>63</v>
      </c>
      <c r="G221" s="12" t="e">
        <f>#REF!</f>
        <v>#REF!</v>
      </c>
      <c r="H221" s="12" t="e">
        <f>#REF!</f>
        <v>#REF!</v>
      </c>
      <c r="I221" s="49" t="s">
        <v>554</v>
      </c>
      <c r="J221" s="12" t="e">
        <f>G221*AO221</f>
        <v>#REF!</v>
      </c>
      <c r="K221" s="12" t="e">
        <f>G221*AP221</f>
        <v>#REF!</v>
      </c>
      <c r="L221" s="12" t="e">
        <f>G221*H221</f>
        <v>#REF!</v>
      </c>
      <c r="M221" s="12" t="e">
        <f>L221*(1+BW221/100)</f>
        <v>#REF!</v>
      </c>
      <c r="N221" s="12">
        <v>2.9E-4</v>
      </c>
      <c r="O221" s="12" t="e">
        <f>G221*N221</f>
        <v>#REF!</v>
      </c>
      <c r="P221" s="50" t="s">
        <v>577</v>
      </c>
      <c r="Z221" s="12">
        <f>IF(AQ221="5",BJ221,0)</f>
        <v>0</v>
      </c>
      <c r="AB221" s="12">
        <f>IF(AQ221="1",BH221,0)</f>
        <v>0</v>
      </c>
      <c r="AC221" s="12">
        <f>IF(AQ221="1",BI221,0)</f>
        <v>0</v>
      </c>
      <c r="AD221" s="12" t="e">
        <f>IF(AQ221="7",BH221,0)</f>
        <v>#REF!</v>
      </c>
      <c r="AE221" s="12" t="e">
        <f>IF(AQ221="7",BI221,0)</f>
        <v>#REF!</v>
      </c>
      <c r="AF221" s="12">
        <f>IF(AQ221="2",BH221,0)</f>
        <v>0</v>
      </c>
      <c r="AG221" s="12">
        <f>IF(AQ221="2",BI221,0)</f>
        <v>0</v>
      </c>
      <c r="AH221" s="12">
        <f>IF(AQ221="0",BJ221,0)</f>
        <v>0</v>
      </c>
      <c r="AI221" s="10" t="s">
        <v>714</v>
      </c>
      <c r="AJ221" s="12">
        <f>IF(AN221=0,L221,0)</f>
        <v>0</v>
      </c>
      <c r="AK221" s="12">
        <f>IF(AN221=12,L221,0)</f>
        <v>0</v>
      </c>
      <c r="AL221" s="12" t="e">
        <f>IF(AN221=21,L221,0)</f>
        <v>#REF!</v>
      </c>
      <c r="AN221" s="12">
        <v>21</v>
      </c>
      <c r="AO221" s="12" t="e">
        <f>H221*0</f>
        <v>#REF!</v>
      </c>
      <c r="AP221" s="12" t="e">
        <f>H221*(1-0)</f>
        <v>#REF!</v>
      </c>
      <c r="AQ221" s="49" t="s">
        <v>567</v>
      </c>
      <c r="AV221" s="12" t="e">
        <f>AW221+AX221</f>
        <v>#REF!</v>
      </c>
      <c r="AW221" s="12" t="e">
        <f>G221*AO221</f>
        <v>#REF!</v>
      </c>
      <c r="AX221" s="12" t="e">
        <f>G221*AP221</f>
        <v>#REF!</v>
      </c>
      <c r="AY221" s="49" t="s">
        <v>610</v>
      </c>
      <c r="AZ221" s="49" t="s">
        <v>729</v>
      </c>
      <c r="BA221" s="10" t="s">
        <v>717</v>
      </c>
      <c r="BC221" s="12" t="e">
        <f>AW221+AX221</f>
        <v>#REF!</v>
      </c>
      <c r="BD221" s="12" t="e">
        <f>H221/(100-BE221)*100</f>
        <v>#REF!</v>
      </c>
      <c r="BE221" s="12">
        <v>0</v>
      </c>
      <c r="BF221" s="12" t="e">
        <f>O221</f>
        <v>#REF!</v>
      </c>
      <c r="BH221" s="12" t="e">
        <f>G221*AO221</f>
        <v>#REF!</v>
      </c>
      <c r="BI221" s="12" t="e">
        <f>G221*AP221</f>
        <v>#REF!</v>
      </c>
      <c r="BJ221" s="12" t="e">
        <f>G221*H221</f>
        <v>#REF!</v>
      </c>
      <c r="BK221" s="12"/>
      <c r="BL221" s="12">
        <v>722</v>
      </c>
      <c r="BW221" s="12" t="str">
        <f>I221</f>
        <v>21</v>
      </c>
      <c r="BX221" s="3" t="s">
        <v>360</v>
      </c>
    </row>
    <row r="222" spans="1:76">
      <c r="A222" s="1" t="s">
        <v>731</v>
      </c>
      <c r="B222" s="2" t="s">
        <v>714</v>
      </c>
      <c r="C222" s="2" t="s">
        <v>361</v>
      </c>
      <c r="D222" s="349" t="s">
        <v>362</v>
      </c>
      <c r="E222" s="342"/>
      <c r="F222" s="2" t="s">
        <v>68</v>
      </c>
      <c r="G222" s="12" t="e">
        <f>#REF!</f>
        <v>#REF!</v>
      </c>
      <c r="H222" s="12" t="e">
        <f>#REF!</f>
        <v>#REF!</v>
      </c>
      <c r="I222" s="49" t="s">
        <v>554</v>
      </c>
      <c r="J222" s="12" t="e">
        <f>G222*AO222</f>
        <v>#REF!</v>
      </c>
      <c r="K222" s="12" t="e">
        <f>G222*AP222</f>
        <v>#REF!</v>
      </c>
      <c r="L222" s="12" t="e">
        <f>G222*H222</f>
        <v>#REF!</v>
      </c>
      <c r="M222" s="12" t="e">
        <f>L222*(1+BW222/100)</f>
        <v>#REF!</v>
      </c>
      <c r="N222" s="12">
        <v>6.0200000000000002E-3</v>
      </c>
      <c r="O222" s="12" t="e">
        <f>G222*N222</f>
        <v>#REF!</v>
      </c>
      <c r="P222" s="50" t="s">
        <v>577</v>
      </c>
      <c r="Z222" s="12">
        <f>IF(AQ222="5",BJ222,0)</f>
        <v>0</v>
      </c>
      <c r="AB222" s="12">
        <f>IF(AQ222="1",BH222,0)</f>
        <v>0</v>
      </c>
      <c r="AC222" s="12">
        <f>IF(AQ222="1",BI222,0)</f>
        <v>0</v>
      </c>
      <c r="AD222" s="12" t="e">
        <f>IF(AQ222="7",BH222,0)</f>
        <v>#REF!</v>
      </c>
      <c r="AE222" s="12" t="e">
        <f>IF(AQ222="7",BI222,0)</f>
        <v>#REF!</v>
      </c>
      <c r="AF222" s="12">
        <f>IF(AQ222="2",BH222,0)</f>
        <v>0</v>
      </c>
      <c r="AG222" s="12">
        <f>IF(AQ222="2",BI222,0)</f>
        <v>0</v>
      </c>
      <c r="AH222" s="12">
        <f>IF(AQ222="0",BJ222,0)</f>
        <v>0</v>
      </c>
      <c r="AI222" s="10" t="s">
        <v>714</v>
      </c>
      <c r="AJ222" s="12">
        <f>IF(AN222=0,L222,0)</f>
        <v>0</v>
      </c>
      <c r="AK222" s="12">
        <f>IF(AN222=12,L222,0)</f>
        <v>0</v>
      </c>
      <c r="AL222" s="12" t="e">
        <f>IF(AN222=21,L222,0)</f>
        <v>#REF!</v>
      </c>
      <c r="AN222" s="12">
        <v>21</v>
      </c>
      <c r="AO222" s="12" t="e">
        <f>H222*0.591079336</f>
        <v>#REF!</v>
      </c>
      <c r="AP222" s="12" t="e">
        <f>H222*(1-0.591079336)</f>
        <v>#REF!</v>
      </c>
      <c r="AQ222" s="49" t="s">
        <v>567</v>
      </c>
      <c r="AV222" s="12" t="e">
        <f>AW222+AX222</f>
        <v>#REF!</v>
      </c>
      <c r="AW222" s="12" t="e">
        <f>G222*AO222</f>
        <v>#REF!</v>
      </c>
      <c r="AX222" s="12" t="e">
        <f>G222*AP222</f>
        <v>#REF!</v>
      </c>
      <c r="AY222" s="49" t="s">
        <v>610</v>
      </c>
      <c r="AZ222" s="49" t="s">
        <v>729</v>
      </c>
      <c r="BA222" s="10" t="s">
        <v>717</v>
      </c>
      <c r="BC222" s="12" t="e">
        <f>AW222+AX222</f>
        <v>#REF!</v>
      </c>
      <c r="BD222" s="12" t="e">
        <f>H222/(100-BE222)*100</f>
        <v>#REF!</v>
      </c>
      <c r="BE222" s="12">
        <v>0</v>
      </c>
      <c r="BF222" s="12" t="e">
        <f>O222</f>
        <v>#REF!</v>
      </c>
      <c r="BH222" s="12" t="e">
        <f>G222*AO222</f>
        <v>#REF!</v>
      </c>
      <c r="BI222" s="12" t="e">
        <f>G222*AP222</f>
        <v>#REF!</v>
      </c>
      <c r="BJ222" s="12" t="e">
        <f>G222*H222</f>
        <v>#REF!</v>
      </c>
      <c r="BK222" s="12"/>
      <c r="BL222" s="12">
        <v>722</v>
      </c>
      <c r="BW222" s="12" t="str">
        <f>I222</f>
        <v>21</v>
      </c>
      <c r="BX222" s="3" t="s">
        <v>362</v>
      </c>
    </row>
    <row r="223" spans="1:76">
      <c r="A223" s="1" t="s">
        <v>732</v>
      </c>
      <c r="B223" s="2" t="s">
        <v>714</v>
      </c>
      <c r="C223" s="2" t="s">
        <v>136</v>
      </c>
      <c r="D223" s="349" t="s">
        <v>137</v>
      </c>
      <c r="E223" s="342"/>
      <c r="F223" s="2" t="s">
        <v>63</v>
      </c>
      <c r="G223" s="12" t="e">
        <f>#REF!</f>
        <v>#REF!</v>
      </c>
      <c r="H223" s="12" t="e">
        <f>#REF!</f>
        <v>#REF!</v>
      </c>
      <c r="I223" s="49" t="s">
        <v>554</v>
      </c>
      <c r="J223" s="12" t="e">
        <f>G223*AO223</f>
        <v>#REF!</v>
      </c>
      <c r="K223" s="12" t="e">
        <f>G223*AP223</f>
        <v>#REF!</v>
      </c>
      <c r="L223" s="12" t="e">
        <f>G223*H223</f>
        <v>#REF!</v>
      </c>
      <c r="M223" s="12" t="e">
        <f>L223*(1+BW223/100)</f>
        <v>#REF!</v>
      </c>
      <c r="N223" s="12">
        <v>5.3499999999999997E-3</v>
      </c>
      <c r="O223" s="12" t="e">
        <f>G223*N223</f>
        <v>#REF!</v>
      </c>
      <c r="P223" s="50" t="s">
        <v>577</v>
      </c>
      <c r="Z223" s="12">
        <f>IF(AQ223="5",BJ223,0)</f>
        <v>0</v>
      </c>
      <c r="AB223" s="12">
        <f>IF(AQ223="1",BH223,0)</f>
        <v>0</v>
      </c>
      <c r="AC223" s="12">
        <f>IF(AQ223="1",BI223,0)</f>
        <v>0</v>
      </c>
      <c r="AD223" s="12" t="e">
        <f>IF(AQ223="7",BH223,0)</f>
        <v>#REF!</v>
      </c>
      <c r="AE223" s="12" t="e">
        <f>IF(AQ223="7",BI223,0)</f>
        <v>#REF!</v>
      </c>
      <c r="AF223" s="12">
        <f>IF(AQ223="2",BH223,0)</f>
        <v>0</v>
      </c>
      <c r="AG223" s="12">
        <f>IF(AQ223="2",BI223,0)</f>
        <v>0</v>
      </c>
      <c r="AH223" s="12">
        <f>IF(AQ223="0",BJ223,0)</f>
        <v>0</v>
      </c>
      <c r="AI223" s="10" t="s">
        <v>714</v>
      </c>
      <c r="AJ223" s="12">
        <f>IF(AN223=0,L223,0)</f>
        <v>0</v>
      </c>
      <c r="AK223" s="12">
        <f>IF(AN223=12,L223,0)</f>
        <v>0</v>
      </c>
      <c r="AL223" s="12" t="e">
        <f>IF(AN223=21,L223,0)</f>
        <v>#REF!</v>
      </c>
      <c r="AN223" s="12">
        <v>21</v>
      </c>
      <c r="AO223" s="12" t="e">
        <f>H223*0.334193548</f>
        <v>#REF!</v>
      </c>
      <c r="AP223" s="12" t="e">
        <f>H223*(1-0.334193548)</f>
        <v>#REF!</v>
      </c>
      <c r="AQ223" s="49" t="s">
        <v>567</v>
      </c>
      <c r="AV223" s="12" t="e">
        <f>AW223+AX223</f>
        <v>#REF!</v>
      </c>
      <c r="AW223" s="12" t="e">
        <f>G223*AO223</f>
        <v>#REF!</v>
      </c>
      <c r="AX223" s="12" t="e">
        <f>G223*AP223</f>
        <v>#REF!</v>
      </c>
      <c r="AY223" s="49" t="s">
        <v>610</v>
      </c>
      <c r="AZ223" s="49" t="s">
        <v>729</v>
      </c>
      <c r="BA223" s="10" t="s">
        <v>717</v>
      </c>
      <c r="BC223" s="12" t="e">
        <f>AW223+AX223</f>
        <v>#REF!</v>
      </c>
      <c r="BD223" s="12" t="e">
        <f>H223/(100-BE223)*100</f>
        <v>#REF!</v>
      </c>
      <c r="BE223" s="12">
        <v>0</v>
      </c>
      <c r="BF223" s="12" t="e">
        <f>O223</f>
        <v>#REF!</v>
      </c>
      <c r="BH223" s="12" t="e">
        <f>G223*AO223</f>
        <v>#REF!</v>
      </c>
      <c r="BI223" s="12" t="e">
        <f>G223*AP223</f>
        <v>#REF!</v>
      </c>
      <c r="BJ223" s="12" t="e">
        <f>G223*H223</f>
        <v>#REF!</v>
      </c>
      <c r="BK223" s="12"/>
      <c r="BL223" s="12">
        <v>722</v>
      </c>
      <c r="BW223" s="12" t="str">
        <f>I223</f>
        <v>21</v>
      </c>
      <c r="BX223" s="3" t="s">
        <v>137</v>
      </c>
    </row>
    <row r="224" spans="1:76">
      <c r="A224" s="1" t="s">
        <v>733</v>
      </c>
      <c r="B224" s="2" t="s">
        <v>714</v>
      </c>
      <c r="C224" s="2" t="s">
        <v>143</v>
      </c>
      <c r="D224" s="349" t="s">
        <v>363</v>
      </c>
      <c r="E224" s="342"/>
      <c r="F224" s="2" t="s">
        <v>63</v>
      </c>
      <c r="G224" s="12" t="e">
        <f>#REF!</f>
        <v>#REF!</v>
      </c>
      <c r="H224" s="12" t="e">
        <f>#REF!</f>
        <v>#REF!</v>
      </c>
      <c r="I224" s="49" t="s">
        <v>554</v>
      </c>
      <c r="J224" s="12" t="e">
        <f>G224*AO224</f>
        <v>#REF!</v>
      </c>
      <c r="K224" s="12" t="e">
        <f>G224*AP224</f>
        <v>#REF!</v>
      </c>
      <c r="L224" s="12" t="e">
        <f>G224*H224</f>
        <v>#REF!</v>
      </c>
      <c r="M224" s="12" t="e">
        <f>L224*(1+BW224/100)</f>
        <v>#REF!</v>
      </c>
      <c r="N224" s="12">
        <v>6.9999999999999994E-5</v>
      </c>
      <c r="O224" s="12" t="e">
        <f>G224*N224</f>
        <v>#REF!</v>
      </c>
      <c r="P224" s="50" t="s">
        <v>577</v>
      </c>
      <c r="Z224" s="12">
        <f>IF(AQ224="5",BJ224,0)</f>
        <v>0</v>
      </c>
      <c r="AB224" s="12">
        <f>IF(AQ224="1",BH224,0)</f>
        <v>0</v>
      </c>
      <c r="AC224" s="12">
        <f>IF(AQ224="1",BI224,0)</f>
        <v>0</v>
      </c>
      <c r="AD224" s="12" t="e">
        <f>IF(AQ224="7",BH224,0)</f>
        <v>#REF!</v>
      </c>
      <c r="AE224" s="12" t="e">
        <f>IF(AQ224="7",BI224,0)</f>
        <v>#REF!</v>
      </c>
      <c r="AF224" s="12">
        <f>IF(AQ224="2",BH224,0)</f>
        <v>0</v>
      </c>
      <c r="AG224" s="12">
        <f>IF(AQ224="2",BI224,0)</f>
        <v>0</v>
      </c>
      <c r="AH224" s="12">
        <f>IF(AQ224="0",BJ224,0)</f>
        <v>0</v>
      </c>
      <c r="AI224" s="10" t="s">
        <v>714</v>
      </c>
      <c r="AJ224" s="12">
        <f>IF(AN224=0,L224,0)</f>
        <v>0</v>
      </c>
      <c r="AK224" s="12">
        <f>IF(AN224=12,L224,0)</f>
        <v>0</v>
      </c>
      <c r="AL224" s="12" t="e">
        <f>IF(AN224=21,L224,0)</f>
        <v>#REF!</v>
      </c>
      <c r="AN224" s="12">
        <v>21</v>
      </c>
      <c r="AO224" s="12" t="e">
        <f>H224*0.599757869</f>
        <v>#REF!</v>
      </c>
      <c r="AP224" s="12" t="e">
        <f>H224*(1-0.599757869)</f>
        <v>#REF!</v>
      </c>
      <c r="AQ224" s="49" t="s">
        <v>567</v>
      </c>
      <c r="AV224" s="12" t="e">
        <f>AW224+AX224</f>
        <v>#REF!</v>
      </c>
      <c r="AW224" s="12" t="e">
        <f>G224*AO224</f>
        <v>#REF!</v>
      </c>
      <c r="AX224" s="12" t="e">
        <f>G224*AP224</f>
        <v>#REF!</v>
      </c>
      <c r="AY224" s="49" t="s">
        <v>610</v>
      </c>
      <c r="AZ224" s="49" t="s">
        <v>729</v>
      </c>
      <c r="BA224" s="10" t="s">
        <v>717</v>
      </c>
      <c r="BC224" s="12" t="e">
        <f>AW224+AX224</f>
        <v>#REF!</v>
      </c>
      <c r="BD224" s="12" t="e">
        <f>H224/(100-BE224)*100</f>
        <v>#REF!</v>
      </c>
      <c r="BE224" s="12">
        <v>0</v>
      </c>
      <c r="BF224" s="12" t="e">
        <f>O224</f>
        <v>#REF!</v>
      </c>
      <c r="BH224" s="12" t="e">
        <f>G224*AO224</f>
        <v>#REF!</v>
      </c>
      <c r="BI224" s="12" t="e">
        <f>G224*AP224</f>
        <v>#REF!</v>
      </c>
      <c r="BJ224" s="12" t="e">
        <f>G224*H224</f>
        <v>#REF!</v>
      </c>
      <c r="BK224" s="12"/>
      <c r="BL224" s="12">
        <v>722</v>
      </c>
      <c r="BW224" s="12" t="str">
        <f>I224</f>
        <v>21</v>
      </c>
      <c r="BX224" s="3" t="s">
        <v>363</v>
      </c>
    </row>
    <row r="225" spans="1:76">
      <c r="A225" s="51"/>
      <c r="C225" s="13" t="s">
        <v>117</v>
      </c>
      <c r="D225" s="363" t="s">
        <v>142</v>
      </c>
      <c r="E225" s="364"/>
      <c r="F225" s="364"/>
      <c r="G225" s="364"/>
      <c r="H225" s="364"/>
      <c r="I225" s="364"/>
      <c r="J225" s="364"/>
      <c r="K225" s="364"/>
      <c r="L225" s="364"/>
      <c r="M225" s="364"/>
      <c r="N225" s="364"/>
      <c r="O225" s="364"/>
      <c r="P225" s="365"/>
      <c r="BX225" s="14" t="s">
        <v>142</v>
      </c>
    </row>
    <row r="226" spans="1:76">
      <c r="A226" s="1" t="s">
        <v>734</v>
      </c>
      <c r="B226" s="2" t="s">
        <v>714</v>
      </c>
      <c r="C226" s="2" t="s">
        <v>364</v>
      </c>
      <c r="D226" s="349" t="s">
        <v>365</v>
      </c>
      <c r="E226" s="342"/>
      <c r="F226" s="2" t="s">
        <v>63</v>
      </c>
      <c r="G226" s="12" t="e">
        <f>#REF!</f>
        <v>#REF!</v>
      </c>
      <c r="H226" s="12" t="e">
        <f>#REF!</f>
        <v>#REF!</v>
      </c>
      <c r="I226" s="49" t="s">
        <v>554</v>
      </c>
      <c r="J226" s="12" t="e">
        <f t="shared" ref="J226:J234" si="156">G226*AO226</f>
        <v>#REF!</v>
      </c>
      <c r="K226" s="12" t="e">
        <f t="shared" ref="K226:K234" si="157">G226*AP226</f>
        <v>#REF!</v>
      </c>
      <c r="L226" s="12" t="e">
        <f t="shared" ref="L226:L234" si="158">G226*H226</f>
        <v>#REF!</v>
      </c>
      <c r="M226" s="12" t="e">
        <f t="shared" ref="M226:M234" si="159">L226*(1+BW226/100)</f>
        <v>#REF!</v>
      </c>
      <c r="N226" s="12">
        <v>4.0000000000000003E-5</v>
      </c>
      <c r="O226" s="12" t="e">
        <f t="shared" ref="O226:O234" si="160">G226*N226</f>
        <v>#REF!</v>
      </c>
      <c r="P226" s="50" t="s">
        <v>577</v>
      </c>
      <c r="Z226" s="12">
        <f t="shared" ref="Z226:Z234" si="161">IF(AQ226="5",BJ226,0)</f>
        <v>0</v>
      </c>
      <c r="AB226" s="12">
        <f t="shared" ref="AB226:AB234" si="162">IF(AQ226="1",BH226,0)</f>
        <v>0</v>
      </c>
      <c r="AC226" s="12">
        <f t="shared" ref="AC226:AC234" si="163">IF(AQ226="1",BI226,0)</f>
        <v>0</v>
      </c>
      <c r="AD226" s="12" t="e">
        <f t="shared" ref="AD226:AD234" si="164">IF(AQ226="7",BH226,0)</f>
        <v>#REF!</v>
      </c>
      <c r="AE226" s="12" t="e">
        <f t="shared" ref="AE226:AE234" si="165">IF(AQ226="7",BI226,0)</f>
        <v>#REF!</v>
      </c>
      <c r="AF226" s="12">
        <f t="shared" ref="AF226:AF234" si="166">IF(AQ226="2",BH226,0)</f>
        <v>0</v>
      </c>
      <c r="AG226" s="12">
        <f t="shared" ref="AG226:AG234" si="167">IF(AQ226="2",BI226,0)</f>
        <v>0</v>
      </c>
      <c r="AH226" s="12">
        <f t="shared" ref="AH226:AH234" si="168">IF(AQ226="0",BJ226,0)</f>
        <v>0</v>
      </c>
      <c r="AI226" s="10" t="s">
        <v>714</v>
      </c>
      <c r="AJ226" s="12">
        <f t="shared" ref="AJ226:AJ234" si="169">IF(AN226=0,L226,0)</f>
        <v>0</v>
      </c>
      <c r="AK226" s="12">
        <f t="shared" ref="AK226:AK234" si="170">IF(AN226=12,L226,0)</f>
        <v>0</v>
      </c>
      <c r="AL226" s="12" t="e">
        <f t="shared" ref="AL226:AL234" si="171">IF(AN226=21,L226,0)</f>
        <v>#REF!</v>
      </c>
      <c r="AN226" s="12">
        <v>21</v>
      </c>
      <c r="AO226" s="12" t="e">
        <f>H226*0.347100252</f>
        <v>#REF!</v>
      </c>
      <c r="AP226" s="12" t="e">
        <f>H226*(1-0.347100252)</f>
        <v>#REF!</v>
      </c>
      <c r="AQ226" s="49" t="s">
        <v>567</v>
      </c>
      <c r="AV226" s="12" t="e">
        <f t="shared" ref="AV226:AV234" si="172">AW226+AX226</f>
        <v>#REF!</v>
      </c>
      <c r="AW226" s="12" t="e">
        <f t="shared" ref="AW226:AW234" si="173">G226*AO226</f>
        <v>#REF!</v>
      </c>
      <c r="AX226" s="12" t="e">
        <f t="shared" ref="AX226:AX234" si="174">G226*AP226</f>
        <v>#REF!</v>
      </c>
      <c r="AY226" s="49" t="s">
        <v>610</v>
      </c>
      <c r="AZ226" s="49" t="s">
        <v>729</v>
      </c>
      <c r="BA226" s="10" t="s">
        <v>717</v>
      </c>
      <c r="BC226" s="12" t="e">
        <f t="shared" ref="BC226:BC234" si="175">AW226+AX226</f>
        <v>#REF!</v>
      </c>
      <c r="BD226" s="12" t="e">
        <f t="shared" ref="BD226:BD234" si="176">H226/(100-BE226)*100</f>
        <v>#REF!</v>
      </c>
      <c r="BE226" s="12">
        <v>0</v>
      </c>
      <c r="BF226" s="12" t="e">
        <f t="shared" ref="BF226:BF234" si="177">O226</f>
        <v>#REF!</v>
      </c>
      <c r="BH226" s="12" t="e">
        <f t="shared" ref="BH226:BH234" si="178">G226*AO226</f>
        <v>#REF!</v>
      </c>
      <c r="BI226" s="12" t="e">
        <f t="shared" ref="BI226:BI234" si="179">G226*AP226</f>
        <v>#REF!</v>
      </c>
      <c r="BJ226" s="12" t="e">
        <f t="shared" ref="BJ226:BJ234" si="180">G226*H226</f>
        <v>#REF!</v>
      </c>
      <c r="BK226" s="12"/>
      <c r="BL226" s="12">
        <v>722</v>
      </c>
      <c r="BW226" s="12" t="str">
        <f t="shared" ref="BW226:BW234" si="181">I226</f>
        <v>21</v>
      </c>
      <c r="BX226" s="3" t="s">
        <v>365</v>
      </c>
    </row>
    <row r="227" spans="1:76">
      <c r="A227" s="1" t="s">
        <v>735</v>
      </c>
      <c r="B227" s="2" t="s">
        <v>714</v>
      </c>
      <c r="C227" s="2" t="s">
        <v>366</v>
      </c>
      <c r="D227" s="349" t="s">
        <v>367</v>
      </c>
      <c r="E227" s="342"/>
      <c r="F227" s="2" t="s">
        <v>68</v>
      </c>
      <c r="G227" s="12" t="e">
        <f>#REF!</f>
        <v>#REF!</v>
      </c>
      <c r="H227" s="12" t="e">
        <f>#REF!</f>
        <v>#REF!</v>
      </c>
      <c r="I227" s="49" t="s">
        <v>554</v>
      </c>
      <c r="J227" s="12" t="e">
        <f t="shared" si="156"/>
        <v>#REF!</v>
      </c>
      <c r="K227" s="12" t="e">
        <f t="shared" si="157"/>
        <v>#REF!</v>
      </c>
      <c r="L227" s="12" t="e">
        <f t="shared" si="158"/>
        <v>#REF!</v>
      </c>
      <c r="M227" s="12" t="e">
        <f t="shared" si="159"/>
        <v>#REF!</v>
      </c>
      <c r="N227" s="12">
        <v>1E-3</v>
      </c>
      <c r="O227" s="12" t="e">
        <f t="shared" si="160"/>
        <v>#REF!</v>
      </c>
      <c r="P227" s="50" t="s">
        <v>577</v>
      </c>
      <c r="Z227" s="12">
        <f t="shared" si="161"/>
        <v>0</v>
      </c>
      <c r="AB227" s="12">
        <f t="shared" si="162"/>
        <v>0</v>
      </c>
      <c r="AC227" s="12">
        <f t="shared" si="163"/>
        <v>0</v>
      </c>
      <c r="AD227" s="12" t="e">
        <f t="shared" si="164"/>
        <v>#REF!</v>
      </c>
      <c r="AE227" s="12" t="e">
        <f t="shared" si="165"/>
        <v>#REF!</v>
      </c>
      <c r="AF227" s="12">
        <f t="shared" si="166"/>
        <v>0</v>
      </c>
      <c r="AG227" s="12">
        <f t="shared" si="167"/>
        <v>0</v>
      </c>
      <c r="AH227" s="12">
        <f t="shared" si="168"/>
        <v>0</v>
      </c>
      <c r="AI227" s="10" t="s">
        <v>714</v>
      </c>
      <c r="AJ227" s="12">
        <f t="shared" si="169"/>
        <v>0</v>
      </c>
      <c r="AK227" s="12">
        <f t="shared" si="170"/>
        <v>0</v>
      </c>
      <c r="AL227" s="12" t="e">
        <f t="shared" si="171"/>
        <v>#REF!</v>
      </c>
      <c r="AN227" s="12">
        <v>21</v>
      </c>
      <c r="AO227" s="12" t="e">
        <f>H227*0.945125475</f>
        <v>#REF!</v>
      </c>
      <c r="AP227" s="12" t="e">
        <f>H227*(1-0.945125475)</f>
        <v>#REF!</v>
      </c>
      <c r="AQ227" s="49" t="s">
        <v>567</v>
      </c>
      <c r="AV227" s="12" t="e">
        <f t="shared" si="172"/>
        <v>#REF!</v>
      </c>
      <c r="AW227" s="12" t="e">
        <f t="shared" si="173"/>
        <v>#REF!</v>
      </c>
      <c r="AX227" s="12" t="e">
        <f t="shared" si="174"/>
        <v>#REF!</v>
      </c>
      <c r="AY227" s="49" t="s">
        <v>610</v>
      </c>
      <c r="AZ227" s="49" t="s">
        <v>729</v>
      </c>
      <c r="BA227" s="10" t="s">
        <v>717</v>
      </c>
      <c r="BC227" s="12" t="e">
        <f t="shared" si="175"/>
        <v>#REF!</v>
      </c>
      <c r="BD227" s="12" t="e">
        <f t="shared" si="176"/>
        <v>#REF!</v>
      </c>
      <c r="BE227" s="12">
        <v>0</v>
      </c>
      <c r="BF227" s="12" t="e">
        <f t="shared" si="177"/>
        <v>#REF!</v>
      </c>
      <c r="BH227" s="12" t="e">
        <f t="shared" si="178"/>
        <v>#REF!</v>
      </c>
      <c r="BI227" s="12" t="e">
        <f t="shared" si="179"/>
        <v>#REF!</v>
      </c>
      <c r="BJ227" s="12" t="e">
        <f t="shared" si="180"/>
        <v>#REF!</v>
      </c>
      <c r="BK227" s="12"/>
      <c r="BL227" s="12">
        <v>722</v>
      </c>
      <c r="BW227" s="12" t="str">
        <f t="shared" si="181"/>
        <v>21</v>
      </c>
      <c r="BX227" s="3" t="s">
        <v>367</v>
      </c>
    </row>
    <row r="228" spans="1:76">
      <c r="A228" s="1" t="s">
        <v>736</v>
      </c>
      <c r="B228" s="2" t="s">
        <v>714</v>
      </c>
      <c r="C228" s="2" t="s">
        <v>368</v>
      </c>
      <c r="D228" s="349" t="s">
        <v>369</v>
      </c>
      <c r="E228" s="342"/>
      <c r="F228" s="2" t="s">
        <v>68</v>
      </c>
      <c r="G228" s="12" t="e">
        <f>#REF!</f>
        <v>#REF!</v>
      </c>
      <c r="H228" s="12" t="e">
        <f>#REF!</f>
        <v>#REF!</v>
      </c>
      <c r="I228" s="49" t="s">
        <v>554</v>
      </c>
      <c r="J228" s="12" t="e">
        <f t="shared" si="156"/>
        <v>#REF!</v>
      </c>
      <c r="K228" s="12" t="e">
        <f t="shared" si="157"/>
        <v>#REF!</v>
      </c>
      <c r="L228" s="12" t="e">
        <f t="shared" si="158"/>
        <v>#REF!</v>
      </c>
      <c r="M228" s="12" t="e">
        <f t="shared" si="159"/>
        <v>#REF!</v>
      </c>
      <c r="N228" s="12">
        <v>1.5E-3</v>
      </c>
      <c r="O228" s="12" t="e">
        <f t="shared" si="160"/>
        <v>#REF!</v>
      </c>
      <c r="P228" s="50" t="s">
        <v>577</v>
      </c>
      <c r="Z228" s="12">
        <f t="shared" si="161"/>
        <v>0</v>
      </c>
      <c r="AB228" s="12">
        <f t="shared" si="162"/>
        <v>0</v>
      </c>
      <c r="AC228" s="12">
        <f t="shared" si="163"/>
        <v>0</v>
      </c>
      <c r="AD228" s="12" t="e">
        <f t="shared" si="164"/>
        <v>#REF!</v>
      </c>
      <c r="AE228" s="12" t="e">
        <f t="shared" si="165"/>
        <v>#REF!</v>
      </c>
      <c r="AF228" s="12">
        <f t="shared" si="166"/>
        <v>0</v>
      </c>
      <c r="AG228" s="12">
        <f t="shared" si="167"/>
        <v>0</v>
      </c>
      <c r="AH228" s="12">
        <f t="shared" si="168"/>
        <v>0</v>
      </c>
      <c r="AI228" s="10" t="s">
        <v>714</v>
      </c>
      <c r="AJ228" s="12">
        <f t="shared" si="169"/>
        <v>0</v>
      </c>
      <c r="AK228" s="12">
        <f t="shared" si="170"/>
        <v>0</v>
      </c>
      <c r="AL228" s="12" t="e">
        <f t="shared" si="171"/>
        <v>#REF!</v>
      </c>
      <c r="AN228" s="12">
        <v>21</v>
      </c>
      <c r="AO228" s="12" t="e">
        <f>H228*0.958778158</f>
        <v>#REF!</v>
      </c>
      <c r="AP228" s="12" t="e">
        <f>H228*(1-0.958778158)</f>
        <v>#REF!</v>
      </c>
      <c r="AQ228" s="49" t="s">
        <v>567</v>
      </c>
      <c r="AV228" s="12" t="e">
        <f t="shared" si="172"/>
        <v>#REF!</v>
      </c>
      <c r="AW228" s="12" t="e">
        <f t="shared" si="173"/>
        <v>#REF!</v>
      </c>
      <c r="AX228" s="12" t="e">
        <f t="shared" si="174"/>
        <v>#REF!</v>
      </c>
      <c r="AY228" s="49" t="s">
        <v>610</v>
      </c>
      <c r="AZ228" s="49" t="s">
        <v>729</v>
      </c>
      <c r="BA228" s="10" t="s">
        <v>717</v>
      </c>
      <c r="BC228" s="12" t="e">
        <f t="shared" si="175"/>
        <v>#REF!</v>
      </c>
      <c r="BD228" s="12" t="e">
        <f t="shared" si="176"/>
        <v>#REF!</v>
      </c>
      <c r="BE228" s="12">
        <v>0</v>
      </c>
      <c r="BF228" s="12" t="e">
        <f t="shared" si="177"/>
        <v>#REF!</v>
      </c>
      <c r="BH228" s="12" t="e">
        <f t="shared" si="178"/>
        <v>#REF!</v>
      </c>
      <c r="BI228" s="12" t="e">
        <f t="shared" si="179"/>
        <v>#REF!</v>
      </c>
      <c r="BJ228" s="12" t="e">
        <f t="shared" si="180"/>
        <v>#REF!</v>
      </c>
      <c r="BK228" s="12"/>
      <c r="BL228" s="12">
        <v>722</v>
      </c>
      <c r="BW228" s="12" t="str">
        <f t="shared" si="181"/>
        <v>21</v>
      </c>
      <c r="BX228" s="3" t="s">
        <v>369</v>
      </c>
    </row>
    <row r="229" spans="1:76">
      <c r="A229" s="1" t="s">
        <v>737</v>
      </c>
      <c r="B229" s="2" t="s">
        <v>714</v>
      </c>
      <c r="C229" s="2" t="s">
        <v>149</v>
      </c>
      <c r="D229" s="349" t="s">
        <v>150</v>
      </c>
      <c r="E229" s="342"/>
      <c r="F229" s="2" t="s">
        <v>68</v>
      </c>
      <c r="G229" s="12" t="e">
        <f>#REF!</f>
        <v>#REF!</v>
      </c>
      <c r="H229" s="12" t="e">
        <f>#REF!</f>
        <v>#REF!</v>
      </c>
      <c r="I229" s="49" t="s">
        <v>554</v>
      </c>
      <c r="J229" s="12" t="e">
        <f t="shared" si="156"/>
        <v>#REF!</v>
      </c>
      <c r="K229" s="12" t="e">
        <f t="shared" si="157"/>
        <v>#REF!</v>
      </c>
      <c r="L229" s="12" t="e">
        <f t="shared" si="158"/>
        <v>#REF!</v>
      </c>
      <c r="M229" s="12" t="e">
        <f t="shared" si="159"/>
        <v>#REF!</v>
      </c>
      <c r="N229" s="12">
        <v>3.2000000000000003E-4</v>
      </c>
      <c r="O229" s="12" t="e">
        <f t="shared" si="160"/>
        <v>#REF!</v>
      </c>
      <c r="P229" s="50" t="s">
        <v>605</v>
      </c>
      <c r="Z229" s="12">
        <f t="shared" si="161"/>
        <v>0</v>
      </c>
      <c r="AB229" s="12">
        <f t="shared" si="162"/>
        <v>0</v>
      </c>
      <c r="AC229" s="12">
        <f t="shared" si="163"/>
        <v>0</v>
      </c>
      <c r="AD229" s="12" t="e">
        <f t="shared" si="164"/>
        <v>#REF!</v>
      </c>
      <c r="AE229" s="12" t="e">
        <f t="shared" si="165"/>
        <v>#REF!</v>
      </c>
      <c r="AF229" s="12">
        <f t="shared" si="166"/>
        <v>0</v>
      </c>
      <c r="AG229" s="12">
        <f t="shared" si="167"/>
        <v>0</v>
      </c>
      <c r="AH229" s="12">
        <f t="shared" si="168"/>
        <v>0</v>
      </c>
      <c r="AI229" s="10" t="s">
        <v>714</v>
      </c>
      <c r="AJ229" s="12">
        <f t="shared" si="169"/>
        <v>0</v>
      </c>
      <c r="AK229" s="12">
        <f t="shared" si="170"/>
        <v>0</v>
      </c>
      <c r="AL229" s="12" t="e">
        <f t="shared" si="171"/>
        <v>#REF!</v>
      </c>
      <c r="AN229" s="12">
        <v>21</v>
      </c>
      <c r="AO229" s="12" t="e">
        <f>H229*0.767472727</f>
        <v>#REF!</v>
      </c>
      <c r="AP229" s="12" t="e">
        <f>H229*(1-0.767472727)</f>
        <v>#REF!</v>
      </c>
      <c r="AQ229" s="49" t="s">
        <v>567</v>
      </c>
      <c r="AV229" s="12" t="e">
        <f t="shared" si="172"/>
        <v>#REF!</v>
      </c>
      <c r="AW229" s="12" t="e">
        <f t="shared" si="173"/>
        <v>#REF!</v>
      </c>
      <c r="AX229" s="12" t="e">
        <f t="shared" si="174"/>
        <v>#REF!</v>
      </c>
      <c r="AY229" s="49" t="s">
        <v>610</v>
      </c>
      <c r="AZ229" s="49" t="s">
        <v>729</v>
      </c>
      <c r="BA229" s="10" t="s">
        <v>717</v>
      </c>
      <c r="BC229" s="12" t="e">
        <f t="shared" si="175"/>
        <v>#REF!</v>
      </c>
      <c r="BD229" s="12" t="e">
        <f t="shared" si="176"/>
        <v>#REF!</v>
      </c>
      <c r="BE229" s="12">
        <v>0</v>
      </c>
      <c r="BF229" s="12" t="e">
        <f t="shared" si="177"/>
        <v>#REF!</v>
      </c>
      <c r="BH229" s="12" t="e">
        <f t="shared" si="178"/>
        <v>#REF!</v>
      </c>
      <c r="BI229" s="12" t="e">
        <f t="shared" si="179"/>
        <v>#REF!</v>
      </c>
      <c r="BJ229" s="12" t="e">
        <f t="shared" si="180"/>
        <v>#REF!</v>
      </c>
      <c r="BK229" s="12"/>
      <c r="BL229" s="12">
        <v>722</v>
      </c>
      <c r="BW229" s="12" t="str">
        <f t="shared" si="181"/>
        <v>21</v>
      </c>
      <c r="BX229" s="3" t="s">
        <v>150</v>
      </c>
    </row>
    <row r="230" spans="1:76">
      <c r="A230" s="1" t="s">
        <v>738</v>
      </c>
      <c r="B230" s="2" t="s">
        <v>714</v>
      </c>
      <c r="C230" s="2" t="s">
        <v>370</v>
      </c>
      <c r="D230" s="349" t="s">
        <v>371</v>
      </c>
      <c r="E230" s="342"/>
      <c r="F230" s="2" t="s">
        <v>68</v>
      </c>
      <c r="G230" s="12" t="e">
        <f>#REF!</f>
        <v>#REF!</v>
      </c>
      <c r="H230" s="12" t="e">
        <f>#REF!</f>
        <v>#REF!</v>
      </c>
      <c r="I230" s="49" t="s">
        <v>554</v>
      </c>
      <c r="J230" s="12" t="e">
        <f t="shared" si="156"/>
        <v>#REF!</v>
      </c>
      <c r="K230" s="12" t="e">
        <f t="shared" si="157"/>
        <v>#REF!</v>
      </c>
      <c r="L230" s="12" t="e">
        <f t="shared" si="158"/>
        <v>#REF!</v>
      </c>
      <c r="M230" s="12" t="e">
        <f t="shared" si="159"/>
        <v>#REF!</v>
      </c>
      <c r="N230" s="12">
        <v>5.1999999999999995E-4</v>
      </c>
      <c r="O230" s="12" t="e">
        <f t="shared" si="160"/>
        <v>#REF!</v>
      </c>
      <c r="P230" s="50" t="s">
        <v>605</v>
      </c>
      <c r="Z230" s="12">
        <f t="shared" si="161"/>
        <v>0</v>
      </c>
      <c r="AB230" s="12">
        <f t="shared" si="162"/>
        <v>0</v>
      </c>
      <c r="AC230" s="12">
        <f t="shared" si="163"/>
        <v>0</v>
      </c>
      <c r="AD230" s="12" t="e">
        <f t="shared" si="164"/>
        <v>#REF!</v>
      </c>
      <c r="AE230" s="12" t="e">
        <f t="shared" si="165"/>
        <v>#REF!</v>
      </c>
      <c r="AF230" s="12">
        <f t="shared" si="166"/>
        <v>0</v>
      </c>
      <c r="AG230" s="12">
        <f t="shared" si="167"/>
        <v>0</v>
      </c>
      <c r="AH230" s="12">
        <f t="shared" si="168"/>
        <v>0</v>
      </c>
      <c r="AI230" s="10" t="s">
        <v>714</v>
      </c>
      <c r="AJ230" s="12">
        <f t="shared" si="169"/>
        <v>0</v>
      </c>
      <c r="AK230" s="12">
        <f t="shared" si="170"/>
        <v>0</v>
      </c>
      <c r="AL230" s="12" t="e">
        <f t="shared" si="171"/>
        <v>#REF!</v>
      </c>
      <c r="AN230" s="12">
        <v>21</v>
      </c>
      <c r="AO230" s="12" t="e">
        <f>H230*0.869366701</f>
        <v>#REF!</v>
      </c>
      <c r="AP230" s="12" t="e">
        <f>H230*(1-0.869366701)</f>
        <v>#REF!</v>
      </c>
      <c r="AQ230" s="49" t="s">
        <v>567</v>
      </c>
      <c r="AV230" s="12" t="e">
        <f t="shared" si="172"/>
        <v>#REF!</v>
      </c>
      <c r="AW230" s="12" t="e">
        <f t="shared" si="173"/>
        <v>#REF!</v>
      </c>
      <c r="AX230" s="12" t="e">
        <f t="shared" si="174"/>
        <v>#REF!</v>
      </c>
      <c r="AY230" s="49" t="s">
        <v>610</v>
      </c>
      <c r="AZ230" s="49" t="s">
        <v>729</v>
      </c>
      <c r="BA230" s="10" t="s">
        <v>717</v>
      </c>
      <c r="BC230" s="12" t="e">
        <f t="shared" si="175"/>
        <v>#REF!</v>
      </c>
      <c r="BD230" s="12" t="e">
        <f t="shared" si="176"/>
        <v>#REF!</v>
      </c>
      <c r="BE230" s="12">
        <v>0</v>
      </c>
      <c r="BF230" s="12" t="e">
        <f t="shared" si="177"/>
        <v>#REF!</v>
      </c>
      <c r="BH230" s="12" t="e">
        <f t="shared" si="178"/>
        <v>#REF!</v>
      </c>
      <c r="BI230" s="12" t="e">
        <f t="shared" si="179"/>
        <v>#REF!</v>
      </c>
      <c r="BJ230" s="12" t="e">
        <f t="shared" si="180"/>
        <v>#REF!</v>
      </c>
      <c r="BK230" s="12"/>
      <c r="BL230" s="12">
        <v>722</v>
      </c>
      <c r="BW230" s="12" t="str">
        <f t="shared" si="181"/>
        <v>21</v>
      </c>
      <c r="BX230" s="3" t="s">
        <v>371</v>
      </c>
    </row>
    <row r="231" spans="1:76">
      <c r="A231" s="1" t="s">
        <v>739</v>
      </c>
      <c r="B231" s="2" t="s">
        <v>714</v>
      </c>
      <c r="C231" s="2" t="s">
        <v>372</v>
      </c>
      <c r="D231" s="349" t="s">
        <v>373</v>
      </c>
      <c r="E231" s="342"/>
      <c r="F231" s="2" t="s">
        <v>68</v>
      </c>
      <c r="G231" s="12" t="e">
        <f>#REF!</f>
        <v>#REF!</v>
      </c>
      <c r="H231" s="12" t="e">
        <f>#REF!</f>
        <v>#REF!</v>
      </c>
      <c r="I231" s="49" t="s">
        <v>554</v>
      </c>
      <c r="J231" s="12" t="e">
        <f t="shared" si="156"/>
        <v>#REF!</v>
      </c>
      <c r="K231" s="12" t="e">
        <f t="shared" si="157"/>
        <v>#REF!</v>
      </c>
      <c r="L231" s="12" t="e">
        <f t="shared" si="158"/>
        <v>#REF!</v>
      </c>
      <c r="M231" s="12" t="e">
        <f t="shared" si="159"/>
        <v>#REF!</v>
      </c>
      <c r="N231" s="12">
        <v>5.0000000000000001E-4</v>
      </c>
      <c r="O231" s="12" t="e">
        <f t="shared" si="160"/>
        <v>#REF!</v>
      </c>
      <c r="P231" s="50" t="s">
        <v>605</v>
      </c>
      <c r="Z231" s="12">
        <f t="shared" si="161"/>
        <v>0</v>
      </c>
      <c r="AB231" s="12">
        <f t="shared" si="162"/>
        <v>0</v>
      </c>
      <c r="AC231" s="12">
        <f t="shared" si="163"/>
        <v>0</v>
      </c>
      <c r="AD231" s="12" t="e">
        <f t="shared" si="164"/>
        <v>#REF!</v>
      </c>
      <c r="AE231" s="12" t="e">
        <f t="shared" si="165"/>
        <v>#REF!</v>
      </c>
      <c r="AF231" s="12">
        <f t="shared" si="166"/>
        <v>0</v>
      </c>
      <c r="AG231" s="12">
        <f t="shared" si="167"/>
        <v>0</v>
      </c>
      <c r="AH231" s="12">
        <f t="shared" si="168"/>
        <v>0</v>
      </c>
      <c r="AI231" s="10" t="s">
        <v>714</v>
      </c>
      <c r="AJ231" s="12">
        <f t="shared" si="169"/>
        <v>0</v>
      </c>
      <c r="AK231" s="12">
        <f t="shared" si="170"/>
        <v>0</v>
      </c>
      <c r="AL231" s="12" t="e">
        <f t="shared" si="171"/>
        <v>#REF!</v>
      </c>
      <c r="AN231" s="12">
        <v>21</v>
      </c>
      <c r="AO231" s="12" t="e">
        <f>H231*0.767894737</f>
        <v>#REF!</v>
      </c>
      <c r="AP231" s="12" t="e">
        <f>H231*(1-0.767894737)</f>
        <v>#REF!</v>
      </c>
      <c r="AQ231" s="49" t="s">
        <v>567</v>
      </c>
      <c r="AV231" s="12" t="e">
        <f t="shared" si="172"/>
        <v>#REF!</v>
      </c>
      <c r="AW231" s="12" t="e">
        <f t="shared" si="173"/>
        <v>#REF!</v>
      </c>
      <c r="AX231" s="12" t="e">
        <f t="shared" si="174"/>
        <v>#REF!</v>
      </c>
      <c r="AY231" s="49" t="s">
        <v>610</v>
      </c>
      <c r="AZ231" s="49" t="s">
        <v>729</v>
      </c>
      <c r="BA231" s="10" t="s">
        <v>717</v>
      </c>
      <c r="BC231" s="12" t="e">
        <f t="shared" si="175"/>
        <v>#REF!</v>
      </c>
      <c r="BD231" s="12" t="e">
        <f t="shared" si="176"/>
        <v>#REF!</v>
      </c>
      <c r="BE231" s="12">
        <v>0</v>
      </c>
      <c r="BF231" s="12" t="e">
        <f t="shared" si="177"/>
        <v>#REF!</v>
      </c>
      <c r="BH231" s="12" t="e">
        <f t="shared" si="178"/>
        <v>#REF!</v>
      </c>
      <c r="BI231" s="12" t="e">
        <f t="shared" si="179"/>
        <v>#REF!</v>
      </c>
      <c r="BJ231" s="12" t="e">
        <f t="shared" si="180"/>
        <v>#REF!</v>
      </c>
      <c r="BK231" s="12"/>
      <c r="BL231" s="12">
        <v>722</v>
      </c>
      <c r="BW231" s="12" t="str">
        <f t="shared" si="181"/>
        <v>21</v>
      </c>
      <c r="BX231" s="3" t="s">
        <v>373</v>
      </c>
    </row>
    <row r="232" spans="1:76">
      <c r="A232" s="1" t="s">
        <v>740</v>
      </c>
      <c r="B232" s="2" t="s">
        <v>714</v>
      </c>
      <c r="C232" s="2" t="s">
        <v>156</v>
      </c>
      <c r="D232" s="349" t="s">
        <v>157</v>
      </c>
      <c r="E232" s="342"/>
      <c r="F232" s="2" t="s">
        <v>68</v>
      </c>
      <c r="G232" s="12" t="e">
        <f>#REF!</f>
        <v>#REF!</v>
      </c>
      <c r="H232" s="12" t="e">
        <f>#REF!</f>
        <v>#REF!</v>
      </c>
      <c r="I232" s="49" t="s">
        <v>554</v>
      </c>
      <c r="J232" s="12" t="e">
        <f t="shared" si="156"/>
        <v>#REF!</v>
      </c>
      <c r="K232" s="12" t="e">
        <f t="shared" si="157"/>
        <v>#REF!</v>
      </c>
      <c r="L232" s="12" t="e">
        <f t="shared" si="158"/>
        <v>#REF!</v>
      </c>
      <c r="M232" s="12" t="e">
        <f t="shared" si="159"/>
        <v>#REF!</v>
      </c>
      <c r="N232" s="12">
        <v>3.6999999999999999E-4</v>
      </c>
      <c r="O232" s="12" t="e">
        <f t="shared" si="160"/>
        <v>#REF!</v>
      </c>
      <c r="P232" s="50" t="s">
        <v>605</v>
      </c>
      <c r="Z232" s="12">
        <f t="shared" si="161"/>
        <v>0</v>
      </c>
      <c r="AB232" s="12">
        <f t="shared" si="162"/>
        <v>0</v>
      </c>
      <c r="AC232" s="12">
        <f t="shared" si="163"/>
        <v>0</v>
      </c>
      <c r="AD232" s="12" t="e">
        <f t="shared" si="164"/>
        <v>#REF!</v>
      </c>
      <c r="AE232" s="12" t="e">
        <f t="shared" si="165"/>
        <v>#REF!</v>
      </c>
      <c r="AF232" s="12">
        <f t="shared" si="166"/>
        <v>0</v>
      </c>
      <c r="AG232" s="12">
        <f t="shared" si="167"/>
        <v>0</v>
      </c>
      <c r="AH232" s="12">
        <f t="shared" si="168"/>
        <v>0</v>
      </c>
      <c r="AI232" s="10" t="s">
        <v>714</v>
      </c>
      <c r="AJ232" s="12">
        <f t="shared" si="169"/>
        <v>0</v>
      </c>
      <c r="AK232" s="12">
        <f t="shared" si="170"/>
        <v>0</v>
      </c>
      <c r="AL232" s="12" t="e">
        <f t="shared" si="171"/>
        <v>#REF!</v>
      </c>
      <c r="AN232" s="12">
        <v>21</v>
      </c>
      <c r="AO232" s="12" t="e">
        <f>H232*0.901698693</f>
        <v>#REF!</v>
      </c>
      <c r="AP232" s="12" t="e">
        <f>H232*(1-0.901698693)</f>
        <v>#REF!</v>
      </c>
      <c r="AQ232" s="49" t="s">
        <v>567</v>
      </c>
      <c r="AV232" s="12" t="e">
        <f t="shared" si="172"/>
        <v>#REF!</v>
      </c>
      <c r="AW232" s="12" t="e">
        <f t="shared" si="173"/>
        <v>#REF!</v>
      </c>
      <c r="AX232" s="12" t="e">
        <f t="shared" si="174"/>
        <v>#REF!</v>
      </c>
      <c r="AY232" s="49" t="s">
        <v>610</v>
      </c>
      <c r="AZ232" s="49" t="s">
        <v>729</v>
      </c>
      <c r="BA232" s="10" t="s">
        <v>717</v>
      </c>
      <c r="BC232" s="12" t="e">
        <f t="shared" si="175"/>
        <v>#REF!</v>
      </c>
      <c r="BD232" s="12" t="e">
        <f t="shared" si="176"/>
        <v>#REF!</v>
      </c>
      <c r="BE232" s="12">
        <v>0</v>
      </c>
      <c r="BF232" s="12" t="e">
        <f t="shared" si="177"/>
        <v>#REF!</v>
      </c>
      <c r="BH232" s="12" t="e">
        <f t="shared" si="178"/>
        <v>#REF!</v>
      </c>
      <c r="BI232" s="12" t="e">
        <f t="shared" si="179"/>
        <v>#REF!</v>
      </c>
      <c r="BJ232" s="12" t="e">
        <f t="shared" si="180"/>
        <v>#REF!</v>
      </c>
      <c r="BK232" s="12"/>
      <c r="BL232" s="12">
        <v>722</v>
      </c>
      <c r="BW232" s="12" t="str">
        <f t="shared" si="181"/>
        <v>21</v>
      </c>
      <c r="BX232" s="3" t="s">
        <v>157</v>
      </c>
    </row>
    <row r="233" spans="1:76">
      <c r="A233" s="1" t="s">
        <v>741</v>
      </c>
      <c r="B233" s="2" t="s">
        <v>714</v>
      </c>
      <c r="C233" s="2" t="s">
        <v>162</v>
      </c>
      <c r="D233" s="349" t="s">
        <v>374</v>
      </c>
      <c r="E233" s="342"/>
      <c r="F233" s="2" t="s">
        <v>68</v>
      </c>
      <c r="G233" s="12" t="e">
        <f>#REF!</f>
        <v>#REF!</v>
      </c>
      <c r="H233" s="12" t="e">
        <f>#REF!</f>
        <v>#REF!</v>
      </c>
      <c r="I233" s="49" t="s">
        <v>554</v>
      </c>
      <c r="J233" s="12" t="e">
        <f t="shared" si="156"/>
        <v>#REF!</v>
      </c>
      <c r="K233" s="12" t="e">
        <f t="shared" si="157"/>
        <v>#REF!</v>
      </c>
      <c r="L233" s="12" t="e">
        <f t="shared" si="158"/>
        <v>#REF!</v>
      </c>
      <c r="M233" s="12" t="e">
        <f t="shared" si="159"/>
        <v>#REF!</v>
      </c>
      <c r="N233" s="12">
        <v>0</v>
      </c>
      <c r="O233" s="12" t="e">
        <f t="shared" si="160"/>
        <v>#REF!</v>
      </c>
      <c r="P233" s="50" t="s">
        <v>21</v>
      </c>
      <c r="Z233" s="12">
        <f t="shared" si="161"/>
        <v>0</v>
      </c>
      <c r="AB233" s="12">
        <f t="shared" si="162"/>
        <v>0</v>
      </c>
      <c r="AC233" s="12">
        <f t="shared" si="163"/>
        <v>0</v>
      </c>
      <c r="AD233" s="12" t="e">
        <f t="shared" si="164"/>
        <v>#REF!</v>
      </c>
      <c r="AE233" s="12" t="e">
        <f t="shared" si="165"/>
        <v>#REF!</v>
      </c>
      <c r="AF233" s="12">
        <f t="shared" si="166"/>
        <v>0</v>
      </c>
      <c r="AG233" s="12">
        <f t="shared" si="167"/>
        <v>0</v>
      </c>
      <c r="AH233" s="12">
        <f t="shared" si="168"/>
        <v>0</v>
      </c>
      <c r="AI233" s="10" t="s">
        <v>714</v>
      </c>
      <c r="AJ233" s="12">
        <f t="shared" si="169"/>
        <v>0</v>
      </c>
      <c r="AK233" s="12">
        <f t="shared" si="170"/>
        <v>0</v>
      </c>
      <c r="AL233" s="12" t="e">
        <f t="shared" si="171"/>
        <v>#REF!</v>
      </c>
      <c r="AN233" s="12">
        <v>21</v>
      </c>
      <c r="AO233" s="12" t="e">
        <f>H233*0.930503731</f>
        <v>#REF!</v>
      </c>
      <c r="AP233" s="12" t="e">
        <f>H233*(1-0.930503731)</f>
        <v>#REF!</v>
      </c>
      <c r="AQ233" s="49" t="s">
        <v>567</v>
      </c>
      <c r="AV233" s="12" t="e">
        <f t="shared" si="172"/>
        <v>#REF!</v>
      </c>
      <c r="AW233" s="12" t="e">
        <f t="shared" si="173"/>
        <v>#REF!</v>
      </c>
      <c r="AX233" s="12" t="e">
        <f t="shared" si="174"/>
        <v>#REF!</v>
      </c>
      <c r="AY233" s="49" t="s">
        <v>610</v>
      </c>
      <c r="AZ233" s="49" t="s">
        <v>729</v>
      </c>
      <c r="BA233" s="10" t="s">
        <v>717</v>
      </c>
      <c r="BC233" s="12" t="e">
        <f t="shared" si="175"/>
        <v>#REF!</v>
      </c>
      <c r="BD233" s="12" t="e">
        <f t="shared" si="176"/>
        <v>#REF!</v>
      </c>
      <c r="BE233" s="12">
        <v>0</v>
      </c>
      <c r="BF233" s="12" t="e">
        <f t="shared" si="177"/>
        <v>#REF!</v>
      </c>
      <c r="BH233" s="12" t="e">
        <f t="shared" si="178"/>
        <v>#REF!</v>
      </c>
      <c r="BI233" s="12" t="e">
        <f t="shared" si="179"/>
        <v>#REF!</v>
      </c>
      <c r="BJ233" s="12" t="e">
        <f t="shared" si="180"/>
        <v>#REF!</v>
      </c>
      <c r="BK233" s="12"/>
      <c r="BL233" s="12">
        <v>722</v>
      </c>
      <c r="BW233" s="12" t="str">
        <f t="shared" si="181"/>
        <v>21</v>
      </c>
      <c r="BX233" s="3" t="s">
        <v>374</v>
      </c>
    </row>
    <row r="234" spans="1:76">
      <c r="A234" s="1" t="s">
        <v>742</v>
      </c>
      <c r="B234" s="2" t="s">
        <v>714</v>
      </c>
      <c r="C234" s="2" t="s">
        <v>375</v>
      </c>
      <c r="D234" s="349" t="s">
        <v>376</v>
      </c>
      <c r="E234" s="342"/>
      <c r="F234" s="2" t="s">
        <v>68</v>
      </c>
      <c r="G234" s="12" t="e">
        <f>#REF!</f>
        <v>#REF!</v>
      </c>
      <c r="H234" s="12" t="e">
        <f>#REF!</f>
        <v>#REF!</v>
      </c>
      <c r="I234" s="49" t="s">
        <v>554</v>
      </c>
      <c r="J234" s="12" t="e">
        <f t="shared" si="156"/>
        <v>#REF!</v>
      </c>
      <c r="K234" s="12" t="e">
        <f t="shared" si="157"/>
        <v>#REF!</v>
      </c>
      <c r="L234" s="12" t="e">
        <f t="shared" si="158"/>
        <v>#REF!</v>
      </c>
      <c r="M234" s="12" t="e">
        <f t="shared" si="159"/>
        <v>#REF!</v>
      </c>
      <c r="N234" s="12">
        <v>0.04</v>
      </c>
      <c r="O234" s="12" t="e">
        <f t="shared" si="160"/>
        <v>#REF!</v>
      </c>
      <c r="P234" s="50" t="s">
        <v>605</v>
      </c>
      <c r="Z234" s="12">
        <f t="shared" si="161"/>
        <v>0</v>
      </c>
      <c r="AB234" s="12">
        <f t="shared" si="162"/>
        <v>0</v>
      </c>
      <c r="AC234" s="12">
        <f t="shared" si="163"/>
        <v>0</v>
      </c>
      <c r="AD234" s="12" t="e">
        <f t="shared" si="164"/>
        <v>#REF!</v>
      </c>
      <c r="AE234" s="12" t="e">
        <f t="shared" si="165"/>
        <v>#REF!</v>
      </c>
      <c r="AF234" s="12">
        <f t="shared" si="166"/>
        <v>0</v>
      </c>
      <c r="AG234" s="12">
        <f t="shared" si="167"/>
        <v>0</v>
      </c>
      <c r="AH234" s="12">
        <f t="shared" si="168"/>
        <v>0</v>
      </c>
      <c r="AI234" s="10" t="s">
        <v>714</v>
      </c>
      <c r="AJ234" s="12">
        <f t="shared" si="169"/>
        <v>0</v>
      </c>
      <c r="AK234" s="12">
        <f t="shared" si="170"/>
        <v>0</v>
      </c>
      <c r="AL234" s="12" t="e">
        <f t="shared" si="171"/>
        <v>#REF!</v>
      </c>
      <c r="AN234" s="12">
        <v>21</v>
      </c>
      <c r="AO234" s="12" t="e">
        <f>H234*1</f>
        <v>#REF!</v>
      </c>
      <c r="AP234" s="12" t="e">
        <f>H234*(1-1)</f>
        <v>#REF!</v>
      </c>
      <c r="AQ234" s="49" t="s">
        <v>567</v>
      </c>
      <c r="AV234" s="12" t="e">
        <f t="shared" si="172"/>
        <v>#REF!</v>
      </c>
      <c r="AW234" s="12" t="e">
        <f t="shared" si="173"/>
        <v>#REF!</v>
      </c>
      <c r="AX234" s="12" t="e">
        <f t="shared" si="174"/>
        <v>#REF!</v>
      </c>
      <c r="AY234" s="49" t="s">
        <v>610</v>
      </c>
      <c r="AZ234" s="49" t="s">
        <v>729</v>
      </c>
      <c r="BA234" s="10" t="s">
        <v>717</v>
      </c>
      <c r="BC234" s="12" t="e">
        <f t="shared" si="175"/>
        <v>#REF!</v>
      </c>
      <c r="BD234" s="12" t="e">
        <f t="shared" si="176"/>
        <v>#REF!</v>
      </c>
      <c r="BE234" s="12">
        <v>0</v>
      </c>
      <c r="BF234" s="12" t="e">
        <f t="shared" si="177"/>
        <v>#REF!</v>
      </c>
      <c r="BH234" s="12" t="e">
        <f t="shared" si="178"/>
        <v>#REF!</v>
      </c>
      <c r="BI234" s="12" t="e">
        <f t="shared" si="179"/>
        <v>#REF!</v>
      </c>
      <c r="BJ234" s="12" t="e">
        <f t="shared" si="180"/>
        <v>#REF!</v>
      </c>
      <c r="BK234" s="12"/>
      <c r="BL234" s="12">
        <v>722</v>
      </c>
      <c r="BW234" s="12" t="str">
        <f t="shared" si="181"/>
        <v>21</v>
      </c>
      <c r="BX234" s="3" t="s">
        <v>376</v>
      </c>
    </row>
    <row r="235" spans="1:76" ht="89.25">
      <c r="A235" s="51"/>
      <c r="C235" s="13" t="s">
        <v>117</v>
      </c>
      <c r="D235" s="363" t="s">
        <v>377</v>
      </c>
      <c r="E235" s="364"/>
      <c r="F235" s="364"/>
      <c r="G235" s="364"/>
      <c r="H235" s="364"/>
      <c r="I235" s="364"/>
      <c r="J235" s="364"/>
      <c r="K235" s="364"/>
      <c r="L235" s="364"/>
      <c r="M235" s="364"/>
      <c r="N235" s="364"/>
      <c r="O235" s="364"/>
      <c r="P235" s="365"/>
      <c r="BX235" s="14" t="s">
        <v>377</v>
      </c>
    </row>
    <row r="236" spans="1:76">
      <c r="A236" s="1" t="s">
        <v>743</v>
      </c>
      <c r="B236" s="2" t="s">
        <v>714</v>
      </c>
      <c r="C236" s="2" t="s">
        <v>378</v>
      </c>
      <c r="D236" s="349" t="s">
        <v>379</v>
      </c>
      <c r="E236" s="342"/>
      <c r="F236" s="2" t="s">
        <v>68</v>
      </c>
      <c r="G236" s="12" t="e">
        <f>#REF!</f>
        <v>#REF!</v>
      </c>
      <c r="H236" s="12" t="e">
        <f>#REF!</f>
        <v>#REF!</v>
      </c>
      <c r="I236" s="49" t="s">
        <v>554</v>
      </c>
      <c r="J236" s="12" t="e">
        <f>G236*AO236</f>
        <v>#REF!</v>
      </c>
      <c r="K236" s="12" t="e">
        <f>G236*AP236</f>
        <v>#REF!</v>
      </c>
      <c r="L236" s="12" t="e">
        <f>G236*H236</f>
        <v>#REF!</v>
      </c>
      <c r="M236" s="12" t="e">
        <f>L236*(1+BW236/100)</f>
        <v>#REF!</v>
      </c>
      <c r="N236" s="12">
        <v>0</v>
      </c>
      <c r="O236" s="12" t="e">
        <f>G236*N236</f>
        <v>#REF!</v>
      </c>
      <c r="P236" s="50" t="s">
        <v>577</v>
      </c>
      <c r="Z236" s="12">
        <f>IF(AQ236="5",BJ236,0)</f>
        <v>0</v>
      </c>
      <c r="AB236" s="12">
        <f>IF(AQ236="1",BH236,0)</f>
        <v>0</v>
      </c>
      <c r="AC236" s="12">
        <f>IF(AQ236="1",BI236,0)</f>
        <v>0</v>
      </c>
      <c r="AD236" s="12" t="e">
        <f>IF(AQ236="7",BH236,0)</f>
        <v>#REF!</v>
      </c>
      <c r="AE236" s="12" t="e">
        <f>IF(AQ236="7",BI236,0)</f>
        <v>#REF!</v>
      </c>
      <c r="AF236" s="12">
        <f>IF(AQ236="2",BH236,0)</f>
        <v>0</v>
      </c>
      <c r="AG236" s="12">
        <f>IF(AQ236="2",BI236,0)</f>
        <v>0</v>
      </c>
      <c r="AH236" s="12">
        <f>IF(AQ236="0",BJ236,0)</f>
        <v>0</v>
      </c>
      <c r="AI236" s="10" t="s">
        <v>714</v>
      </c>
      <c r="AJ236" s="12">
        <f>IF(AN236=0,L236,0)</f>
        <v>0</v>
      </c>
      <c r="AK236" s="12">
        <f>IF(AN236=12,L236,0)</f>
        <v>0</v>
      </c>
      <c r="AL236" s="12" t="e">
        <f>IF(AN236=21,L236,0)</f>
        <v>#REF!</v>
      </c>
      <c r="AN236" s="12">
        <v>21</v>
      </c>
      <c r="AO236" s="12" t="e">
        <f>H236*0</f>
        <v>#REF!</v>
      </c>
      <c r="AP236" s="12" t="e">
        <f>H236*(1-0)</f>
        <v>#REF!</v>
      </c>
      <c r="AQ236" s="49" t="s">
        <v>567</v>
      </c>
      <c r="AV236" s="12" t="e">
        <f>AW236+AX236</f>
        <v>#REF!</v>
      </c>
      <c r="AW236" s="12" t="e">
        <f>G236*AO236</f>
        <v>#REF!</v>
      </c>
      <c r="AX236" s="12" t="e">
        <f>G236*AP236</f>
        <v>#REF!</v>
      </c>
      <c r="AY236" s="49" t="s">
        <v>610</v>
      </c>
      <c r="AZ236" s="49" t="s">
        <v>729</v>
      </c>
      <c r="BA236" s="10" t="s">
        <v>717</v>
      </c>
      <c r="BC236" s="12" t="e">
        <f>AW236+AX236</f>
        <v>#REF!</v>
      </c>
      <c r="BD236" s="12" t="e">
        <f>H236/(100-BE236)*100</f>
        <v>#REF!</v>
      </c>
      <c r="BE236" s="12">
        <v>0</v>
      </c>
      <c r="BF236" s="12" t="e">
        <f>O236</f>
        <v>#REF!</v>
      </c>
      <c r="BH236" s="12" t="e">
        <f>G236*AO236</f>
        <v>#REF!</v>
      </c>
      <c r="BI236" s="12" t="e">
        <f>G236*AP236</f>
        <v>#REF!</v>
      </c>
      <c r="BJ236" s="12" t="e">
        <f>G236*H236</f>
        <v>#REF!</v>
      </c>
      <c r="BK236" s="12"/>
      <c r="BL236" s="12">
        <v>722</v>
      </c>
      <c r="BW236" s="12" t="str">
        <f>I236</f>
        <v>21</v>
      </c>
      <c r="BX236" s="3" t="s">
        <v>379</v>
      </c>
    </row>
    <row r="237" spans="1:76">
      <c r="A237" s="46" t="s">
        <v>21</v>
      </c>
      <c r="B237" s="9" t="s">
        <v>714</v>
      </c>
      <c r="C237" s="9" t="s">
        <v>380</v>
      </c>
      <c r="D237" s="359" t="s">
        <v>381</v>
      </c>
      <c r="E237" s="360"/>
      <c r="F237" s="47" t="s">
        <v>20</v>
      </c>
      <c r="G237" s="47" t="s">
        <v>20</v>
      </c>
      <c r="H237" s="47" t="s">
        <v>20</v>
      </c>
      <c r="I237" s="47" t="s">
        <v>20</v>
      </c>
      <c r="J237" s="11" t="e">
        <f>SUM(J238:J238)</f>
        <v>#REF!</v>
      </c>
      <c r="K237" s="11" t="e">
        <f>SUM(K238:K238)</f>
        <v>#REF!</v>
      </c>
      <c r="L237" s="11" t="e">
        <f>SUM(L238:L238)</f>
        <v>#REF!</v>
      </c>
      <c r="M237" s="11" t="e">
        <f>SUM(M238:M238)</f>
        <v>#REF!</v>
      </c>
      <c r="N237" s="10" t="s">
        <v>21</v>
      </c>
      <c r="O237" s="11" t="e">
        <f>SUM(O238:O238)</f>
        <v>#REF!</v>
      </c>
      <c r="P237" s="48" t="s">
        <v>21</v>
      </c>
      <c r="AI237" s="10" t="s">
        <v>714</v>
      </c>
      <c r="AS237" s="11">
        <f>SUM(AJ238:AJ238)</f>
        <v>0</v>
      </c>
      <c r="AT237" s="11">
        <f>SUM(AK238:AK238)</f>
        <v>0</v>
      </c>
      <c r="AU237" s="11" t="e">
        <f>SUM(AL238:AL238)</f>
        <v>#REF!</v>
      </c>
    </row>
    <row r="238" spans="1:76">
      <c r="A238" s="1" t="s">
        <v>744</v>
      </c>
      <c r="B238" s="2" t="s">
        <v>714</v>
      </c>
      <c r="C238" s="2" t="s">
        <v>83</v>
      </c>
      <c r="D238" s="349" t="s">
        <v>255</v>
      </c>
      <c r="E238" s="342"/>
      <c r="F238" s="2" t="s">
        <v>58</v>
      </c>
      <c r="G238" s="12" t="e">
        <f>#REF!</f>
        <v>#REF!</v>
      </c>
      <c r="H238" s="12" t="e">
        <f>#REF!</f>
        <v>#REF!</v>
      </c>
      <c r="I238" s="49" t="s">
        <v>554</v>
      </c>
      <c r="J238" s="12" t="e">
        <f>G238*AO238</f>
        <v>#REF!</v>
      </c>
      <c r="K238" s="12" t="e">
        <f>G238*AP238</f>
        <v>#REF!</v>
      </c>
      <c r="L238" s="12" t="e">
        <f>G238*H238</f>
        <v>#REF!</v>
      </c>
      <c r="M238" s="12" t="e">
        <f>L238*(1+BW238/100)</f>
        <v>#REF!</v>
      </c>
      <c r="N238" s="12">
        <v>0</v>
      </c>
      <c r="O238" s="12" t="e">
        <f>G238*N238</f>
        <v>#REF!</v>
      </c>
      <c r="P238" s="50" t="s">
        <v>21</v>
      </c>
      <c r="Z238" s="12">
        <f>IF(AQ238="5",BJ238,0)</f>
        <v>0</v>
      </c>
      <c r="AB238" s="12">
        <f>IF(AQ238="1",BH238,0)</f>
        <v>0</v>
      </c>
      <c r="AC238" s="12">
        <f>IF(AQ238="1",BI238,0)</f>
        <v>0</v>
      </c>
      <c r="AD238" s="12" t="e">
        <f>IF(AQ238="7",BH238,0)</f>
        <v>#REF!</v>
      </c>
      <c r="AE238" s="12" t="e">
        <f>IF(AQ238="7",BI238,0)</f>
        <v>#REF!</v>
      </c>
      <c r="AF238" s="12">
        <f>IF(AQ238="2",BH238,0)</f>
        <v>0</v>
      </c>
      <c r="AG238" s="12">
        <f>IF(AQ238="2",BI238,0)</f>
        <v>0</v>
      </c>
      <c r="AH238" s="12">
        <f>IF(AQ238="0",BJ238,0)</f>
        <v>0</v>
      </c>
      <c r="AI238" s="10" t="s">
        <v>714</v>
      </c>
      <c r="AJ238" s="12">
        <f>IF(AN238=0,L238,0)</f>
        <v>0</v>
      </c>
      <c r="AK238" s="12">
        <f>IF(AN238=12,L238,0)</f>
        <v>0</v>
      </c>
      <c r="AL238" s="12" t="e">
        <f>IF(AN238=21,L238,0)</f>
        <v>#REF!</v>
      </c>
      <c r="AN238" s="12">
        <v>21</v>
      </c>
      <c r="AO238" s="12" t="e">
        <f>H238*0.346020761</f>
        <v>#REF!</v>
      </c>
      <c r="AP238" s="12" t="e">
        <f>H238*(1-0.346020761)</f>
        <v>#REF!</v>
      </c>
      <c r="AQ238" s="49" t="s">
        <v>567</v>
      </c>
      <c r="AV238" s="12" t="e">
        <f>AW238+AX238</f>
        <v>#REF!</v>
      </c>
      <c r="AW238" s="12" t="e">
        <f>G238*AO238</f>
        <v>#REF!</v>
      </c>
      <c r="AX238" s="12" t="e">
        <f>G238*AP238</f>
        <v>#REF!</v>
      </c>
      <c r="AY238" s="49" t="s">
        <v>745</v>
      </c>
      <c r="AZ238" s="49" t="s">
        <v>746</v>
      </c>
      <c r="BA238" s="10" t="s">
        <v>717</v>
      </c>
      <c r="BC238" s="12" t="e">
        <f>AW238+AX238</f>
        <v>#REF!</v>
      </c>
      <c r="BD238" s="12" t="e">
        <f>H238/(100-BE238)*100</f>
        <v>#REF!</v>
      </c>
      <c r="BE238" s="12">
        <v>0</v>
      </c>
      <c r="BF238" s="12" t="e">
        <f>O238</f>
        <v>#REF!</v>
      </c>
      <c r="BH238" s="12" t="e">
        <f>G238*AO238</f>
        <v>#REF!</v>
      </c>
      <c r="BI238" s="12" t="e">
        <f>G238*AP238</f>
        <v>#REF!</v>
      </c>
      <c r="BJ238" s="12" t="e">
        <f>G238*H238</f>
        <v>#REF!</v>
      </c>
      <c r="BK238" s="12"/>
      <c r="BL238" s="12">
        <v>73</v>
      </c>
      <c r="BW238" s="12" t="str">
        <f>I238</f>
        <v>21</v>
      </c>
      <c r="BX238" s="3" t="s">
        <v>255</v>
      </c>
    </row>
    <row r="239" spans="1:76">
      <c r="A239" s="46" t="s">
        <v>21</v>
      </c>
      <c r="B239" s="9" t="s">
        <v>714</v>
      </c>
      <c r="C239" s="9" t="s">
        <v>64</v>
      </c>
      <c r="D239" s="359" t="s">
        <v>65</v>
      </c>
      <c r="E239" s="360"/>
      <c r="F239" s="47" t="s">
        <v>20</v>
      </c>
      <c r="G239" s="47" t="s">
        <v>20</v>
      </c>
      <c r="H239" s="47" t="s">
        <v>20</v>
      </c>
      <c r="I239" s="47" t="s">
        <v>20</v>
      </c>
      <c r="J239" s="11" t="e">
        <f>SUM(J240:J246)</f>
        <v>#REF!</v>
      </c>
      <c r="K239" s="11" t="e">
        <f>SUM(K240:K246)</f>
        <v>#REF!</v>
      </c>
      <c r="L239" s="11" t="e">
        <f>SUM(L240:L246)</f>
        <v>#REF!</v>
      </c>
      <c r="M239" s="11" t="e">
        <f>SUM(M240:M246)</f>
        <v>#REF!</v>
      </c>
      <c r="N239" s="10" t="s">
        <v>21</v>
      </c>
      <c r="O239" s="11" t="e">
        <f>SUM(O240:O246)</f>
        <v>#REF!</v>
      </c>
      <c r="P239" s="48" t="s">
        <v>21</v>
      </c>
      <c r="AI239" s="10" t="s">
        <v>714</v>
      </c>
      <c r="AS239" s="11">
        <f>SUM(AJ240:AJ246)</f>
        <v>0</v>
      </c>
      <c r="AT239" s="11">
        <f>SUM(AK240:AK246)</f>
        <v>0</v>
      </c>
      <c r="AU239" s="11" t="e">
        <f>SUM(AL240:AL246)</f>
        <v>#REF!</v>
      </c>
    </row>
    <row r="240" spans="1:76">
      <c r="A240" s="1" t="s">
        <v>747</v>
      </c>
      <c r="B240" s="2" t="s">
        <v>714</v>
      </c>
      <c r="C240" s="2" t="s">
        <v>382</v>
      </c>
      <c r="D240" s="349" t="s">
        <v>114</v>
      </c>
      <c r="E240" s="342"/>
      <c r="F240" s="2" t="s">
        <v>58</v>
      </c>
      <c r="G240" s="12" t="e">
        <f>#REF!</f>
        <v>#REF!</v>
      </c>
      <c r="H240" s="12" t="e">
        <f>#REF!</f>
        <v>#REF!</v>
      </c>
      <c r="I240" s="49" t="s">
        <v>554</v>
      </c>
      <c r="J240" s="12" t="e">
        <f t="shared" ref="J240:J246" si="182">G240*AO240</f>
        <v>#REF!</v>
      </c>
      <c r="K240" s="12" t="e">
        <f t="shared" ref="K240:K246" si="183">G240*AP240</f>
        <v>#REF!</v>
      </c>
      <c r="L240" s="12" t="e">
        <f t="shared" ref="L240:L246" si="184">G240*H240</f>
        <v>#REF!</v>
      </c>
      <c r="M240" s="12" t="e">
        <f t="shared" ref="M240:M246" si="185">L240*(1+BW240/100)</f>
        <v>#REF!</v>
      </c>
      <c r="N240" s="12">
        <v>1.1299999999999999E-3</v>
      </c>
      <c r="O240" s="12" t="e">
        <f t="shared" ref="O240:O246" si="186">G240*N240</f>
        <v>#REF!</v>
      </c>
      <c r="P240" s="50" t="s">
        <v>577</v>
      </c>
      <c r="Z240" s="12">
        <f t="shared" ref="Z240:Z246" si="187">IF(AQ240="5",BJ240,0)</f>
        <v>0</v>
      </c>
      <c r="AB240" s="12">
        <f t="shared" ref="AB240:AB246" si="188">IF(AQ240="1",BH240,0)</f>
        <v>0</v>
      </c>
      <c r="AC240" s="12">
        <f t="shared" ref="AC240:AC246" si="189">IF(AQ240="1",BI240,0)</f>
        <v>0</v>
      </c>
      <c r="AD240" s="12" t="e">
        <f t="shared" ref="AD240:AD246" si="190">IF(AQ240="7",BH240,0)</f>
        <v>#REF!</v>
      </c>
      <c r="AE240" s="12" t="e">
        <f t="shared" ref="AE240:AE246" si="191">IF(AQ240="7",BI240,0)</f>
        <v>#REF!</v>
      </c>
      <c r="AF240" s="12">
        <f t="shared" ref="AF240:AF246" si="192">IF(AQ240="2",BH240,0)</f>
        <v>0</v>
      </c>
      <c r="AG240" s="12">
        <f t="shared" ref="AG240:AG246" si="193">IF(AQ240="2",BI240,0)</f>
        <v>0</v>
      </c>
      <c r="AH240" s="12">
        <f t="shared" ref="AH240:AH246" si="194">IF(AQ240="0",BJ240,0)</f>
        <v>0</v>
      </c>
      <c r="AI240" s="10" t="s">
        <v>714</v>
      </c>
      <c r="AJ240" s="12">
        <f t="shared" ref="AJ240:AJ246" si="195">IF(AN240=0,L240,0)</f>
        <v>0</v>
      </c>
      <c r="AK240" s="12">
        <f t="shared" ref="AK240:AK246" si="196">IF(AN240=12,L240,0)</f>
        <v>0</v>
      </c>
      <c r="AL240" s="12" t="e">
        <f t="shared" ref="AL240:AL246" si="197">IF(AN240=21,L240,0)</f>
        <v>#REF!</v>
      </c>
      <c r="AN240" s="12">
        <v>21</v>
      </c>
      <c r="AO240" s="12" t="e">
        <f>H240*0.628766234</f>
        <v>#REF!</v>
      </c>
      <c r="AP240" s="12" t="e">
        <f>H240*(1-0.628766234)</f>
        <v>#REF!</v>
      </c>
      <c r="AQ240" s="49" t="s">
        <v>567</v>
      </c>
      <c r="AV240" s="12" t="e">
        <f t="shared" ref="AV240:AV246" si="198">AW240+AX240</f>
        <v>#REF!</v>
      </c>
      <c r="AW240" s="12" t="e">
        <f t="shared" ref="AW240:AW246" si="199">G240*AO240</f>
        <v>#REF!</v>
      </c>
      <c r="AX240" s="12" t="e">
        <f t="shared" ref="AX240:AX246" si="200">G240*AP240</f>
        <v>#REF!</v>
      </c>
      <c r="AY240" s="49" t="s">
        <v>580</v>
      </c>
      <c r="AZ240" s="49" t="s">
        <v>746</v>
      </c>
      <c r="BA240" s="10" t="s">
        <v>717</v>
      </c>
      <c r="BC240" s="12" t="e">
        <f t="shared" ref="BC240:BC246" si="201">AW240+AX240</f>
        <v>#REF!</v>
      </c>
      <c r="BD240" s="12" t="e">
        <f t="shared" ref="BD240:BD246" si="202">H240/(100-BE240)*100</f>
        <v>#REF!</v>
      </c>
      <c r="BE240" s="12">
        <v>0</v>
      </c>
      <c r="BF240" s="12" t="e">
        <f t="shared" ref="BF240:BF246" si="203">O240</f>
        <v>#REF!</v>
      </c>
      <c r="BH240" s="12" t="e">
        <f t="shared" ref="BH240:BH246" si="204">G240*AO240</f>
        <v>#REF!</v>
      </c>
      <c r="BI240" s="12" t="e">
        <f t="shared" ref="BI240:BI246" si="205">G240*AP240</f>
        <v>#REF!</v>
      </c>
      <c r="BJ240" s="12" t="e">
        <f t="shared" ref="BJ240:BJ246" si="206">G240*H240</f>
        <v>#REF!</v>
      </c>
      <c r="BK240" s="12"/>
      <c r="BL240" s="12">
        <v>732</v>
      </c>
      <c r="BW240" s="12" t="str">
        <f t="shared" ref="BW240:BW246" si="207">I240</f>
        <v>21</v>
      </c>
      <c r="BX240" s="3" t="s">
        <v>114</v>
      </c>
    </row>
    <row r="241" spans="1:76">
      <c r="A241" s="1" t="s">
        <v>748</v>
      </c>
      <c r="B241" s="2" t="s">
        <v>714</v>
      </c>
      <c r="C241" s="2" t="s">
        <v>383</v>
      </c>
      <c r="D241" s="349" t="s">
        <v>384</v>
      </c>
      <c r="E241" s="342"/>
      <c r="F241" s="2" t="s">
        <v>63</v>
      </c>
      <c r="G241" s="12" t="e">
        <f>#REF!</f>
        <v>#REF!</v>
      </c>
      <c r="H241" s="12" t="e">
        <f>#REF!</f>
        <v>#REF!</v>
      </c>
      <c r="I241" s="49" t="s">
        <v>554</v>
      </c>
      <c r="J241" s="12" t="e">
        <f t="shared" si="182"/>
        <v>#REF!</v>
      </c>
      <c r="K241" s="12" t="e">
        <f t="shared" si="183"/>
        <v>#REF!</v>
      </c>
      <c r="L241" s="12" t="e">
        <f t="shared" si="184"/>
        <v>#REF!</v>
      </c>
      <c r="M241" s="12" t="e">
        <f t="shared" si="185"/>
        <v>#REF!</v>
      </c>
      <c r="N241" s="12">
        <v>7.7420000000000003E-2</v>
      </c>
      <c r="O241" s="12" t="e">
        <f t="shared" si="186"/>
        <v>#REF!</v>
      </c>
      <c r="P241" s="50" t="s">
        <v>577</v>
      </c>
      <c r="Z241" s="12">
        <f t="shared" si="187"/>
        <v>0</v>
      </c>
      <c r="AB241" s="12">
        <f t="shared" si="188"/>
        <v>0</v>
      </c>
      <c r="AC241" s="12">
        <f t="shared" si="189"/>
        <v>0</v>
      </c>
      <c r="AD241" s="12" t="e">
        <f t="shared" si="190"/>
        <v>#REF!</v>
      </c>
      <c r="AE241" s="12" t="e">
        <f t="shared" si="191"/>
        <v>#REF!</v>
      </c>
      <c r="AF241" s="12">
        <f t="shared" si="192"/>
        <v>0</v>
      </c>
      <c r="AG241" s="12">
        <f t="shared" si="193"/>
        <v>0</v>
      </c>
      <c r="AH241" s="12">
        <f t="shared" si="194"/>
        <v>0</v>
      </c>
      <c r="AI241" s="10" t="s">
        <v>714</v>
      </c>
      <c r="AJ241" s="12">
        <f t="shared" si="195"/>
        <v>0</v>
      </c>
      <c r="AK241" s="12">
        <f t="shared" si="196"/>
        <v>0</v>
      </c>
      <c r="AL241" s="12" t="e">
        <f t="shared" si="197"/>
        <v>#REF!</v>
      </c>
      <c r="AN241" s="12">
        <v>21</v>
      </c>
      <c r="AO241" s="12" t="e">
        <f>H241*0</f>
        <v>#REF!</v>
      </c>
      <c r="AP241" s="12" t="e">
        <f>H241*(1-0)</f>
        <v>#REF!</v>
      </c>
      <c r="AQ241" s="49" t="s">
        <v>567</v>
      </c>
      <c r="AV241" s="12" t="e">
        <f t="shared" si="198"/>
        <v>#REF!</v>
      </c>
      <c r="AW241" s="12" t="e">
        <f t="shared" si="199"/>
        <v>#REF!</v>
      </c>
      <c r="AX241" s="12" t="e">
        <f t="shared" si="200"/>
        <v>#REF!</v>
      </c>
      <c r="AY241" s="49" t="s">
        <v>580</v>
      </c>
      <c r="AZ241" s="49" t="s">
        <v>746</v>
      </c>
      <c r="BA241" s="10" t="s">
        <v>717</v>
      </c>
      <c r="BC241" s="12" t="e">
        <f t="shared" si="201"/>
        <v>#REF!</v>
      </c>
      <c r="BD241" s="12" t="e">
        <f t="shared" si="202"/>
        <v>#REF!</v>
      </c>
      <c r="BE241" s="12">
        <v>0</v>
      </c>
      <c r="BF241" s="12" t="e">
        <f t="shared" si="203"/>
        <v>#REF!</v>
      </c>
      <c r="BH241" s="12" t="e">
        <f t="shared" si="204"/>
        <v>#REF!</v>
      </c>
      <c r="BI241" s="12" t="e">
        <f t="shared" si="205"/>
        <v>#REF!</v>
      </c>
      <c r="BJ241" s="12" t="e">
        <f t="shared" si="206"/>
        <v>#REF!</v>
      </c>
      <c r="BK241" s="12"/>
      <c r="BL241" s="12">
        <v>732</v>
      </c>
      <c r="BW241" s="12" t="str">
        <f t="shared" si="207"/>
        <v>21</v>
      </c>
      <c r="BX241" s="3" t="s">
        <v>384</v>
      </c>
    </row>
    <row r="242" spans="1:76">
      <c r="A242" s="1" t="s">
        <v>749</v>
      </c>
      <c r="B242" s="2" t="s">
        <v>714</v>
      </c>
      <c r="C242" s="2" t="s">
        <v>385</v>
      </c>
      <c r="D242" s="349" t="s">
        <v>386</v>
      </c>
      <c r="E242" s="342"/>
      <c r="F242" s="2" t="s">
        <v>68</v>
      </c>
      <c r="G242" s="12" t="e">
        <f>#REF!</f>
        <v>#REF!</v>
      </c>
      <c r="H242" s="12" t="e">
        <f>#REF!</f>
        <v>#REF!</v>
      </c>
      <c r="I242" s="49" t="s">
        <v>554</v>
      </c>
      <c r="J242" s="12" t="e">
        <f t="shared" si="182"/>
        <v>#REF!</v>
      </c>
      <c r="K242" s="12" t="e">
        <f t="shared" si="183"/>
        <v>#REF!</v>
      </c>
      <c r="L242" s="12" t="e">
        <f t="shared" si="184"/>
        <v>#REF!</v>
      </c>
      <c r="M242" s="12" t="e">
        <f t="shared" si="185"/>
        <v>#REF!</v>
      </c>
      <c r="N242" s="12">
        <v>6.5329999999999999E-2</v>
      </c>
      <c r="O242" s="12" t="e">
        <f t="shared" si="186"/>
        <v>#REF!</v>
      </c>
      <c r="P242" s="50" t="s">
        <v>605</v>
      </c>
      <c r="Z242" s="12">
        <f t="shared" si="187"/>
        <v>0</v>
      </c>
      <c r="AB242" s="12">
        <f t="shared" si="188"/>
        <v>0</v>
      </c>
      <c r="AC242" s="12">
        <f t="shared" si="189"/>
        <v>0</v>
      </c>
      <c r="AD242" s="12" t="e">
        <f t="shared" si="190"/>
        <v>#REF!</v>
      </c>
      <c r="AE242" s="12" t="e">
        <f t="shared" si="191"/>
        <v>#REF!</v>
      </c>
      <c r="AF242" s="12">
        <f t="shared" si="192"/>
        <v>0</v>
      </c>
      <c r="AG242" s="12">
        <f t="shared" si="193"/>
        <v>0</v>
      </c>
      <c r="AH242" s="12">
        <f t="shared" si="194"/>
        <v>0</v>
      </c>
      <c r="AI242" s="10" t="s">
        <v>714</v>
      </c>
      <c r="AJ242" s="12">
        <f t="shared" si="195"/>
        <v>0</v>
      </c>
      <c r="AK242" s="12">
        <f t="shared" si="196"/>
        <v>0</v>
      </c>
      <c r="AL242" s="12" t="e">
        <f t="shared" si="197"/>
        <v>#REF!</v>
      </c>
      <c r="AN242" s="12">
        <v>21</v>
      </c>
      <c r="AO242" s="12" t="e">
        <f>H242*0.674383346</f>
        <v>#REF!</v>
      </c>
      <c r="AP242" s="12" t="e">
        <f>H242*(1-0.674383346)</f>
        <v>#REF!</v>
      </c>
      <c r="AQ242" s="49" t="s">
        <v>567</v>
      </c>
      <c r="AV242" s="12" t="e">
        <f t="shared" si="198"/>
        <v>#REF!</v>
      </c>
      <c r="AW242" s="12" t="e">
        <f t="shared" si="199"/>
        <v>#REF!</v>
      </c>
      <c r="AX242" s="12" t="e">
        <f t="shared" si="200"/>
        <v>#REF!</v>
      </c>
      <c r="AY242" s="49" t="s">
        <v>580</v>
      </c>
      <c r="AZ242" s="49" t="s">
        <v>746</v>
      </c>
      <c r="BA242" s="10" t="s">
        <v>717</v>
      </c>
      <c r="BC242" s="12" t="e">
        <f t="shared" si="201"/>
        <v>#REF!</v>
      </c>
      <c r="BD242" s="12" t="e">
        <f t="shared" si="202"/>
        <v>#REF!</v>
      </c>
      <c r="BE242" s="12">
        <v>0</v>
      </c>
      <c r="BF242" s="12" t="e">
        <f t="shared" si="203"/>
        <v>#REF!</v>
      </c>
      <c r="BH242" s="12" t="e">
        <f t="shared" si="204"/>
        <v>#REF!</v>
      </c>
      <c r="BI242" s="12" t="e">
        <f t="shared" si="205"/>
        <v>#REF!</v>
      </c>
      <c r="BJ242" s="12" t="e">
        <f t="shared" si="206"/>
        <v>#REF!</v>
      </c>
      <c r="BK242" s="12"/>
      <c r="BL242" s="12">
        <v>732</v>
      </c>
      <c r="BW242" s="12" t="str">
        <f t="shared" si="207"/>
        <v>21</v>
      </c>
      <c r="BX242" s="3" t="s">
        <v>386</v>
      </c>
    </row>
    <row r="243" spans="1:76">
      <c r="A243" s="1" t="s">
        <v>750</v>
      </c>
      <c r="B243" s="2" t="s">
        <v>714</v>
      </c>
      <c r="C243" s="2" t="s">
        <v>387</v>
      </c>
      <c r="D243" s="349" t="s">
        <v>388</v>
      </c>
      <c r="E243" s="342"/>
      <c r="F243" s="2" t="s">
        <v>68</v>
      </c>
      <c r="G243" s="12" t="e">
        <f>#REF!</f>
        <v>#REF!</v>
      </c>
      <c r="H243" s="12" t="e">
        <f>#REF!</f>
        <v>#REF!</v>
      </c>
      <c r="I243" s="49" t="s">
        <v>554</v>
      </c>
      <c r="J243" s="12" t="e">
        <f t="shared" si="182"/>
        <v>#REF!</v>
      </c>
      <c r="K243" s="12" t="e">
        <f t="shared" si="183"/>
        <v>#REF!</v>
      </c>
      <c r="L243" s="12" t="e">
        <f t="shared" si="184"/>
        <v>#REF!</v>
      </c>
      <c r="M243" s="12" t="e">
        <f t="shared" si="185"/>
        <v>#REF!</v>
      </c>
      <c r="N243" s="12">
        <v>7.417E-2</v>
      </c>
      <c r="O243" s="12" t="e">
        <f t="shared" si="186"/>
        <v>#REF!</v>
      </c>
      <c r="P243" s="50" t="s">
        <v>577</v>
      </c>
      <c r="Z243" s="12">
        <f t="shared" si="187"/>
        <v>0</v>
      </c>
      <c r="AB243" s="12">
        <f t="shared" si="188"/>
        <v>0</v>
      </c>
      <c r="AC243" s="12">
        <f t="shared" si="189"/>
        <v>0</v>
      </c>
      <c r="AD243" s="12" t="e">
        <f t="shared" si="190"/>
        <v>#REF!</v>
      </c>
      <c r="AE243" s="12" t="e">
        <f t="shared" si="191"/>
        <v>#REF!</v>
      </c>
      <c r="AF243" s="12">
        <f t="shared" si="192"/>
        <v>0</v>
      </c>
      <c r="AG243" s="12">
        <f t="shared" si="193"/>
        <v>0</v>
      </c>
      <c r="AH243" s="12">
        <f t="shared" si="194"/>
        <v>0</v>
      </c>
      <c r="AI243" s="10" t="s">
        <v>714</v>
      </c>
      <c r="AJ243" s="12">
        <f t="shared" si="195"/>
        <v>0</v>
      </c>
      <c r="AK243" s="12">
        <f t="shared" si="196"/>
        <v>0</v>
      </c>
      <c r="AL243" s="12" t="e">
        <f t="shared" si="197"/>
        <v>#REF!</v>
      </c>
      <c r="AN243" s="12">
        <v>21</v>
      </c>
      <c r="AO243" s="12" t="e">
        <f>H243*0.47508805</f>
        <v>#REF!</v>
      </c>
      <c r="AP243" s="12" t="e">
        <f>H243*(1-0.47508805)</f>
        <v>#REF!</v>
      </c>
      <c r="AQ243" s="49" t="s">
        <v>567</v>
      </c>
      <c r="AV243" s="12" t="e">
        <f t="shared" si="198"/>
        <v>#REF!</v>
      </c>
      <c r="AW243" s="12" t="e">
        <f t="shared" si="199"/>
        <v>#REF!</v>
      </c>
      <c r="AX243" s="12" t="e">
        <f t="shared" si="200"/>
        <v>#REF!</v>
      </c>
      <c r="AY243" s="49" t="s">
        <v>580</v>
      </c>
      <c r="AZ243" s="49" t="s">
        <v>746</v>
      </c>
      <c r="BA243" s="10" t="s">
        <v>717</v>
      </c>
      <c r="BC243" s="12" t="e">
        <f t="shared" si="201"/>
        <v>#REF!</v>
      </c>
      <c r="BD243" s="12" t="e">
        <f t="shared" si="202"/>
        <v>#REF!</v>
      </c>
      <c r="BE243" s="12">
        <v>0</v>
      </c>
      <c r="BF243" s="12" t="e">
        <f t="shared" si="203"/>
        <v>#REF!</v>
      </c>
      <c r="BH243" s="12" t="e">
        <f t="shared" si="204"/>
        <v>#REF!</v>
      </c>
      <c r="BI243" s="12" t="e">
        <f t="shared" si="205"/>
        <v>#REF!</v>
      </c>
      <c r="BJ243" s="12" t="e">
        <f t="shared" si="206"/>
        <v>#REF!</v>
      </c>
      <c r="BK243" s="12"/>
      <c r="BL243" s="12">
        <v>732</v>
      </c>
      <c r="BW243" s="12" t="str">
        <f t="shared" si="207"/>
        <v>21</v>
      </c>
      <c r="BX243" s="3" t="s">
        <v>388</v>
      </c>
    </row>
    <row r="244" spans="1:76">
      <c r="A244" s="1" t="s">
        <v>751</v>
      </c>
      <c r="B244" s="2" t="s">
        <v>714</v>
      </c>
      <c r="C244" s="2" t="s">
        <v>179</v>
      </c>
      <c r="D244" s="349" t="s">
        <v>389</v>
      </c>
      <c r="E244" s="342"/>
      <c r="F244" s="2" t="s">
        <v>21</v>
      </c>
      <c r="G244" s="12" t="e">
        <f>#REF!</f>
        <v>#REF!</v>
      </c>
      <c r="H244" s="12" t="e">
        <f>#REF!</f>
        <v>#REF!</v>
      </c>
      <c r="I244" s="49" t="s">
        <v>554</v>
      </c>
      <c r="J244" s="12" t="e">
        <f t="shared" si="182"/>
        <v>#REF!</v>
      </c>
      <c r="K244" s="12" t="e">
        <f t="shared" si="183"/>
        <v>#REF!</v>
      </c>
      <c r="L244" s="12" t="e">
        <f t="shared" si="184"/>
        <v>#REF!</v>
      </c>
      <c r="M244" s="12" t="e">
        <f t="shared" si="185"/>
        <v>#REF!</v>
      </c>
      <c r="N244" s="12">
        <v>0</v>
      </c>
      <c r="O244" s="12" t="e">
        <f t="shared" si="186"/>
        <v>#REF!</v>
      </c>
      <c r="P244" s="50" t="s">
        <v>21</v>
      </c>
      <c r="Z244" s="12">
        <f t="shared" si="187"/>
        <v>0</v>
      </c>
      <c r="AB244" s="12">
        <f t="shared" si="188"/>
        <v>0</v>
      </c>
      <c r="AC244" s="12">
        <f t="shared" si="189"/>
        <v>0</v>
      </c>
      <c r="AD244" s="12" t="e">
        <f t="shared" si="190"/>
        <v>#REF!</v>
      </c>
      <c r="AE244" s="12" t="e">
        <f t="shared" si="191"/>
        <v>#REF!</v>
      </c>
      <c r="AF244" s="12">
        <f t="shared" si="192"/>
        <v>0</v>
      </c>
      <c r="AG244" s="12">
        <f t="shared" si="193"/>
        <v>0</v>
      </c>
      <c r="AH244" s="12">
        <f t="shared" si="194"/>
        <v>0</v>
      </c>
      <c r="AI244" s="10" t="s">
        <v>714</v>
      </c>
      <c r="AJ244" s="12">
        <f t="shared" si="195"/>
        <v>0</v>
      </c>
      <c r="AK244" s="12">
        <f t="shared" si="196"/>
        <v>0</v>
      </c>
      <c r="AL244" s="12" t="e">
        <f t="shared" si="197"/>
        <v>#REF!</v>
      </c>
      <c r="AN244" s="12">
        <v>21</v>
      </c>
      <c r="AO244" s="12" t="e">
        <f>H244*0.974240082</f>
        <v>#REF!</v>
      </c>
      <c r="AP244" s="12" t="e">
        <f>H244*(1-0.974240082)</f>
        <v>#REF!</v>
      </c>
      <c r="AQ244" s="49" t="s">
        <v>567</v>
      </c>
      <c r="AV244" s="12" t="e">
        <f t="shared" si="198"/>
        <v>#REF!</v>
      </c>
      <c r="AW244" s="12" t="e">
        <f t="shared" si="199"/>
        <v>#REF!</v>
      </c>
      <c r="AX244" s="12" t="e">
        <f t="shared" si="200"/>
        <v>#REF!</v>
      </c>
      <c r="AY244" s="49" t="s">
        <v>580</v>
      </c>
      <c r="AZ244" s="49" t="s">
        <v>746</v>
      </c>
      <c r="BA244" s="10" t="s">
        <v>717</v>
      </c>
      <c r="BC244" s="12" t="e">
        <f t="shared" si="201"/>
        <v>#REF!</v>
      </c>
      <c r="BD244" s="12" t="e">
        <f t="shared" si="202"/>
        <v>#REF!</v>
      </c>
      <c r="BE244" s="12">
        <v>0</v>
      </c>
      <c r="BF244" s="12" t="e">
        <f t="shared" si="203"/>
        <v>#REF!</v>
      </c>
      <c r="BH244" s="12" t="e">
        <f t="shared" si="204"/>
        <v>#REF!</v>
      </c>
      <c r="BI244" s="12" t="e">
        <f t="shared" si="205"/>
        <v>#REF!</v>
      </c>
      <c r="BJ244" s="12" t="e">
        <f t="shared" si="206"/>
        <v>#REF!</v>
      </c>
      <c r="BK244" s="12"/>
      <c r="BL244" s="12">
        <v>732</v>
      </c>
      <c r="BW244" s="12" t="str">
        <f t="shared" si="207"/>
        <v>21</v>
      </c>
      <c r="BX244" s="3" t="s">
        <v>389</v>
      </c>
    </row>
    <row r="245" spans="1:76">
      <c r="A245" s="1" t="s">
        <v>752</v>
      </c>
      <c r="B245" s="2" t="s">
        <v>714</v>
      </c>
      <c r="C245" s="2" t="s">
        <v>390</v>
      </c>
      <c r="D245" s="349" t="s">
        <v>391</v>
      </c>
      <c r="E245" s="342"/>
      <c r="F245" s="2" t="s">
        <v>58</v>
      </c>
      <c r="G245" s="12" t="e">
        <f>#REF!</f>
        <v>#REF!</v>
      </c>
      <c r="H245" s="12" t="e">
        <f>#REF!</f>
        <v>#REF!</v>
      </c>
      <c r="I245" s="49" t="s">
        <v>554</v>
      </c>
      <c r="J245" s="12" t="e">
        <f t="shared" si="182"/>
        <v>#REF!</v>
      </c>
      <c r="K245" s="12" t="e">
        <f t="shared" si="183"/>
        <v>#REF!</v>
      </c>
      <c r="L245" s="12" t="e">
        <f t="shared" si="184"/>
        <v>#REF!</v>
      </c>
      <c r="M245" s="12" t="e">
        <f t="shared" si="185"/>
        <v>#REF!</v>
      </c>
      <c r="N245" s="12">
        <v>1.9820000000000001E-2</v>
      </c>
      <c r="O245" s="12" t="e">
        <f t="shared" si="186"/>
        <v>#REF!</v>
      </c>
      <c r="P245" s="50" t="s">
        <v>605</v>
      </c>
      <c r="Z245" s="12">
        <f t="shared" si="187"/>
        <v>0</v>
      </c>
      <c r="AB245" s="12">
        <f t="shared" si="188"/>
        <v>0</v>
      </c>
      <c r="AC245" s="12">
        <f t="shared" si="189"/>
        <v>0</v>
      </c>
      <c r="AD245" s="12" t="e">
        <f t="shared" si="190"/>
        <v>#REF!</v>
      </c>
      <c r="AE245" s="12" t="e">
        <f t="shared" si="191"/>
        <v>#REF!</v>
      </c>
      <c r="AF245" s="12">
        <f t="shared" si="192"/>
        <v>0</v>
      </c>
      <c r="AG245" s="12">
        <f t="shared" si="193"/>
        <v>0</v>
      </c>
      <c r="AH245" s="12">
        <f t="shared" si="194"/>
        <v>0</v>
      </c>
      <c r="AI245" s="10" t="s">
        <v>714</v>
      </c>
      <c r="AJ245" s="12">
        <f t="shared" si="195"/>
        <v>0</v>
      </c>
      <c r="AK245" s="12">
        <f t="shared" si="196"/>
        <v>0</v>
      </c>
      <c r="AL245" s="12" t="e">
        <f t="shared" si="197"/>
        <v>#REF!</v>
      </c>
      <c r="AN245" s="12">
        <v>21</v>
      </c>
      <c r="AO245" s="12" t="e">
        <f>H245*0.642985042</f>
        <v>#REF!</v>
      </c>
      <c r="AP245" s="12" t="e">
        <f>H245*(1-0.642985042)</f>
        <v>#REF!</v>
      </c>
      <c r="AQ245" s="49" t="s">
        <v>567</v>
      </c>
      <c r="AV245" s="12" t="e">
        <f t="shared" si="198"/>
        <v>#REF!</v>
      </c>
      <c r="AW245" s="12" t="e">
        <f t="shared" si="199"/>
        <v>#REF!</v>
      </c>
      <c r="AX245" s="12" t="e">
        <f t="shared" si="200"/>
        <v>#REF!</v>
      </c>
      <c r="AY245" s="49" t="s">
        <v>580</v>
      </c>
      <c r="AZ245" s="49" t="s">
        <v>746</v>
      </c>
      <c r="BA245" s="10" t="s">
        <v>717</v>
      </c>
      <c r="BC245" s="12" t="e">
        <f t="shared" si="201"/>
        <v>#REF!</v>
      </c>
      <c r="BD245" s="12" t="e">
        <f t="shared" si="202"/>
        <v>#REF!</v>
      </c>
      <c r="BE245" s="12">
        <v>0</v>
      </c>
      <c r="BF245" s="12" t="e">
        <f t="shared" si="203"/>
        <v>#REF!</v>
      </c>
      <c r="BH245" s="12" t="e">
        <f t="shared" si="204"/>
        <v>#REF!</v>
      </c>
      <c r="BI245" s="12" t="e">
        <f t="shared" si="205"/>
        <v>#REF!</v>
      </c>
      <c r="BJ245" s="12" t="e">
        <f t="shared" si="206"/>
        <v>#REF!</v>
      </c>
      <c r="BK245" s="12"/>
      <c r="BL245" s="12">
        <v>732</v>
      </c>
      <c r="BW245" s="12" t="str">
        <f t="shared" si="207"/>
        <v>21</v>
      </c>
      <c r="BX245" s="3" t="s">
        <v>391</v>
      </c>
    </row>
    <row r="246" spans="1:76" ht="25.5">
      <c r="A246" s="1" t="s">
        <v>753</v>
      </c>
      <c r="B246" s="2" t="s">
        <v>714</v>
      </c>
      <c r="C246" s="2" t="s">
        <v>392</v>
      </c>
      <c r="D246" s="349" t="s">
        <v>393</v>
      </c>
      <c r="E246" s="342"/>
      <c r="F246" s="2" t="s">
        <v>68</v>
      </c>
      <c r="G246" s="12" t="e">
        <f>#REF!</f>
        <v>#REF!</v>
      </c>
      <c r="H246" s="12" t="e">
        <f>#REF!</f>
        <v>#REF!</v>
      </c>
      <c r="I246" s="49" t="s">
        <v>554</v>
      </c>
      <c r="J246" s="12" t="e">
        <f t="shared" si="182"/>
        <v>#REF!</v>
      </c>
      <c r="K246" s="12" t="e">
        <f t="shared" si="183"/>
        <v>#REF!</v>
      </c>
      <c r="L246" s="12" t="e">
        <f t="shared" si="184"/>
        <v>#REF!</v>
      </c>
      <c r="M246" s="12" t="e">
        <f t="shared" si="185"/>
        <v>#REF!</v>
      </c>
      <c r="N246" s="12">
        <v>1.9E-3</v>
      </c>
      <c r="O246" s="12" t="e">
        <f t="shared" si="186"/>
        <v>#REF!</v>
      </c>
      <c r="P246" s="50" t="s">
        <v>605</v>
      </c>
      <c r="Z246" s="12">
        <f t="shared" si="187"/>
        <v>0</v>
      </c>
      <c r="AB246" s="12">
        <f t="shared" si="188"/>
        <v>0</v>
      </c>
      <c r="AC246" s="12">
        <f t="shared" si="189"/>
        <v>0</v>
      </c>
      <c r="AD246" s="12" t="e">
        <f t="shared" si="190"/>
        <v>#REF!</v>
      </c>
      <c r="AE246" s="12" t="e">
        <f t="shared" si="191"/>
        <v>#REF!</v>
      </c>
      <c r="AF246" s="12">
        <f t="shared" si="192"/>
        <v>0</v>
      </c>
      <c r="AG246" s="12">
        <f t="shared" si="193"/>
        <v>0</v>
      </c>
      <c r="AH246" s="12">
        <f t="shared" si="194"/>
        <v>0</v>
      </c>
      <c r="AI246" s="10" t="s">
        <v>714</v>
      </c>
      <c r="AJ246" s="12">
        <f t="shared" si="195"/>
        <v>0</v>
      </c>
      <c r="AK246" s="12">
        <f t="shared" si="196"/>
        <v>0</v>
      </c>
      <c r="AL246" s="12" t="e">
        <f t="shared" si="197"/>
        <v>#REF!</v>
      </c>
      <c r="AN246" s="12">
        <v>21</v>
      </c>
      <c r="AO246" s="12" t="e">
        <f>H246*1</f>
        <v>#REF!</v>
      </c>
      <c r="AP246" s="12" t="e">
        <f>H246*(1-1)</f>
        <v>#REF!</v>
      </c>
      <c r="AQ246" s="49" t="s">
        <v>567</v>
      </c>
      <c r="AV246" s="12" t="e">
        <f t="shared" si="198"/>
        <v>#REF!</v>
      </c>
      <c r="AW246" s="12" t="e">
        <f t="shared" si="199"/>
        <v>#REF!</v>
      </c>
      <c r="AX246" s="12" t="e">
        <f t="shared" si="200"/>
        <v>#REF!</v>
      </c>
      <c r="AY246" s="49" t="s">
        <v>580</v>
      </c>
      <c r="AZ246" s="49" t="s">
        <v>746</v>
      </c>
      <c r="BA246" s="10" t="s">
        <v>717</v>
      </c>
      <c r="BC246" s="12" t="e">
        <f t="shared" si="201"/>
        <v>#REF!</v>
      </c>
      <c r="BD246" s="12" t="e">
        <f t="shared" si="202"/>
        <v>#REF!</v>
      </c>
      <c r="BE246" s="12">
        <v>0</v>
      </c>
      <c r="BF246" s="12" t="e">
        <f t="shared" si="203"/>
        <v>#REF!</v>
      </c>
      <c r="BH246" s="12" t="e">
        <f t="shared" si="204"/>
        <v>#REF!</v>
      </c>
      <c r="BI246" s="12" t="e">
        <f t="shared" si="205"/>
        <v>#REF!</v>
      </c>
      <c r="BJ246" s="12" t="e">
        <f t="shared" si="206"/>
        <v>#REF!</v>
      </c>
      <c r="BK246" s="12"/>
      <c r="BL246" s="12">
        <v>732</v>
      </c>
      <c r="BW246" s="12" t="str">
        <f t="shared" si="207"/>
        <v>21</v>
      </c>
      <c r="BX246" s="3" t="s">
        <v>393</v>
      </c>
    </row>
    <row r="247" spans="1:76">
      <c r="A247" s="46" t="s">
        <v>21</v>
      </c>
      <c r="B247" s="9" t="s">
        <v>714</v>
      </c>
      <c r="C247" s="9" t="s">
        <v>85</v>
      </c>
      <c r="D247" s="359" t="s">
        <v>86</v>
      </c>
      <c r="E247" s="360"/>
      <c r="F247" s="47" t="s">
        <v>20</v>
      </c>
      <c r="G247" s="47" t="s">
        <v>20</v>
      </c>
      <c r="H247" s="47" t="s">
        <v>20</v>
      </c>
      <c r="I247" s="47" t="s">
        <v>20</v>
      </c>
      <c r="J247" s="11" t="e">
        <f>SUM(J248:J258)</f>
        <v>#REF!</v>
      </c>
      <c r="K247" s="11" t="e">
        <f>SUM(K248:K258)</f>
        <v>#REF!</v>
      </c>
      <c r="L247" s="11" t="e">
        <f>SUM(L248:L258)</f>
        <v>#REF!</v>
      </c>
      <c r="M247" s="11" t="e">
        <f>SUM(M248:M258)</f>
        <v>#REF!</v>
      </c>
      <c r="N247" s="10" t="s">
        <v>21</v>
      </c>
      <c r="O247" s="11" t="e">
        <f>SUM(O248:O258)</f>
        <v>#REF!</v>
      </c>
      <c r="P247" s="48" t="s">
        <v>21</v>
      </c>
      <c r="AI247" s="10" t="s">
        <v>714</v>
      </c>
      <c r="AS247" s="11">
        <f>SUM(AJ248:AJ258)</f>
        <v>0</v>
      </c>
      <c r="AT247" s="11">
        <f>SUM(AK248:AK258)</f>
        <v>0</v>
      </c>
      <c r="AU247" s="11" t="e">
        <f>SUM(AL248:AL258)</f>
        <v>#REF!</v>
      </c>
    </row>
    <row r="248" spans="1:76">
      <c r="A248" s="1" t="s">
        <v>754</v>
      </c>
      <c r="B248" s="2" t="s">
        <v>714</v>
      </c>
      <c r="C248" s="2" t="s">
        <v>394</v>
      </c>
      <c r="D248" s="349" t="s">
        <v>395</v>
      </c>
      <c r="E248" s="342"/>
      <c r="F248" s="2" t="s">
        <v>68</v>
      </c>
      <c r="G248" s="12" t="e">
        <f>#REF!</f>
        <v>#REF!</v>
      </c>
      <c r="H248" s="12" t="e">
        <f>#REF!</f>
        <v>#REF!</v>
      </c>
      <c r="I248" s="49" t="s">
        <v>554</v>
      </c>
      <c r="J248" s="12" t="e">
        <f t="shared" ref="J248:J258" si="208">G248*AO248</f>
        <v>#REF!</v>
      </c>
      <c r="K248" s="12" t="e">
        <f t="shared" ref="K248:K258" si="209">G248*AP248</f>
        <v>#REF!</v>
      </c>
      <c r="L248" s="12" t="e">
        <f t="shared" ref="L248:L258" si="210">G248*H248</f>
        <v>#REF!</v>
      </c>
      <c r="M248" s="12" t="e">
        <f t="shared" ref="M248:M258" si="211">L248*(1+BW248/100)</f>
        <v>#REF!</v>
      </c>
      <c r="N248" s="12">
        <v>2.1700000000000001E-3</v>
      </c>
      <c r="O248" s="12" t="e">
        <f t="shared" ref="O248:O258" si="212">G248*N248</f>
        <v>#REF!</v>
      </c>
      <c r="P248" s="50" t="s">
        <v>577</v>
      </c>
      <c r="Z248" s="12">
        <f t="shared" ref="Z248:Z258" si="213">IF(AQ248="5",BJ248,0)</f>
        <v>0</v>
      </c>
      <c r="AB248" s="12">
        <f t="shared" ref="AB248:AB258" si="214">IF(AQ248="1",BH248,0)</f>
        <v>0</v>
      </c>
      <c r="AC248" s="12">
        <f t="shared" ref="AC248:AC258" si="215">IF(AQ248="1",BI248,0)</f>
        <v>0</v>
      </c>
      <c r="AD248" s="12" t="e">
        <f t="shared" ref="AD248:AD258" si="216">IF(AQ248="7",BH248,0)</f>
        <v>#REF!</v>
      </c>
      <c r="AE248" s="12" t="e">
        <f t="shared" ref="AE248:AE258" si="217">IF(AQ248="7",BI248,0)</f>
        <v>#REF!</v>
      </c>
      <c r="AF248" s="12">
        <f t="shared" ref="AF248:AF258" si="218">IF(AQ248="2",BH248,0)</f>
        <v>0</v>
      </c>
      <c r="AG248" s="12">
        <f t="shared" ref="AG248:AG258" si="219">IF(AQ248="2",BI248,0)</f>
        <v>0</v>
      </c>
      <c r="AH248" s="12">
        <f t="shared" ref="AH248:AH258" si="220">IF(AQ248="0",BJ248,0)</f>
        <v>0</v>
      </c>
      <c r="AI248" s="10" t="s">
        <v>714</v>
      </c>
      <c r="AJ248" s="12">
        <f t="shared" ref="AJ248:AJ258" si="221">IF(AN248=0,L248,0)</f>
        <v>0</v>
      </c>
      <c r="AK248" s="12">
        <f t="shared" ref="AK248:AK258" si="222">IF(AN248=12,L248,0)</f>
        <v>0</v>
      </c>
      <c r="AL248" s="12" t="e">
        <f t="shared" ref="AL248:AL258" si="223">IF(AN248=21,L248,0)</f>
        <v>#REF!</v>
      </c>
      <c r="AN248" s="12">
        <v>21</v>
      </c>
      <c r="AO248" s="12" t="e">
        <f>H248*0.593006993</f>
        <v>#REF!</v>
      </c>
      <c r="AP248" s="12" t="e">
        <f>H248*(1-0.593006993)</f>
        <v>#REF!</v>
      </c>
      <c r="AQ248" s="49" t="s">
        <v>567</v>
      </c>
      <c r="AV248" s="12" t="e">
        <f t="shared" ref="AV248:AV258" si="224">AW248+AX248</f>
        <v>#REF!</v>
      </c>
      <c r="AW248" s="12" t="e">
        <f t="shared" ref="AW248:AW258" si="225">G248*AO248</f>
        <v>#REF!</v>
      </c>
      <c r="AX248" s="12" t="e">
        <f t="shared" ref="AX248:AX258" si="226">G248*AP248</f>
        <v>#REF!</v>
      </c>
      <c r="AY248" s="49" t="s">
        <v>588</v>
      </c>
      <c r="AZ248" s="49" t="s">
        <v>746</v>
      </c>
      <c r="BA248" s="10" t="s">
        <v>717</v>
      </c>
      <c r="BC248" s="12" t="e">
        <f t="shared" ref="BC248:BC258" si="227">AW248+AX248</f>
        <v>#REF!</v>
      </c>
      <c r="BD248" s="12" t="e">
        <f t="shared" ref="BD248:BD258" si="228">H248/(100-BE248)*100</f>
        <v>#REF!</v>
      </c>
      <c r="BE248" s="12">
        <v>0</v>
      </c>
      <c r="BF248" s="12" t="e">
        <f t="shared" ref="BF248:BF258" si="229">O248</f>
        <v>#REF!</v>
      </c>
      <c r="BH248" s="12" t="e">
        <f t="shared" ref="BH248:BH258" si="230">G248*AO248</f>
        <v>#REF!</v>
      </c>
      <c r="BI248" s="12" t="e">
        <f t="shared" ref="BI248:BI258" si="231">G248*AP248</f>
        <v>#REF!</v>
      </c>
      <c r="BJ248" s="12" t="e">
        <f t="shared" ref="BJ248:BJ258" si="232">G248*H248</f>
        <v>#REF!</v>
      </c>
      <c r="BK248" s="12"/>
      <c r="BL248" s="12">
        <v>733</v>
      </c>
      <c r="BW248" s="12" t="str">
        <f t="shared" ref="BW248:BW258" si="233">I248</f>
        <v>21</v>
      </c>
      <c r="BX248" s="3" t="s">
        <v>395</v>
      </c>
    </row>
    <row r="249" spans="1:76">
      <c r="A249" s="1" t="s">
        <v>755</v>
      </c>
      <c r="B249" s="2" t="s">
        <v>714</v>
      </c>
      <c r="C249" s="2" t="s">
        <v>396</v>
      </c>
      <c r="D249" s="349" t="s">
        <v>397</v>
      </c>
      <c r="E249" s="342"/>
      <c r="F249" s="2" t="s">
        <v>68</v>
      </c>
      <c r="G249" s="12" t="e">
        <f>#REF!</f>
        <v>#REF!</v>
      </c>
      <c r="H249" s="12" t="e">
        <f>#REF!</f>
        <v>#REF!</v>
      </c>
      <c r="I249" s="49" t="s">
        <v>554</v>
      </c>
      <c r="J249" s="12" t="e">
        <f t="shared" si="208"/>
        <v>#REF!</v>
      </c>
      <c r="K249" s="12" t="e">
        <f t="shared" si="209"/>
        <v>#REF!</v>
      </c>
      <c r="L249" s="12" t="e">
        <f t="shared" si="210"/>
        <v>#REF!</v>
      </c>
      <c r="M249" s="12" t="e">
        <f t="shared" si="211"/>
        <v>#REF!</v>
      </c>
      <c r="N249" s="12">
        <v>2.1000000000000001E-4</v>
      </c>
      <c r="O249" s="12" t="e">
        <f t="shared" si="212"/>
        <v>#REF!</v>
      </c>
      <c r="P249" s="50" t="s">
        <v>577</v>
      </c>
      <c r="Z249" s="12">
        <f t="shared" si="213"/>
        <v>0</v>
      </c>
      <c r="AB249" s="12">
        <f t="shared" si="214"/>
        <v>0</v>
      </c>
      <c r="AC249" s="12">
        <f t="shared" si="215"/>
        <v>0</v>
      </c>
      <c r="AD249" s="12" t="e">
        <f t="shared" si="216"/>
        <v>#REF!</v>
      </c>
      <c r="AE249" s="12" t="e">
        <f t="shared" si="217"/>
        <v>#REF!</v>
      </c>
      <c r="AF249" s="12">
        <f t="shared" si="218"/>
        <v>0</v>
      </c>
      <c r="AG249" s="12">
        <f t="shared" si="219"/>
        <v>0</v>
      </c>
      <c r="AH249" s="12">
        <f t="shared" si="220"/>
        <v>0</v>
      </c>
      <c r="AI249" s="10" t="s">
        <v>714</v>
      </c>
      <c r="AJ249" s="12">
        <f t="shared" si="221"/>
        <v>0</v>
      </c>
      <c r="AK249" s="12">
        <f t="shared" si="222"/>
        <v>0</v>
      </c>
      <c r="AL249" s="12" t="e">
        <f t="shared" si="223"/>
        <v>#REF!</v>
      </c>
      <c r="AN249" s="12">
        <v>21</v>
      </c>
      <c r="AO249" s="12" t="e">
        <f>H249*0.236903409</f>
        <v>#REF!</v>
      </c>
      <c r="AP249" s="12" t="e">
        <f>H249*(1-0.236903409)</f>
        <v>#REF!</v>
      </c>
      <c r="AQ249" s="49" t="s">
        <v>567</v>
      </c>
      <c r="AV249" s="12" t="e">
        <f t="shared" si="224"/>
        <v>#REF!</v>
      </c>
      <c r="AW249" s="12" t="e">
        <f t="shared" si="225"/>
        <v>#REF!</v>
      </c>
      <c r="AX249" s="12" t="e">
        <f t="shared" si="226"/>
        <v>#REF!</v>
      </c>
      <c r="AY249" s="49" t="s">
        <v>588</v>
      </c>
      <c r="AZ249" s="49" t="s">
        <v>746</v>
      </c>
      <c r="BA249" s="10" t="s">
        <v>717</v>
      </c>
      <c r="BC249" s="12" t="e">
        <f t="shared" si="227"/>
        <v>#REF!</v>
      </c>
      <c r="BD249" s="12" t="e">
        <f t="shared" si="228"/>
        <v>#REF!</v>
      </c>
      <c r="BE249" s="12">
        <v>0</v>
      </c>
      <c r="BF249" s="12" t="e">
        <f t="shared" si="229"/>
        <v>#REF!</v>
      </c>
      <c r="BH249" s="12" t="e">
        <f t="shared" si="230"/>
        <v>#REF!</v>
      </c>
      <c r="BI249" s="12" t="e">
        <f t="shared" si="231"/>
        <v>#REF!</v>
      </c>
      <c r="BJ249" s="12" t="e">
        <f t="shared" si="232"/>
        <v>#REF!</v>
      </c>
      <c r="BK249" s="12"/>
      <c r="BL249" s="12">
        <v>733</v>
      </c>
      <c r="BW249" s="12" t="str">
        <f t="shared" si="233"/>
        <v>21</v>
      </c>
      <c r="BX249" s="3" t="s">
        <v>397</v>
      </c>
    </row>
    <row r="250" spans="1:76">
      <c r="A250" s="1" t="s">
        <v>756</v>
      </c>
      <c r="B250" s="2" t="s">
        <v>714</v>
      </c>
      <c r="C250" s="2" t="s">
        <v>398</v>
      </c>
      <c r="D250" s="349" t="s">
        <v>399</v>
      </c>
      <c r="E250" s="342"/>
      <c r="F250" s="2" t="s">
        <v>68</v>
      </c>
      <c r="G250" s="12" t="e">
        <f>#REF!</f>
        <v>#REF!</v>
      </c>
      <c r="H250" s="12" t="e">
        <f>#REF!</f>
        <v>#REF!</v>
      </c>
      <c r="I250" s="49" t="s">
        <v>554</v>
      </c>
      <c r="J250" s="12" t="e">
        <f t="shared" si="208"/>
        <v>#REF!</v>
      </c>
      <c r="K250" s="12" t="e">
        <f t="shared" si="209"/>
        <v>#REF!</v>
      </c>
      <c r="L250" s="12" t="e">
        <f t="shared" si="210"/>
        <v>#REF!</v>
      </c>
      <c r="M250" s="12" t="e">
        <f t="shared" si="211"/>
        <v>#REF!</v>
      </c>
      <c r="N250" s="12">
        <v>1.3999999999999999E-4</v>
      </c>
      <c r="O250" s="12" t="e">
        <f t="shared" si="212"/>
        <v>#REF!</v>
      </c>
      <c r="P250" s="50" t="s">
        <v>605</v>
      </c>
      <c r="Z250" s="12">
        <f t="shared" si="213"/>
        <v>0</v>
      </c>
      <c r="AB250" s="12">
        <f t="shared" si="214"/>
        <v>0</v>
      </c>
      <c r="AC250" s="12">
        <f t="shared" si="215"/>
        <v>0</v>
      </c>
      <c r="AD250" s="12" t="e">
        <f t="shared" si="216"/>
        <v>#REF!</v>
      </c>
      <c r="AE250" s="12" t="e">
        <f t="shared" si="217"/>
        <v>#REF!</v>
      </c>
      <c r="AF250" s="12">
        <f t="shared" si="218"/>
        <v>0</v>
      </c>
      <c r="AG250" s="12">
        <f t="shared" si="219"/>
        <v>0</v>
      </c>
      <c r="AH250" s="12">
        <f t="shared" si="220"/>
        <v>0</v>
      </c>
      <c r="AI250" s="10" t="s">
        <v>714</v>
      </c>
      <c r="AJ250" s="12">
        <f t="shared" si="221"/>
        <v>0</v>
      </c>
      <c r="AK250" s="12">
        <f t="shared" si="222"/>
        <v>0</v>
      </c>
      <c r="AL250" s="12" t="e">
        <f t="shared" si="223"/>
        <v>#REF!</v>
      </c>
      <c r="AN250" s="12">
        <v>21</v>
      </c>
      <c r="AO250" s="12" t="e">
        <f>H250*0.345851429</f>
        <v>#REF!</v>
      </c>
      <c r="AP250" s="12" t="e">
        <f>H250*(1-0.345851429)</f>
        <v>#REF!</v>
      </c>
      <c r="AQ250" s="49" t="s">
        <v>567</v>
      </c>
      <c r="AV250" s="12" t="e">
        <f t="shared" si="224"/>
        <v>#REF!</v>
      </c>
      <c r="AW250" s="12" t="e">
        <f t="shared" si="225"/>
        <v>#REF!</v>
      </c>
      <c r="AX250" s="12" t="e">
        <f t="shared" si="226"/>
        <v>#REF!</v>
      </c>
      <c r="AY250" s="49" t="s">
        <v>588</v>
      </c>
      <c r="AZ250" s="49" t="s">
        <v>746</v>
      </c>
      <c r="BA250" s="10" t="s">
        <v>717</v>
      </c>
      <c r="BC250" s="12" t="e">
        <f t="shared" si="227"/>
        <v>#REF!</v>
      </c>
      <c r="BD250" s="12" t="e">
        <f t="shared" si="228"/>
        <v>#REF!</v>
      </c>
      <c r="BE250" s="12">
        <v>0</v>
      </c>
      <c r="BF250" s="12" t="e">
        <f t="shared" si="229"/>
        <v>#REF!</v>
      </c>
      <c r="BH250" s="12" t="e">
        <f t="shared" si="230"/>
        <v>#REF!</v>
      </c>
      <c r="BI250" s="12" t="e">
        <f t="shared" si="231"/>
        <v>#REF!</v>
      </c>
      <c r="BJ250" s="12" t="e">
        <f t="shared" si="232"/>
        <v>#REF!</v>
      </c>
      <c r="BK250" s="12"/>
      <c r="BL250" s="12">
        <v>733</v>
      </c>
      <c r="BW250" s="12" t="str">
        <f t="shared" si="233"/>
        <v>21</v>
      </c>
      <c r="BX250" s="3" t="s">
        <v>399</v>
      </c>
    </row>
    <row r="251" spans="1:76">
      <c r="A251" s="1" t="s">
        <v>757</v>
      </c>
      <c r="B251" s="2" t="s">
        <v>714</v>
      </c>
      <c r="C251" s="2" t="s">
        <v>400</v>
      </c>
      <c r="D251" s="349" t="s">
        <v>401</v>
      </c>
      <c r="E251" s="342"/>
      <c r="F251" s="2" t="s">
        <v>63</v>
      </c>
      <c r="G251" s="12" t="e">
        <f>#REF!</f>
        <v>#REF!</v>
      </c>
      <c r="H251" s="12" t="e">
        <f>#REF!</f>
        <v>#REF!</v>
      </c>
      <c r="I251" s="49" t="s">
        <v>554</v>
      </c>
      <c r="J251" s="12" t="e">
        <f t="shared" si="208"/>
        <v>#REF!</v>
      </c>
      <c r="K251" s="12" t="e">
        <f t="shared" si="209"/>
        <v>#REF!</v>
      </c>
      <c r="L251" s="12" t="e">
        <f t="shared" si="210"/>
        <v>#REF!</v>
      </c>
      <c r="M251" s="12" t="e">
        <f t="shared" si="211"/>
        <v>#REF!</v>
      </c>
      <c r="N251" s="12">
        <v>8.4700000000000001E-3</v>
      </c>
      <c r="O251" s="12" t="e">
        <f t="shared" si="212"/>
        <v>#REF!</v>
      </c>
      <c r="P251" s="50" t="s">
        <v>577</v>
      </c>
      <c r="Z251" s="12">
        <f t="shared" si="213"/>
        <v>0</v>
      </c>
      <c r="AB251" s="12">
        <f t="shared" si="214"/>
        <v>0</v>
      </c>
      <c r="AC251" s="12">
        <f t="shared" si="215"/>
        <v>0</v>
      </c>
      <c r="AD251" s="12" t="e">
        <f t="shared" si="216"/>
        <v>#REF!</v>
      </c>
      <c r="AE251" s="12" t="e">
        <f t="shared" si="217"/>
        <v>#REF!</v>
      </c>
      <c r="AF251" s="12">
        <f t="shared" si="218"/>
        <v>0</v>
      </c>
      <c r="AG251" s="12">
        <f t="shared" si="219"/>
        <v>0</v>
      </c>
      <c r="AH251" s="12">
        <f t="shared" si="220"/>
        <v>0</v>
      </c>
      <c r="AI251" s="10" t="s">
        <v>714</v>
      </c>
      <c r="AJ251" s="12">
        <f t="shared" si="221"/>
        <v>0</v>
      </c>
      <c r="AK251" s="12">
        <f t="shared" si="222"/>
        <v>0</v>
      </c>
      <c r="AL251" s="12" t="e">
        <f t="shared" si="223"/>
        <v>#REF!</v>
      </c>
      <c r="AN251" s="12">
        <v>21</v>
      </c>
      <c r="AO251" s="12" t="e">
        <f>H251*0.193150786</f>
        <v>#REF!</v>
      </c>
      <c r="AP251" s="12" t="e">
        <f>H251*(1-0.193150786)</f>
        <v>#REF!</v>
      </c>
      <c r="AQ251" s="49" t="s">
        <v>567</v>
      </c>
      <c r="AV251" s="12" t="e">
        <f t="shared" si="224"/>
        <v>#REF!</v>
      </c>
      <c r="AW251" s="12" t="e">
        <f t="shared" si="225"/>
        <v>#REF!</v>
      </c>
      <c r="AX251" s="12" t="e">
        <f t="shared" si="226"/>
        <v>#REF!</v>
      </c>
      <c r="AY251" s="49" t="s">
        <v>588</v>
      </c>
      <c r="AZ251" s="49" t="s">
        <v>746</v>
      </c>
      <c r="BA251" s="10" t="s">
        <v>717</v>
      </c>
      <c r="BC251" s="12" t="e">
        <f t="shared" si="227"/>
        <v>#REF!</v>
      </c>
      <c r="BD251" s="12" t="e">
        <f t="shared" si="228"/>
        <v>#REF!</v>
      </c>
      <c r="BE251" s="12">
        <v>0</v>
      </c>
      <c r="BF251" s="12" t="e">
        <f t="shared" si="229"/>
        <v>#REF!</v>
      </c>
      <c r="BH251" s="12" t="e">
        <f t="shared" si="230"/>
        <v>#REF!</v>
      </c>
      <c r="BI251" s="12" t="e">
        <f t="shared" si="231"/>
        <v>#REF!</v>
      </c>
      <c r="BJ251" s="12" t="e">
        <f t="shared" si="232"/>
        <v>#REF!</v>
      </c>
      <c r="BK251" s="12"/>
      <c r="BL251" s="12">
        <v>733</v>
      </c>
      <c r="BW251" s="12" t="str">
        <f t="shared" si="233"/>
        <v>21</v>
      </c>
      <c r="BX251" s="3" t="s">
        <v>401</v>
      </c>
    </row>
    <row r="252" spans="1:76">
      <c r="A252" s="1" t="s">
        <v>758</v>
      </c>
      <c r="B252" s="2" t="s">
        <v>714</v>
      </c>
      <c r="C252" s="2" t="s">
        <v>402</v>
      </c>
      <c r="D252" s="349" t="s">
        <v>403</v>
      </c>
      <c r="E252" s="342"/>
      <c r="F252" s="2" t="s">
        <v>63</v>
      </c>
      <c r="G252" s="12" t="e">
        <f>#REF!</f>
        <v>#REF!</v>
      </c>
      <c r="H252" s="12" t="e">
        <f>#REF!</f>
        <v>#REF!</v>
      </c>
      <c r="I252" s="49" t="s">
        <v>554</v>
      </c>
      <c r="J252" s="12" t="e">
        <f t="shared" si="208"/>
        <v>#REF!</v>
      </c>
      <c r="K252" s="12" t="e">
        <f t="shared" si="209"/>
        <v>#REF!</v>
      </c>
      <c r="L252" s="12" t="e">
        <f t="shared" si="210"/>
        <v>#REF!</v>
      </c>
      <c r="M252" s="12" t="e">
        <f t="shared" si="211"/>
        <v>#REF!</v>
      </c>
      <c r="N252" s="12">
        <v>7.6E-3</v>
      </c>
      <c r="O252" s="12" t="e">
        <f t="shared" si="212"/>
        <v>#REF!</v>
      </c>
      <c r="P252" s="50" t="s">
        <v>605</v>
      </c>
      <c r="Z252" s="12">
        <f t="shared" si="213"/>
        <v>0</v>
      </c>
      <c r="AB252" s="12">
        <f t="shared" si="214"/>
        <v>0</v>
      </c>
      <c r="AC252" s="12">
        <f t="shared" si="215"/>
        <v>0</v>
      </c>
      <c r="AD252" s="12" t="e">
        <f t="shared" si="216"/>
        <v>#REF!</v>
      </c>
      <c r="AE252" s="12" t="e">
        <f t="shared" si="217"/>
        <v>#REF!</v>
      </c>
      <c r="AF252" s="12">
        <f t="shared" si="218"/>
        <v>0</v>
      </c>
      <c r="AG252" s="12">
        <f t="shared" si="219"/>
        <v>0</v>
      </c>
      <c r="AH252" s="12">
        <f t="shared" si="220"/>
        <v>0</v>
      </c>
      <c r="AI252" s="10" t="s">
        <v>714</v>
      </c>
      <c r="AJ252" s="12">
        <f t="shared" si="221"/>
        <v>0</v>
      </c>
      <c r="AK252" s="12">
        <f t="shared" si="222"/>
        <v>0</v>
      </c>
      <c r="AL252" s="12" t="e">
        <f t="shared" si="223"/>
        <v>#REF!</v>
      </c>
      <c r="AN252" s="12">
        <v>21</v>
      </c>
      <c r="AO252" s="12" t="e">
        <f>H252*0.583448607</f>
        <v>#REF!</v>
      </c>
      <c r="AP252" s="12" t="e">
        <f>H252*(1-0.583448607)</f>
        <v>#REF!</v>
      </c>
      <c r="AQ252" s="49" t="s">
        <v>567</v>
      </c>
      <c r="AV252" s="12" t="e">
        <f t="shared" si="224"/>
        <v>#REF!</v>
      </c>
      <c r="AW252" s="12" t="e">
        <f t="shared" si="225"/>
        <v>#REF!</v>
      </c>
      <c r="AX252" s="12" t="e">
        <f t="shared" si="226"/>
        <v>#REF!</v>
      </c>
      <c r="AY252" s="49" t="s">
        <v>588</v>
      </c>
      <c r="AZ252" s="49" t="s">
        <v>746</v>
      </c>
      <c r="BA252" s="10" t="s">
        <v>717</v>
      </c>
      <c r="BC252" s="12" t="e">
        <f t="shared" si="227"/>
        <v>#REF!</v>
      </c>
      <c r="BD252" s="12" t="e">
        <f t="shared" si="228"/>
        <v>#REF!</v>
      </c>
      <c r="BE252" s="12">
        <v>0</v>
      </c>
      <c r="BF252" s="12" t="e">
        <f t="shared" si="229"/>
        <v>#REF!</v>
      </c>
      <c r="BH252" s="12" t="e">
        <f t="shared" si="230"/>
        <v>#REF!</v>
      </c>
      <c r="BI252" s="12" t="e">
        <f t="shared" si="231"/>
        <v>#REF!</v>
      </c>
      <c r="BJ252" s="12" t="e">
        <f t="shared" si="232"/>
        <v>#REF!</v>
      </c>
      <c r="BK252" s="12"/>
      <c r="BL252" s="12">
        <v>733</v>
      </c>
      <c r="BW252" s="12" t="str">
        <f t="shared" si="233"/>
        <v>21</v>
      </c>
      <c r="BX252" s="3" t="s">
        <v>403</v>
      </c>
    </row>
    <row r="253" spans="1:76">
      <c r="A253" s="1" t="s">
        <v>759</v>
      </c>
      <c r="B253" s="2" t="s">
        <v>714</v>
      </c>
      <c r="C253" s="2" t="s">
        <v>404</v>
      </c>
      <c r="D253" s="349" t="s">
        <v>405</v>
      </c>
      <c r="E253" s="342"/>
      <c r="F253" s="2" t="s">
        <v>63</v>
      </c>
      <c r="G253" s="12" t="e">
        <f>#REF!</f>
        <v>#REF!</v>
      </c>
      <c r="H253" s="12" t="e">
        <f>#REF!</f>
        <v>#REF!</v>
      </c>
      <c r="I253" s="49" t="s">
        <v>554</v>
      </c>
      <c r="J253" s="12" t="e">
        <f t="shared" si="208"/>
        <v>#REF!</v>
      </c>
      <c r="K253" s="12" t="e">
        <f t="shared" si="209"/>
        <v>#REF!</v>
      </c>
      <c r="L253" s="12" t="e">
        <f t="shared" si="210"/>
        <v>#REF!</v>
      </c>
      <c r="M253" s="12" t="e">
        <f t="shared" si="211"/>
        <v>#REF!</v>
      </c>
      <c r="N253" s="12">
        <v>4.8700000000000002E-3</v>
      </c>
      <c r="O253" s="12" t="e">
        <f t="shared" si="212"/>
        <v>#REF!</v>
      </c>
      <c r="P253" s="50" t="s">
        <v>577</v>
      </c>
      <c r="Z253" s="12">
        <f t="shared" si="213"/>
        <v>0</v>
      </c>
      <c r="AB253" s="12">
        <f t="shared" si="214"/>
        <v>0</v>
      </c>
      <c r="AC253" s="12">
        <f t="shared" si="215"/>
        <v>0</v>
      </c>
      <c r="AD253" s="12" t="e">
        <f t="shared" si="216"/>
        <v>#REF!</v>
      </c>
      <c r="AE253" s="12" t="e">
        <f t="shared" si="217"/>
        <v>#REF!</v>
      </c>
      <c r="AF253" s="12">
        <f t="shared" si="218"/>
        <v>0</v>
      </c>
      <c r="AG253" s="12">
        <f t="shared" si="219"/>
        <v>0</v>
      </c>
      <c r="AH253" s="12">
        <f t="shared" si="220"/>
        <v>0</v>
      </c>
      <c r="AI253" s="10" t="s">
        <v>714</v>
      </c>
      <c r="AJ253" s="12">
        <f t="shared" si="221"/>
        <v>0</v>
      </c>
      <c r="AK253" s="12">
        <f t="shared" si="222"/>
        <v>0</v>
      </c>
      <c r="AL253" s="12" t="e">
        <f t="shared" si="223"/>
        <v>#REF!</v>
      </c>
      <c r="AN253" s="12">
        <v>21</v>
      </c>
      <c r="AO253" s="12" t="e">
        <f>H253*0.106027821</f>
        <v>#REF!</v>
      </c>
      <c r="AP253" s="12" t="e">
        <f>H253*(1-0.106027821)</f>
        <v>#REF!</v>
      </c>
      <c r="AQ253" s="49" t="s">
        <v>567</v>
      </c>
      <c r="AV253" s="12" t="e">
        <f t="shared" si="224"/>
        <v>#REF!</v>
      </c>
      <c r="AW253" s="12" t="e">
        <f t="shared" si="225"/>
        <v>#REF!</v>
      </c>
      <c r="AX253" s="12" t="e">
        <f t="shared" si="226"/>
        <v>#REF!</v>
      </c>
      <c r="AY253" s="49" t="s">
        <v>588</v>
      </c>
      <c r="AZ253" s="49" t="s">
        <v>746</v>
      </c>
      <c r="BA253" s="10" t="s">
        <v>717</v>
      </c>
      <c r="BC253" s="12" t="e">
        <f t="shared" si="227"/>
        <v>#REF!</v>
      </c>
      <c r="BD253" s="12" t="e">
        <f t="shared" si="228"/>
        <v>#REF!</v>
      </c>
      <c r="BE253" s="12">
        <v>0</v>
      </c>
      <c r="BF253" s="12" t="e">
        <f t="shared" si="229"/>
        <v>#REF!</v>
      </c>
      <c r="BH253" s="12" t="e">
        <f t="shared" si="230"/>
        <v>#REF!</v>
      </c>
      <c r="BI253" s="12" t="e">
        <f t="shared" si="231"/>
        <v>#REF!</v>
      </c>
      <c r="BJ253" s="12" t="e">
        <f t="shared" si="232"/>
        <v>#REF!</v>
      </c>
      <c r="BK253" s="12"/>
      <c r="BL253" s="12">
        <v>733</v>
      </c>
      <c r="BW253" s="12" t="str">
        <f t="shared" si="233"/>
        <v>21</v>
      </c>
      <c r="BX253" s="3" t="s">
        <v>405</v>
      </c>
    </row>
    <row r="254" spans="1:76">
      <c r="A254" s="1" t="s">
        <v>760</v>
      </c>
      <c r="B254" s="2" t="s">
        <v>714</v>
      </c>
      <c r="C254" s="2" t="s">
        <v>406</v>
      </c>
      <c r="D254" s="349" t="s">
        <v>407</v>
      </c>
      <c r="E254" s="342"/>
      <c r="F254" s="2" t="s">
        <v>63</v>
      </c>
      <c r="G254" s="12" t="e">
        <f>#REF!</f>
        <v>#REF!</v>
      </c>
      <c r="H254" s="12" t="e">
        <f>#REF!</f>
        <v>#REF!</v>
      </c>
      <c r="I254" s="49" t="s">
        <v>554</v>
      </c>
      <c r="J254" s="12" t="e">
        <f t="shared" si="208"/>
        <v>#REF!</v>
      </c>
      <c r="K254" s="12" t="e">
        <f t="shared" si="209"/>
        <v>#REF!</v>
      </c>
      <c r="L254" s="12" t="e">
        <f t="shared" si="210"/>
        <v>#REF!</v>
      </c>
      <c r="M254" s="12" t="e">
        <f t="shared" si="211"/>
        <v>#REF!</v>
      </c>
      <c r="N254" s="12">
        <v>5.8500000000000002E-3</v>
      </c>
      <c r="O254" s="12" t="e">
        <f t="shared" si="212"/>
        <v>#REF!</v>
      </c>
      <c r="P254" s="50" t="s">
        <v>577</v>
      </c>
      <c r="Z254" s="12">
        <f t="shared" si="213"/>
        <v>0</v>
      </c>
      <c r="AB254" s="12">
        <f t="shared" si="214"/>
        <v>0</v>
      </c>
      <c r="AC254" s="12">
        <f t="shared" si="215"/>
        <v>0</v>
      </c>
      <c r="AD254" s="12" t="e">
        <f t="shared" si="216"/>
        <v>#REF!</v>
      </c>
      <c r="AE254" s="12" t="e">
        <f t="shared" si="217"/>
        <v>#REF!</v>
      </c>
      <c r="AF254" s="12">
        <f t="shared" si="218"/>
        <v>0</v>
      </c>
      <c r="AG254" s="12">
        <f t="shared" si="219"/>
        <v>0</v>
      </c>
      <c r="AH254" s="12">
        <f t="shared" si="220"/>
        <v>0</v>
      </c>
      <c r="AI254" s="10" t="s">
        <v>714</v>
      </c>
      <c r="AJ254" s="12">
        <f t="shared" si="221"/>
        <v>0</v>
      </c>
      <c r="AK254" s="12">
        <f t="shared" si="222"/>
        <v>0</v>
      </c>
      <c r="AL254" s="12" t="e">
        <f t="shared" si="223"/>
        <v>#REF!</v>
      </c>
      <c r="AN254" s="12">
        <v>21</v>
      </c>
      <c r="AO254" s="12" t="e">
        <f>H254*0.087066895</f>
        <v>#REF!</v>
      </c>
      <c r="AP254" s="12" t="e">
        <f>H254*(1-0.087066895)</f>
        <v>#REF!</v>
      </c>
      <c r="AQ254" s="49" t="s">
        <v>567</v>
      </c>
      <c r="AV254" s="12" t="e">
        <f t="shared" si="224"/>
        <v>#REF!</v>
      </c>
      <c r="AW254" s="12" t="e">
        <f t="shared" si="225"/>
        <v>#REF!</v>
      </c>
      <c r="AX254" s="12" t="e">
        <f t="shared" si="226"/>
        <v>#REF!</v>
      </c>
      <c r="AY254" s="49" t="s">
        <v>588</v>
      </c>
      <c r="AZ254" s="49" t="s">
        <v>746</v>
      </c>
      <c r="BA254" s="10" t="s">
        <v>717</v>
      </c>
      <c r="BC254" s="12" t="e">
        <f t="shared" si="227"/>
        <v>#REF!</v>
      </c>
      <c r="BD254" s="12" t="e">
        <f t="shared" si="228"/>
        <v>#REF!</v>
      </c>
      <c r="BE254" s="12">
        <v>0</v>
      </c>
      <c r="BF254" s="12" t="e">
        <f t="shared" si="229"/>
        <v>#REF!</v>
      </c>
      <c r="BH254" s="12" t="e">
        <f t="shared" si="230"/>
        <v>#REF!</v>
      </c>
      <c r="BI254" s="12" t="e">
        <f t="shared" si="231"/>
        <v>#REF!</v>
      </c>
      <c r="BJ254" s="12" t="e">
        <f t="shared" si="232"/>
        <v>#REF!</v>
      </c>
      <c r="BK254" s="12"/>
      <c r="BL254" s="12">
        <v>733</v>
      </c>
      <c r="BW254" s="12" t="str">
        <f t="shared" si="233"/>
        <v>21</v>
      </c>
      <c r="BX254" s="3" t="s">
        <v>407</v>
      </c>
    </row>
    <row r="255" spans="1:76">
      <c r="A255" s="1" t="s">
        <v>761</v>
      </c>
      <c r="B255" s="2" t="s">
        <v>714</v>
      </c>
      <c r="C255" s="2" t="s">
        <v>189</v>
      </c>
      <c r="D255" s="349" t="s">
        <v>190</v>
      </c>
      <c r="E255" s="342"/>
      <c r="F255" s="2" t="s">
        <v>63</v>
      </c>
      <c r="G255" s="12" t="e">
        <f>#REF!</f>
        <v>#REF!</v>
      </c>
      <c r="H255" s="12" t="e">
        <f>#REF!</f>
        <v>#REF!</v>
      </c>
      <c r="I255" s="49" t="s">
        <v>554</v>
      </c>
      <c r="J255" s="12" t="e">
        <f t="shared" si="208"/>
        <v>#REF!</v>
      </c>
      <c r="K255" s="12" t="e">
        <f t="shared" si="209"/>
        <v>#REF!</v>
      </c>
      <c r="L255" s="12" t="e">
        <f t="shared" si="210"/>
        <v>#REF!</v>
      </c>
      <c r="M255" s="12" t="e">
        <f t="shared" si="211"/>
        <v>#REF!</v>
      </c>
      <c r="N255" s="12">
        <v>0</v>
      </c>
      <c r="O255" s="12" t="e">
        <f t="shared" si="212"/>
        <v>#REF!</v>
      </c>
      <c r="P255" s="50" t="s">
        <v>21</v>
      </c>
      <c r="Z255" s="12">
        <f t="shared" si="213"/>
        <v>0</v>
      </c>
      <c r="AB255" s="12">
        <f t="shared" si="214"/>
        <v>0</v>
      </c>
      <c r="AC255" s="12">
        <f t="shared" si="215"/>
        <v>0</v>
      </c>
      <c r="AD255" s="12" t="e">
        <f t="shared" si="216"/>
        <v>#REF!</v>
      </c>
      <c r="AE255" s="12" t="e">
        <f t="shared" si="217"/>
        <v>#REF!</v>
      </c>
      <c r="AF255" s="12">
        <f t="shared" si="218"/>
        <v>0</v>
      </c>
      <c r="AG255" s="12">
        <f t="shared" si="219"/>
        <v>0</v>
      </c>
      <c r="AH255" s="12">
        <f t="shared" si="220"/>
        <v>0</v>
      </c>
      <c r="AI255" s="10" t="s">
        <v>714</v>
      </c>
      <c r="AJ255" s="12">
        <f t="shared" si="221"/>
        <v>0</v>
      </c>
      <c r="AK255" s="12">
        <f t="shared" si="222"/>
        <v>0</v>
      </c>
      <c r="AL255" s="12" t="e">
        <f t="shared" si="223"/>
        <v>#REF!</v>
      </c>
      <c r="AN255" s="12">
        <v>21</v>
      </c>
      <c r="AO255" s="12" t="e">
        <f>H255*0</f>
        <v>#REF!</v>
      </c>
      <c r="AP255" s="12" t="e">
        <f>H255*(1-0)</f>
        <v>#REF!</v>
      </c>
      <c r="AQ255" s="49" t="s">
        <v>567</v>
      </c>
      <c r="AV255" s="12" t="e">
        <f t="shared" si="224"/>
        <v>#REF!</v>
      </c>
      <c r="AW255" s="12" t="e">
        <f t="shared" si="225"/>
        <v>#REF!</v>
      </c>
      <c r="AX255" s="12" t="e">
        <f t="shared" si="226"/>
        <v>#REF!</v>
      </c>
      <c r="AY255" s="49" t="s">
        <v>588</v>
      </c>
      <c r="AZ255" s="49" t="s">
        <v>746</v>
      </c>
      <c r="BA255" s="10" t="s">
        <v>717</v>
      </c>
      <c r="BC255" s="12" t="e">
        <f t="shared" si="227"/>
        <v>#REF!</v>
      </c>
      <c r="BD255" s="12" t="e">
        <f t="shared" si="228"/>
        <v>#REF!</v>
      </c>
      <c r="BE255" s="12">
        <v>0</v>
      </c>
      <c r="BF255" s="12" t="e">
        <f t="shared" si="229"/>
        <v>#REF!</v>
      </c>
      <c r="BH255" s="12" t="e">
        <f t="shared" si="230"/>
        <v>#REF!</v>
      </c>
      <c r="BI255" s="12" t="e">
        <f t="shared" si="231"/>
        <v>#REF!</v>
      </c>
      <c r="BJ255" s="12" t="e">
        <f t="shared" si="232"/>
        <v>#REF!</v>
      </c>
      <c r="BK255" s="12"/>
      <c r="BL255" s="12">
        <v>733</v>
      </c>
      <c r="BW255" s="12" t="str">
        <f t="shared" si="233"/>
        <v>21</v>
      </c>
      <c r="BX255" s="3" t="s">
        <v>190</v>
      </c>
    </row>
    <row r="256" spans="1:76">
      <c r="A256" s="1" t="s">
        <v>762</v>
      </c>
      <c r="B256" s="2" t="s">
        <v>714</v>
      </c>
      <c r="C256" s="2" t="s">
        <v>408</v>
      </c>
      <c r="D256" s="349" t="s">
        <v>409</v>
      </c>
      <c r="E256" s="342"/>
      <c r="F256" s="2" t="s">
        <v>63</v>
      </c>
      <c r="G256" s="12" t="e">
        <f>#REF!</f>
        <v>#REF!</v>
      </c>
      <c r="H256" s="12" t="e">
        <f>#REF!</f>
        <v>#REF!</v>
      </c>
      <c r="I256" s="49" t="s">
        <v>554</v>
      </c>
      <c r="J256" s="12" t="e">
        <f t="shared" si="208"/>
        <v>#REF!</v>
      </c>
      <c r="K256" s="12" t="e">
        <f t="shared" si="209"/>
        <v>#REF!</v>
      </c>
      <c r="L256" s="12" t="e">
        <f t="shared" si="210"/>
        <v>#REF!</v>
      </c>
      <c r="M256" s="12" t="e">
        <f t="shared" si="211"/>
        <v>#REF!</v>
      </c>
      <c r="N256" s="12">
        <v>1.23E-3</v>
      </c>
      <c r="O256" s="12" t="e">
        <f t="shared" si="212"/>
        <v>#REF!</v>
      </c>
      <c r="P256" s="50" t="s">
        <v>577</v>
      </c>
      <c r="Z256" s="12">
        <f t="shared" si="213"/>
        <v>0</v>
      </c>
      <c r="AB256" s="12">
        <f t="shared" si="214"/>
        <v>0</v>
      </c>
      <c r="AC256" s="12">
        <f t="shared" si="215"/>
        <v>0</v>
      </c>
      <c r="AD256" s="12" t="e">
        <f t="shared" si="216"/>
        <v>#REF!</v>
      </c>
      <c r="AE256" s="12" t="e">
        <f t="shared" si="217"/>
        <v>#REF!</v>
      </c>
      <c r="AF256" s="12">
        <f t="shared" si="218"/>
        <v>0</v>
      </c>
      <c r="AG256" s="12">
        <f t="shared" si="219"/>
        <v>0</v>
      </c>
      <c r="AH256" s="12">
        <f t="shared" si="220"/>
        <v>0</v>
      </c>
      <c r="AI256" s="10" t="s">
        <v>714</v>
      </c>
      <c r="AJ256" s="12">
        <f t="shared" si="221"/>
        <v>0</v>
      </c>
      <c r="AK256" s="12">
        <f t="shared" si="222"/>
        <v>0</v>
      </c>
      <c r="AL256" s="12" t="e">
        <f t="shared" si="223"/>
        <v>#REF!</v>
      </c>
      <c r="AN256" s="12">
        <v>21</v>
      </c>
      <c r="AO256" s="12" t="e">
        <f>H256*1</f>
        <v>#REF!</v>
      </c>
      <c r="AP256" s="12" t="e">
        <f>H256*(1-1)</f>
        <v>#REF!</v>
      </c>
      <c r="AQ256" s="49" t="s">
        <v>567</v>
      </c>
      <c r="AV256" s="12" t="e">
        <f t="shared" si="224"/>
        <v>#REF!</v>
      </c>
      <c r="AW256" s="12" t="e">
        <f t="shared" si="225"/>
        <v>#REF!</v>
      </c>
      <c r="AX256" s="12" t="e">
        <f t="shared" si="226"/>
        <v>#REF!</v>
      </c>
      <c r="AY256" s="49" t="s">
        <v>588</v>
      </c>
      <c r="AZ256" s="49" t="s">
        <v>746</v>
      </c>
      <c r="BA256" s="10" t="s">
        <v>717</v>
      </c>
      <c r="BC256" s="12" t="e">
        <f t="shared" si="227"/>
        <v>#REF!</v>
      </c>
      <c r="BD256" s="12" t="e">
        <f t="shared" si="228"/>
        <v>#REF!</v>
      </c>
      <c r="BE256" s="12">
        <v>0</v>
      </c>
      <c r="BF256" s="12" t="e">
        <f t="shared" si="229"/>
        <v>#REF!</v>
      </c>
      <c r="BH256" s="12" t="e">
        <f t="shared" si="230"/>
        <v>#REF!</v>
      </c>
      <c r="BI256" s="12" t="e">
        <f t="shared" si="231"/>
        <v>#REF!</v>
      </c>
      <c r="BJ256" s="12" t="e">
        <f t="shared" si="232"/>
        <v>#REF!</v>
      </c>
      <c r="BK256" s="12"/>
      <c r="BL256" s="12">
        <v>733</v>
      </c>
      <c r="BW256" s="12" t="str">
        <f t="shared" si="233"/>
        <v>21</v>
      </c>
      <c r="BX256" s="3" t="s">
        <v>409</v>
      </c>
    </row>
    <row r="257" spans="1:76">
      <c r="A257" s="1" t="s">
        <v>763</v>
      </c>
      <c r="B257" s="2" t="s">
        <v>714</v>
      </c>
      <c r="C257" s="2" t="s">
        <v>410</v>
      </c>
      <c r="D257" s="349" t="s">
        <v>411</v>
      </c>
      <c r="E257" s="342"/>
      <c r="F257" s="2" t="s">
        <v>63</v>
      </c>
      <c r="G257" s="12" t="e">
        <f>#REF!</f>
        <v>#REF!</v>
      </c>
      <c r="H257" s="12" t="e">
        <f>#REF!</f>
        <v>#REF!</v>
      </c>
      <c r="I257" s="49" t="s">
        <v>554</v>
      </c>
      <c r="J257" s="12" t="e">
        <f t="shared" si="208"/>
        <v>#REF!</v>
      </c>
      <c r="K257" s="12" t="e">
        <f t="shared" si="209"/>
        <v>#REF!</v>
      </c>
      <c r="L257" s="12" t="e">
        <f t="shared" si="210"/>
        <v>#REF!</v>
      </c>
      <c r="M257" s="12" t="e">
        <f t="shared" si="211"/>
        <v>#REF!</v>
      </c>
      <c r="N257" s="12">
        <v>3.1E-4</v>
      </c>
      <c r="O257" s="12" t="e">
        <f t="shared" si="212"/>
        <v>#REF!</v>
      </c>
      <c r="P257" s="50" t="s">
        <v>577</v>
      </c>
      <c r="Z257" s="12">
        <f t="shared" si="213"/>
        <v>0</v>
      </c>
      <c r="AB257" s="12">
        <f t="shared" si="214"/>
        <v>0</v>
      </c>
      <c r="AC257" s="12">
        <f t="shared" si="215"/>
        <v>0</v>
      </c>
      <c r="AD257" s="12" t="e">
        <f t="shared" si="216"/>
        <v>#REF!</v>
      </c>
      <c r="AE257" s="12" t="e">
        <f t="shared" si="217"/>
        <v>#REF!</v>
      </c>
      <c r="AF257" s="12">
        <f t="shared" si="218"/>
        <v>0</v>
      </c>
      <c r="AG257" s="12">
        <f t="shared" si="219"/>
        <v>0</v>
      </c>
      <c r="AH257" s="12">
        <f t="shared" si="220"/>
        <v>0</v>
      </c>
      <c r="AI257" s="10" t="s">
        <v>714</v>
      </c>
      <c r="AJ257" s="12">
        <f t="shared" si="221"/>
        <v>0</v>
      </c>
      <c r="AK257" s="12">
        <f t="shared" si="222"/>
        <v>0</v>
      </c>
      <c r="AL257" s="12" t="e">
        <f t="shared" si="223"/>
        <v>#REF!</v>
      </c>
      <c r="AN257" s="12">
        <v>21</v>
      </c>
      <c r="AO257" s="12" t="e">
        <f>H257*1</f>
        <v>#REF!</v>
      </c>
      <c r="AP257" s="12" t="e">
        <f>H257*(1-1)</f>
        <v>#REF!</v>
      </c>
      <c r="AQ257" s="49" t="s">
        <v>567</v>
      </c>
      <c r="AV257" s="12" t="e">
        <f t="shared" si="224"/>
        <v>#REF!</v>
      </c>
      <c r="AW257" s="12" t="e">
        <f t="shared" si="225"/>
        <v>#REF!</v>
      </c>
      <c r="AX257" s="12" t="e">
        <f t="shared" si="226"/>
        <v>#REF!</v>
      </c>
      <c r="AY257" s="49" t="s">
        <v>588</v>
      </c>
      <c r="AZ257" s="49" t="s">
        <v>746</v>
      </c>
      <c r="BA257" s="10" t="s">
        <v>717</v>
      </c>
      <c r="BC257" s="12" t="e">
        <f t="shared" si="227"/>
        <v>#REF!</v>
      </c>
      <c r="BD257" s="12" t="e">
        <f t="shared" si="228"/>
        <v>#REF!</v>
      </c>
      <c r="BE257" s="12">
        <v>0</v>
      </c>
      <c r="BF257" s="12" t="e">
        <f t="shared" si="229"/>
        <v>#REF!</v>
      </c>
      <c r="BH257" s="12" t="e">
        <f t="shared" si="230"/>
        <v>#REF!</v>
      </c>
      <c r="BI257" s="12" t="e">
        <f t="shared" si="231"/>
        <v>#REF!</v>
      </c>
      <c r="BJ257" s="12" t="e">
        <f t="shared" si="232"/>
        <v>#REF!</v>
      </c>
      <c r="BK257" s="12"/>
      <c r="BL257" s="12">
        <v>733</v>
      </c>
      <c r="BW257" s="12" t="str">
        <f t="shared" si="233"/>
        <v>21</v>
      </c>
      <c r="BX257" s="3" t="s">
        <v>411</v>
      </c>
    </row>
    <row r="258" spans="1:76">
      <c r="A258" s="1" t="s">
        <v>764</v>
      </c>
      <c r="B258" s="2" t="s">
        <v>714</v>
      </c>
      <c r="C258" s="2" t="s">
        <v>412</v>
      </c>
      <c r="D258" s="349" t="s">
        <v>413</v>
      </c>
      <c r="E258" s="342"/>
      <c r="F258" s="2" t="s">
        <v>63</v>
      </c>
      <c r="G258" s="12" t="e">
        <f>#REF!</f>
        <v>#REF!</v>
      </c>
      <c r="H258" s="12" t="e">
        <f>#REF!</f>
        <v>#REF!</v>
      </c>
      <c r="I258" s="49" t="s">
        <v>554</v>
      </c>
      <c r="J258" s="12" t="e">
        <f t="shared" si="208"/>
        <v>#REF!</v>
      </c>
      <c r="K258" s="12" t="e">
        <f t="shared" si="209"/>
        <v>#REF!</v>
      </c>
      <c r="L258" s="12" t="e">
        <f t="shared" si="210"/>
        <v>#REF!</v>
      </c>
      <c r="M258" s="12" t="e">
        <f t="shared" si="211"/>
        <v>#REF!</v>
      </c>
      <c r="N258" s="12">
        <v>3.0000000000000001E-5</v>
      </c>
      <c r="O258" s="12" t="e">
        <f t="shared" si="212"/>
        <v>#REF!</v>
      </c>
      <c r="P258" s="50" t="s">
        <v>577</v>
      </c>
      <c r="Z258" s="12">
        <f t="shared" si="213"/>
        <v>0</v>
      </c>
      <c r="AB258" s="12">
        <f t="shared" si="214"/>
        <v>0</v>
      </c>
      <c r="AC258" s="12">
        <f t="shared" si="215"/>
        <v>0</v>
      </c>
      <c r="AD258" s="12" t="e">
        <f t="shared" si="216"/>
        <v>#REF!</v>
      </c>
      <c r="AE258" s="12" t="e">
        <f t="shared" si="217"/>
        <v>#REF!</v>
      </c>
      <c r="AF258" s="12">
        <f t="shared" si="218"/>
        <v>0</v>
      </c>
      <c r="AG258" s="12">
        <f t="shared" si="219"/>
        <v>0</v>
      </c>
      <c r="AH258" s="12">
        <f t="shared" si="220"/>
        <v>0</v>
      </c>
      <c r="AI258" s="10" t="s">
        <v>714</v>
      </c>
      <c r="AJ258" s="12">
        <f t="shared" si="221"/>
        <v>0</v>
      </c>
      <c r="AK258" s="12">
        <f t="shared" si="222"/>
        <v>0</v>
      </c>
      <c r="AL258" s="12" t="e">
        <f t="shared" si="223"/>
        <v>#REF!</v>
      </c>
      <c r="AN258" s="12">
        <v>21</v>
      </c>
      <c r="AO258" s="12" t="e">
        <f>H258*1</f>
        <v>#REF!</v>
      </c>
      <c r="AP258" s="12" t="e">
        <f>H258*(1-1)</f>
        <v>#REF!</v>
      </c>
      <c r="AQ258" s="49" t="s">
        <v>567</v>
      </c>
      <c r="AV258" s="12" t="e">
        <f t="shared" si="224"/>
        <v>#REF!</v>
      </c>
      <c r="AW258" s="12" t="e">
        <f t="shared" si="225"/>
        <v>#REF!</v>
      </c>
      <c r="AX258" s="12" t="e">
        <f t="shared" si="226"/>
        <v>#REF!</v>
      </c>
      <c r="AY258" s="49" t="s">
        <v>588</v>
      </c>
      <c r="AZ258" s="49" t="s">
        <v>746</v>
      </c>
      <c r="BA258" s="10" t="s">
        <v>717</v>
      </c>
      <c r="BC258" s="12" t="e">
        <f t="shared" si="227"/>
        <v>#REF!</v>
      </c>
      <c r="BD258" s="12" t="e">
        <f t="shared" si="228"/>
        <v>#REF!</v>
      </c>
      <c r="BE258" s="12">
        <v>0</v>
      </c>
      <c r="BF258" s="12" t="e">
        <f t="shared" si="229"/>
        <v>#REF!</v>
      </c>
      <c r="BH258" s="12" t="e">
        <f t="shared" si="230"/>
        <v>#REF!</v>
      </c>
      <c r="BI258" s="12" t="e">
        <f t="shared" si="231"/>
        <v>#REF!</v>
      </c>
      <c r="BJ258" s="12" t="e">
        <f t="shared" si="232"/>
        <v>#REF!</v>
      </c>
      <c r="BK258" s="12"/>
      <c r="BL258" s="12">
        <v>733</v>
      </c>
      <c r="BW258" s="12" t="str">
        <f t="shared" si="233"/>
        <v>21</v>
      </c>
      <c r="BX258" s="3" t="s">
        <v>413</v>
      </c>
    </row>
    <row r="259" spans="1:76">
      <c r="A259" s="46" t="s">
        <v>21</v>
      </c>
      <c r="B259" s="9" t="s">
        <v>714</v>
      </c>
      <c r="C259" s="9" t="s">
        <v>95</v>
      </c>
      <c r="D259" s="359" t="s">
        <v>96</v>
      </c>
      <c r="E259" s="360"/>
      <c r="F259" s="47" t="s">
        <v>20</v>
      </c>
      <c r="G259" s="47" t="s">
        <v>20</v>
      </c>
      <c r="H259" s="47" t="s">
        <v>20</v>
      </c>
      <c r="I259" s="47" t="s">
        <v>20</v>
      </c>
      <c r="J259" s="11" t="e">
        <f>SUM(J260:J274)</f>
        <v>#REF!</v>
      </c>
      <c r="K259" s="11" t="e">
        <f>SUM(K260:K274)</f>
        <v>#REF!</v>
      </c>
      <c r="L259" s="11" t="e">
        <f>SUM(L260:L274)</f>
        <v>#REF!</v>
      </c>
      <c r="M259" s="11" t="e">
        <f>SUM(M260:M274)</f>
        <v>#REF!</v>
      </c>
      <c r="N259" s="10" t="s">
        <v>21</v>
      </c>
      <c r="O259" s="11" t="e">
        <f>SUM(O260:O274)</f>
        <v>#REF!</v>
      </c>
      <c r="P259" s="48" t="s">
        <v>21</v>
      </c>
      <c r="AI259" s="10" t="s">
        <v>714</v>
      </c>
      <c r="AS259" s="11">
        <f>SUM(AJ260:AJ274)</f>
        <v>0</v>
      </c>
      <c r="AT259" s="11">
        <f>SUM(AK260:AK274)</f>
        <v>0</v>
      </c>
      <c r="AU259" s="11" t="e">
        <f>SUM(AL260:AL274)</f>
        <v>#REF!</v>
      </c>
    </row>
    <row r="260" spans="1:76">
      <c r="A260" s="1" t="s">
        <v>765</v>
      </c>
      <c r="B260" s="2" t="s">
        <v>714</v>
      </c>
      <c r="C260" s="2" t="s">
        <v>99</v>
      </c>
      <c r="D260" s="349" t="s">
        <v>100</v>
      </c>
      <c r="E260" s="342"/>
      <c r="F260" s="2" t="s">
        <v>68</v>
      </c>
      <c r="G260" s="12" t="e">
        <f>#REF!</f>
        <v>#REF!</v>
      </c>
      <c r="H260" s="12" t="e">
        <f>#REF!</f>
        <v>#REF!</v>
      </c>
      <c r="I260" s="49" t="s">
        <v>554</v>
      </c>
      <c r="J260" s="12" t="e">
        <f t="shared" ref="J260:J274" si="234">G260*AO260</f>
        <v>#REF!</v>
      </c>
      <c r="K260" s="12" t="e">
        <f t="shared" ref="K260:K274" si="235">G260*AP260</f>
        <v>#REF!</v>
      </c>
      <c r="L260" s="12" t="e">
        <f t="shared" ref="L260:L274" si="236">G260*H260</f>
        <v>#REF!</v>
      </c>
      <c r="M260" s="12" t="e">
        <f t="shared" ref="M260:M274" si="237">L260*(1+BW260/100)</f>
        <v>#REF!</v>
      </c>
      <c r="N260" s="12">
        <v>3.7100000000000002E-3</v>
      </c>
      <c r="O260" s="12" t="e">
        <f t="shared" ref="O260:O274" si="238">G260*N260</f>
        <v>#REF!</v>
      </c>
      <c r="P260" s="50" t="s">
        <v>577</v>
      </c>
      <c r="Z260" s="12">
        <f t="shared" ref="Z260:Z274" si="239">IF(AQ260="5",BJ260,0)</f>
        <v>0</v>
      </c>
      <c r="AB260" s="12">
        <f t="shared" ref="AB260:AB274" si="240">IF(AQ260="1",BH260,0)</f>
        <v>0</v>
      </c>
      <c r="AC260" s="12">
        <f t="shared" ref="AC260:AC274" si="241">IF(AQ260="1",BI260,0)</f>
        <v>0</v>
      </c>
      <c r="AD260" s="12" t="e">
        <f t="shared" ref="AD260:AD274" si="242">IF(AQ260="7",BH260,0)</f>
        <v>#REF!</v>
      </c>
      <c r="AE260" s="12" t="e">
        <f t="shared" ref="AE260:AE274" si="243">IF(AQ260="7",BI260,0)</f>
        <v>#REF!</v>
      </c>
      <c r="AF260" s="12">
        <f t="shared" ref="AF260:AF274" si="244">IF(AQ260="2",BH260,0)</f>
        <v>0</v>
      </c>
      <c r="AG260" s="12">
        <f t="shared" ref="AG260:AG274" si="245">IF(AQ260="2",BI260,0)</f>
        <v>0</v>
      </c>
      <c r="AH260" s="12">
        <f t="shared" ref="AH260:AH274" si="246">IF(AQ260="0",BJ260,0)</f>
        <v>0</v>
      </c>
      <c r="AI260" s="10" t="s">
        <v>714</v>
      </c>
      <c r="AJ260" s="12">
        <f t="shared" ref="AJ260:AJ274" si="247">IF(AN260=0,L260,0)</f>
        <v>0</v>
      </c>
      <c r="AK260" s="12">
        <f t="shared" ref="AK260:AK274" si="248">IF(AN260=12,L260,0)</f>
        <v>0</v>
      </c>
      <c r="AL260" s="12" t="e">
        <f t="shared" ref="AL260:AL274" si="249">IF(AN260=21,L260,0)</f>
        <v>#REF!</v>
      </c>
      <c r="AN260" s="12">
        <v>21</v>
      </c>
      <c r="AO260" s="12" t="e">
        <f>H260*0.265479277</f>
        <v>#REF!</v>
      </c>
      <c r="AP260" s="12" t="e">
        <f>H260*(1-0.265479277)</f>
        <v>#REF!</v>
      </c>
      <c r="AQ260" s="49" t="s">
        <v>567</v>
      </c>
      <c r="AV260" s="12" t="e">
        <f t="shared" ref="AV260:AV274" si="250">AW260+AX260</f>
        <v>#REF!</v>
      </c>
      <c r="AW260" s="12" t="e">
        <f t="shared" ref="AW260:AW274" si="251">G260*AO260</f>
        <v>#REF!</v>
      </c>
      <c r="AX260" s="12" t="e">
        <f t="shared" ref="AX260:AX274" si="252">G260*AP260</f>
        <v>#REF!</v>
      </c>
      <c r="AY260" s="49" t="s">
        <v>593</v>
      </c>
      <c r="AZ260" s="49" t="s">
        <v>746</v>
      </c>
      <c r="BA260" s="10" t="s">
        <v>717</v>
      </c>
      <c r="BC260" s="12" t="e">
        <f t="shared" ref="BC260:BC274" si="253">AW260+AX260</f>
        <v>#REF!</v>
      </c>
      <c r="BD260" s="12" t="e">
        <f t="shared" ref="BD260:BD274" si="254">H260/(100-BE260)*100</f>
        <v>#REF!</v>
      </c>
      <c r="BE260" s="12">
        <v>0</v>
      </c>
      <c r="BF260" s="12" t="e">
        <f t="shared" ref="BF260:BF274" si="255">O260</f>
        <v>#REF!</v>
      </c>
      <c r="BH260" s="12" t="e">
        <f t="shared" ref="BH260:BH274" si="256">G260*AO260</f>
        <v>#REF!</v>
      </c>
      <c r="BI260" s="12" t="e">
        <f t="shared" ref="BI260:BI274" si="257">G260*AP260</f>
        <v>#REF!</v>
      </c>
      <c r="BJ260" s="12" t="e">
        <f t="shared" ref="BJ260:BJ274" si="258">G260*H260</f>
        <v>#REF!</v>
      </c>
      <c r="BK260" s="12"/>
      <c r="BL260" s="12">
        <v>734</v>
      </c>
      <c r="BW260" s="12" t="str">
        <f t="shared" ref="BW260:BW274" si="259">I260</f>
        <v>21</v>
      </c>
      <c r="BX260" s="3" t="s">
        <v>100</v>
      </c>
    </row>
    <row r="261" spans="1:76">
      <c r="A261" s="1" t="s">
        <v>766</v>
      </c>
      <c r="B261" s="2" t="s">
        <v>714</v>
      </c>
      <c r="C261" s="2" t="s">
        <v>97</v>
      </c>
      <c r="D261" s="349" t="s">
        <v>98</v>
      </c>
      <c r="E261" s="342"/>
      <c r="F261" s="2" t="s">
        <v>68</v>
      </c>
      <c r="G261" s="12" t="e">
        <f>#REF!</f>
        <v>#REF!</v>
      </c>
      <c r="H261" s="12" t="e">
        <f>#REF!</f>
        <v>#REF!</v>
      </c>
      <c r="I261" s="49" t="s">
        <v>554</v>
      </c>
      <c r="J261" s="12" t="e">
        <f t="shared" si="234"/>
        <v>#REF!</v>
      </c>
      <c r="K261" s="12" t="e">
        <f t="shared" si="235"/>
        <v>#REF!</v>
      </c>
      <c r="L261" s="12" t="e">
        <f t="shared" si="236"/>
        <v>#REF!</v>
      </c>
      <c r="M261" s="12" t="e">
        <f t="shared" si="237"/>
        <v>#REF!</v>
      </c>
      <c r="N261" s="12">
        <v>3.9019999999999999E-2</v>
      </c>
      <c r="O261" s="12" t="e">
        <f t="shared" si="238"/>
        <v>#REF!</v>
      </c>
      <c r="P261" s="50" t="s">
        <v>577</v>
      </c>
      <c r="Z261" s="12">
        <f t="shared" si="239"/>
        <v>0</v>
      </c>
      <c r="AB261" s="12">
        <f t="shared" si="240"/>
        <v>0</v>
      </c>
      <c r="AC261" s="12">
        <f t="shared" si="241"/>
        <v>0</v>
      </c>
      <c r="AD261" s="12" t="e">
        <f t="shared" si="242"/>
        <v>#REF!</v>
      </c>
      <c r="AE261" s="12" t="e">
        <f t="shared" si="243"/>
        <v>#REF!</v>
      </c>
      <c r="AF261" s="12">
        <f t="shared" si="244"/>
        <v>0</v>
      </c>
      <c r="AG261" s="12">
        <f t="shared" si="245"/>
        <v>0</v>
      </c>
      <c r="AH261" s="12">
        <f t="shared" si="246"/>
        <v>0</v>
      </c>
      <c r="AI261" s="10" t="s">
        <v>714</v>
      </c>
      <c r="AJ261" s="12">
        <f t="shared" si="247"/>
        <v>0</v>
      </c>
      <c r="AK261" s="12">
        <f t="shared" si="248"/>
        <v>0</v>
      </c>
      <c r="AL261" s="12" t="e">
        <f t="shared" si="249"/>
        <v>#REF!</v>
      </c>
      <c r="AN261" s="12">
        <v>21</v>
      </c>
      <c r="AO261" s="12" t="e">
        <f>H261*0.004836759</f>
        <v>#REF!</v>
      </c>
      <c r="AP261" s="12" t="e">
        <f>H261*(1-0.004836759)</f>
        <v>#REF!</v>
      </c>
      <c r="AQ261" s="49" t="s">
        <v>567</v>
      </c>
      <c r="AV261" s="12" t="e">
        <f t="shared" si="250"/>
        <v>#REF!</v>
      </c>
      <c r="AW261" s="12" t="e">
        <f t="shared" si="251"/>
        <v>#REF!</v>
      </c>
      <c r="AX261" s="12" t="e">
        <f t="shared" si="252"/>
        <v>#REF!</v>
      </c>
      <c r="AY261" s="49" t="s">
        <v>593</v>
      </c>
      <c r="AZ261" s="49" t="s">
        <v>746</v>
      </c>
      <c r="BA261" s="10" t="s">
        <v>717</v>
      </c>
      <c r="BC261" s="12" t="e">
        <f t="shared" si="253"/>
        <v>#REF!</v>
      </c>
      <c r="BD261" s="12" t="e">
        <f t="shared" si="254"/>
        <v>#REF!</v>
      </c>
      <c r="BE261" s="12">
        <v>0</v>
      </c>
      <c r="BF261" s="12" t="e">
        <f t="shared" si="255"/>
        <v>#REF!</v>
      </c>
      <c r="BH261" s="12" t="e">
        <f t="shared" si="256"/>
        <v>#REF!</v>
      </c>
      <c r="BI261" s="12" t="e">
        <f t="shared" si="257"/>
        <v>#REF!</v>
      </c>
      <c r="BJ261" s="12" t="e">
        <f t="shared" si="258"/>
        <v>#REF!</v>
      </c>
      <c r="BK261" s="12"/>
      <c r="BL261" s="12">
        <v>734</v>
      </c>
      <c r="BW261" s="12" t="str">
        <f t="shared" si="259"/>
        <v>21</v>
      </c>
      <c r="BX261" s="3" t="s">
        <v>98</v>
      </c>
    </row>
    <row r="262" spans="1:76">
      <c r="A262" s="1" t="s">
        <v>767</v>
      </c>
      <c r="B262" s="2" t="s">
        <v>714</v>
      </c>
      <c r="C262" s="2" t="s">
        <v>414</v>
      </c>
      <c r="D262" s="349" t="s">
        <v>415</v>
      </c>
      <c r="E262" s="342"/>
      <c r="F262" s="2" t="s">
        <v>68</v>
      </c>
      <c r="G262" s="12" t="e">
        <f>#REF!</f>
        <v>#REF!</v>
      </c>
      <c r="H262" s="12" t="e">
        <f>#REF!</f>
        <v>#REF!</v>
      </c>
      <c r="I262" s="49" t="s">
        <v>554</v>
      </c>
      <c r="J262" s="12" t="e">
        <f t="shared" si="234"/>
        <v>#REF!</v>
      </c>
      <c r="K262" s="12" t="e">
        <f t="shared" si="235"/>
        <v>#REF!</v>
      </c>
      <c r="L262" s="12" t="e">
        <f t="shared" si="236"/>
        <v>#REF!</v>
      </c>
      <c r="M262" s="12" t="e">
        <f t="shared" si="237"/>
        <v>#REF!</v>
      </c>
      <c r="N262" s="12">
        <v>1.6240000000000001E-2</v>
      </c>
      <c r="O262" s="12" t="e">
        <f t="shared" si="238"/>
        <v>#REF!</v>
      </c>
      <c r="P262" s="50" t="s">
        <v>577</v>
      </c>
      <c r="Z262" s="12">
        <f t="shared" si="239"/>
        <v>0</v>
      </c>
      <c r="AB262" s="12">
        <f t="shared" si="240"/>
        <v>0</v>
      </c>
      <c r="AC262" s="12">
        <f t="shared" si="241"/>
        <v>0</v>
      </c>
      <c r="AD262" s="12" t="e">
        <f t="shared" si="242"/>
        <v>#REF!</v>
      </c>
      <c r="AE262" s="12" t="e">
        <f t="shared" si="243"/>
        <v>#REF!</v>
      </c>
      <c r="AF262" s="12">
        <f t="shared" si="244"/>
        <v>0</v>
      </c>
      <c r="AG262" s="12">
        <f t="shared" si="245"/>
        <v>0</v>
      </c>
      <c r="AH262" s="12">
        <f t="shared" si="246"/>
        <v>0</v>
      </c>
      <c r="AI262" s="10" t="s">
        <v>714</v>
      </c>
      <c r="AJ262" s="12">
        <f t="shared" si="247"/>
        <v>0</v>
      </c>
      <c r="AK262" s="12">
        <f t="shared" si="248"/>
        <v>0</v>
      </c>
      <c r="AL262" s="12" t="e">
        <f t="shared" si="249"/>
        <v>#REF!</v>
      </c>
      <c r="AN262" s="12">
        <v>21</v>
      </c>
      <c r="AO262" s="12" t="e">
        <f>H262*0.917229599</f>
        <v>#REF!</v>
      </c>
      <c r="AP262" s="12" t="e">
        <f>H262*(1-0.917229599)</f>
        <v>#REF!</v>
      </c>
      <c r="AQ262" s="49" t="s">
        <v>567</v>
      </c>
      <c r="AV262" s="12" t="e">
        <f t="shared" si="250"/>
        <v>#REF!</v>
      </c>
      <c r="AW262" s="12" t="e">
        <f t="shared" si="251"/>
        <v>#REF!</v>
      </c>
      <c r="AX262" s="12" t="e">
        <f t="shared" si="252"/>
        <v>#REF!</v>
      </c>
      <c r="AY262" s="49" t="s">
        <v>593</v>
      </c>
      <c r="AZ262" s="49" t="s">
        <v>746</v>
      </c>
      <c r="BA262" s="10" t="s">
        <v>717</v>
      </c>
      <c r="BC262" s="12" t="e">
        <f t="shared" si="253"/>
        <v>#REF!</v>
      </c>
      <c r="BD262" s="12" t="e">
        <f t="shared" si="254"/>
        <v>#REF!</v>
      </c>
      <c r="BE262" s="12">
        <v>0</v>
      </c>
      <c r="BF262" s="12" t="e">
        <f t="shared" si="255"/>
        <v>#REF!</v>
      </c>
      <c r="BH262" s="12" t="e">
        <f t="shared" si="256"/>
        <v>#REF!</v>
      </c>
      <c r="BI262" s="12" t="e">
        <f t="shared" si="257"/>
        <v>#REF!</v>
      </c>
      <c r="BJ262" s="12" t="e">
        <f t="shared" si="258"/>
        <v>#REF!</v>
      </c>
      <c r="BK262" s="12"/>
      <c r="BL262" s="12">
        <v>734</v>
      </c>
      <c r="BW262" s="12" t="str">
        <f t="shared" si="259"/>
        <v>21</v>
      </c>
      <c r="BX262" s="3" t="s">
        <v>415</v>
      </c>
    </row>
    <row r="263" spans="1:76">
      <c r="A263" s="1" t="s">
        <v>768</v>
      </c>
      <c r="B263" s="2" t="s">
        <v>714</v>
      </c>
      <c r="C263" s="2" t="s">
        <v>416</v>
      </c>
      <c r="D263" s="349" t="s">
        <v>417</v>
      </c>
      <c r="E263" s="342"/>
      <c r="F263" s="2" t="s">
        <v>68</v>
      </c>
      <c r="G263" s="12" t="e">
        <f>#REF!</f>
        <v>#REF!</v>
      </c>
      <c r="H263" s="12" t="e">
        <f>#REF!</f>
        <v>#REF!</v>
      </c>
      <c r="I263" s="49" t="s">
        <v>554</v>
      </c>
      <c r="J263" s="12" t="e">
        <f t="shared" si="234"/>
        <v>#REF!</v>
      </c>
      <c r="K263" s="12" t="e">
        <f t="shared" si="235"/>
        <v>#REF!</v>
      </c>
      <c r="L263" s="12" t="e">
        <f t="shared" si="236"/>
        <v>#REF!</v>
      </c>
      <c r="M263" s="12" t="e">
        <f t="shared" si="237"/>
        <v>#REF!</v>
      </c>
      <c r="N263" s="12">
        <v>7.2999999999999996E-4</v>
      </c>
      <c r="O263" s="12" t="e">
        <f t="shared" si="238"/>
        <v>#REF!</v>
      </c>
      <c r="P263" s="50" t="s">
        <v>577</v>
      </c>
      <c r="Z263" s="12">
        <f t="shared" si="239"/>
        <v>0</v>
      </c>
      <c r="AB263" s="12">
        <f t="shared" si="240"/>
        <v>0</v>
      </c>
      <c r="AC263" s="12">
        <f t="shared" si="241"/>
        <v>0</v>
      </c>
      <c r="AD263" s="12" t="e">
        <f t="shared" si="242"/>
        <v>#REF!</v>
      </c>
      <c r="AE263" s="12" t="e">
        <f t="shared" si="243"/>
        <v>#REF!</v>
      </c>
      <c r="AF263" s="12">
        <f t="shared" si="244"/>
        <v>0</v>
      </c>
      <c r="AG263" s="12">
        <f t="shared" si="245"/>
        <v>0</v>
      </c>
      <c r="AH263" s="12">
        <f t="shared" si="246"/>
        <v>0</v>
      </c>
      <c r="AI263" s="10" t="s">
        <v>714</v>
      </c>
      <c r="AJ263" s="12">
        <f t="shared" si="247"/>
        <v>0</v>
      </c>
      <c r="AK263" s="12">
        <f t="shared" si="248"/>
        <v>0</v>
      </c>
      <c r="AL263" s="12" t="e">
        <f t="shared" si="249"/>
        <v>#REF!</v>
      </c>
      <c r="AN263" s="12">
        <v>21</v>
      </c>
      <c r="AO263" s="12" t="e">
        <f>H263*0.690255754</f>
        <v>#REF!</v>
      </c>
      <c r="AP263" s="12" t="e">
        <f>H263*(1-0.690255754)</f>
        <v>#REF!</v>
      </c>
      <c r="AQ263" s="49" t="s">
        <v>567</v>
      </c>
      <c r="AV263" s="12" t="e">
        <f t="shared" si="250"/>
        <v>#REF!</v>
      </c>
      <c r="AW263" s="12" t="e">
        <f t="shared" si="251"/>
        <v>#REF!</v>
      </c>
      <c r="AX263" s="12" t="e">
        <f t="shared" si="252"/>
        <v>#REF!</v>
      </c>
      <c r="AY263" s="49" t="s">
        <v>593</v>
      </c>
      <c r="AZ263" s="49" t="s">
        <v>746</v>
      </c>
      <c r="BA263" s="10" t="s">
        <v>717</v>
      </c>
      <c r="BC263" s="12" t="e">
        <f t="shared" si="253"/>
        <v>#REF!</v>
      </c>
      <c r="BD263" s="12" t="e">
        <f t="shared" si="254"/>
        <v>#REF!</v>
      </c>
      <c r="BE263" s="12">
        <v>0</v>
      </c>
      <c r="BF263" s="12" t="e">
        <f t="shared" si="255"/>
        <v>#REF!</v>
      </c>
      <c r="BH263" s="12" t="e">
        <f t="shared" si="256"/>
        <v>#REF!</v>
      </c>
      <c r="BI263" s="12" t="e">
        <f t="shared" si="257"/>
        <v>#REF!</v>
      </c>
      <c r="BJ263" s="12" t="e">
        <f t="shared" si="258"/>
        <v>#REF!</v>
      </c>
      <c r="BK263" s="12"/>
      <c r="BL263" s="12">
        <v>734</v>
      </c>
      <c r="BW263" s="12" t="str">
        <f t="shared" si="259"/>
        <v>21</v>
      </c>
      <c r="BX263" s="3" t="s">
        <v>417</v>
      </c>
    </row>
    <row r="264" spans="1:76">
      <c r="A264" s="1" t="s">
        <v>769</v>
      </c>
      <c r="B264" s="2" t="s">
        <v>714</v>
      </c>
      <c r="C264" s="2" t="s">
        <v>418</v>
      </c>
      <c r="D264" s="349" t="s">
        <v>419</v>
      </c>
      <c r="E264" s="342"/>
      <c r="F264" s="2" t="s">
        <v>68</v>
      </c>
      <c r="G264" s="12" t="e">
        <f>#REF!</f>
        <v>#REF!</v>
      </c>
      <c r="H264" s="12" t="e">
        <f>#REF!</f>
        <v>#REF!</v>
      </c>
      <c r="I264" s="49" t="s">
        <v>554</v>
      </c>
      <c r="J264" s="12" t="e">
        <f t="shared" si="234"/>
        <v>#REF!</v>
      </c>
      <c r="K264" s="12" t="e">
        <f t="shared" si="235"/>
        <v>#REF!</v>
      </c>
      <c r="L264" s="12" t="e">
        <f t="shared" si="236"/>
        <v>#REF!</v>
      </c>
      <c r="M264" s="12" t="e">
        <f t="shared" si="237"/>
        <v>#REF!</v>
      </c>
      <c r="N264" s="12">
        <v>2.5699999999999998E-3</v>
      </c>
      <c r="O264" s="12" t="e">
        <f t="shared" si="238"/>
        <v>#REF!</v>
      </c>
      <c r="P264" s="50" t="s">
        <v>605</v>
      </c>
      <c r="Z264" s="12">
        <f t="shared" si="239"/>
        <v>0</v>
      </c>
      <c r="AB264" s="12">
        <f t="shared" si="240"/>
        <v>0</v>
      </c>
      <c r="AC264" s="12">
        <f t="shared" si="241"/>
        <v>0</v>
      </c>
      <c r="AD264" s="12" t="e">
        <f t="shared" si="242"/>
        <v>#REF!</v>
      </c>
      <c r="AE264" s="12" t="e">
        <f t="shared" si="243"/>
        <v>#REF!</v>
      </c>
      <c r="AF264" s="12">
        <f t="shared" si="244"/>
        <v>0</v>
      </c>
      <c r="AG264" s="12">
        <f t="shared" si="245"/>
        <v>0</v>
      </c>
      <c r="AH264" s="12">
        <f t="shared" si="246"/>
        <v>0</v>
      </c>
      <c r="AI264" s="10" t="s">
        <v>714</v>
      </c>
      <c r="AJ264" s="12">
        <f t="shared" si="247"/>
        <v>0</v>
      </c>
      <c r="AK264" s="12">
        <f t="shared" si="248"/>
        <v>0</v>
      </c>
      <c r="AL264" s="12" t="e">
        <f t="shared" si="249"/>
        <v>#REF!</v>
      </c>
      <c r="AN264" s="12">
        <v>21</v>
      </c>
      <c r="AO264" s="12" t="e">
        <f>H264*0.893467249</f>
        <v>#REF!</v>
      </c>
      <c r="AP264" s="12" t="e">
        <f>H264*(1-0.893467249)</f>
        <v>#REF!</v>
      </c>
      <c r="AQ264" s="49" t="s">
        <v>567</v>
      </c>
      <c r="AV264" s="12" t="e">
        <f t="shared" si="250"/>
        <v>#REF!</v>
      </c>
      <c r="AW264" s="12" t="e">
        <f t="shared" si="251"/>
        <v>#REF!</v>
      </c>
      <c r="AX264" s="12" t="e">
        <f t="shared" si="252"/>
        <v>#REF!</v>
      </c>
      <c r="AY264" s="49" t="s">
        <v>593</v>
      </c>
      <c r="AZ264" s="49" t="s">
        <v>746</v>
      </c>
      <c r="BA264" s="10" t="s">
        <v>717</v>
      </c>
      <c r="BC264" s="12" t="e">
        <f t="shared" si="253"/>
        <v>#REF!</v>
      </c>
      <c r="BD264" s="12" t="e">
        <f t="shared" si="254"/>
        <v>#REF!</v>
      </c>
      <c r="BE264" s="12">
        <v>0</v>
      </c>
      <c r="BF264" s="12" t="e">
        <f t="shared" si="255"/>
        <v>#REF!</v>
      </c>
      <c r="BH264" s="12" t="e">
        <f t="shared" si="256"/>
        <v>#REF!</v>
      </c>
      <c r="BI264" s="12" t="e">
        <f t="shared" si="257"/>
        <v>#REF!</v>
      </c>
      <c r="BJ264" s="12" t="e">
        <f t="shared" si="258"/>
        <v>#REF!</v>
      </c>
      <c r="BK264" s="12"/>
      <c r="BL264" s="12">
        <v>734</v>
      </c>
      <c r="BW264" s="12" t="str">
        <f t="shared" si="259"/>
        <v>21</v>
      </c>
      <c r="BX264" s="3" t="s">
        <v>419</v>
      </c>
    </row>
    <row r="265" spans="1:76">
      <c r="A265" s="1" t="s">
        <v>770</v>
      </c>
      <c r="B265" s="2" t="s">
        <v>714</v>
      </c>
      <c r="C265" s="2" t="s">
        <v>420</v>
      </c>
      <c r="D265" s="349" t="s">
        <v>421</v>
      </c>
      <c r="E265" s="342"/>
      <c r="F265" s="2" t="s">
        <v>68</v>
      </c>
      <c r="G265" s="12" t="e">
        <f>#REF!</f>
        <v>#REF!</v>
      </c>
      <c r="H265" s="12" t="e">
        <f>#REF!</f>
        <v>#REF!</v>
      </c>
      <c r="I265" s="49" t="s">
        <v>554</v>
      </c>
      <c r="J265" s="12" t="e">
        <f t="shared" si="234"/>
        <v>#REF!</v>
      </c>
      <c r="K265" s="12" t="e">
        <f t="shared" si="235"/>
        <v>#REF!</v>
      </c>
      <c r="L265" s="12" t="e">
        <f t="shared" si="236"/>
        <v>#REF!</v>
      </c>
      <c r="M265" s="12" t="e">
        <f t="shared" si="237"/>
        <v>#REF!</v>
      </c>
      <c r="N265" s="12">
        <v>1.6240000000000001E-2</v>
      </c>
      <c r="O265" s="12" t="e">
        <f t="shared" si="238"/>
        <v>#REF!</v>
      </c>
      <c r="P265" s="50" t="s">
        <v>577</v>
      </c>
      <c r="Z265" s="12">
        <f t="shared" si="239"/>
        <v>0</v>
      </c>
      <c r="AB265" s="12">
        <f t="shared" si="240"/>
        <v>0</v>
      </c>
      <c r="AC265" s="12">
        <f t="shared" si="241"/>
        <v>0</v>
      </c>
      <c r="AD265" s="12" t="e">
        <f t="shared" si="242"/>
        <v>#REF!</v>
      </c>
      <c r="AE265" s="12" t="e">
        <f t="shared" si="243"/>
        <v>#REF!</v>
      </c>
      <c r="AF265" s="12">
        <f t="shared" si="244"/>
        <v>0</v>
      </c>
      <c r="AG265" s="12">
        <f t="shared" si="245"/>
        <v>0</v>
      </c>
      <c r="AH265" s="12">
        <f t="shared" si="246"/>
        <v>0</v>
      </c>
      <c r="AI265" s="10" t="s">
        <v>714</v>
      </c>
      <c r="AJ265" s="12">
        <f t="shared" si="247"/>
        <v>0</v>
      </c>
      <c r="AK265" s="12">
        <f t="shared" si="248"/>
        <v>0</v>
      </c>
      <c r="AL265" s="12" t="e">
        <f t="shared" si="249"/>
        <v>#REF!</v>
      </c>
      <c r="AN265" s="12">
        <v>21</v>
      </c>
      <c r="AO265" s="12" t="e">
        <f>H265*0.93908603</f>
        <v>#REF!</v>
      </c>
      <c r="AP265" s="12" t="e">
        <f>H265*(1-0.93908603)</f>
        <v>#REF!</v>
      </c>
      <c r="AQ265" s="49" t="s">
        <v>567</v>
      </c>
      <c r="AV265" s="12" t="e">
        <f t="shared" si="250"/>
        <v>#REF!</v>
      </c>
      <c r="AW265" s="12" t="e">
        <f t="shared" si="251"/>
        <v>#REF!</v>
      </c>
      <c r="AX265" s="12" t="e">
        <f t="shared" si="252"/>
        <v>#REF!</v>
      </c>
      <c r="AY265" s="49" t="s">
        <v>593</v>
      </c>
      <c r="AZ265" s="49" t="s">
        <v>746</v>
      </c>
      <c r="BA265" s="10" t="s">
        <v>717</v>
      </c>
      <c r="BC265" s="12" t="e">
        <f t="shared" si="253"/>
        <v>#REF!</v>
      </c>
      <c r="BD265" s="12" t="e">
        <f t="shared" si="254"/>
        <v>#REF!</v>
      </c>
      <c r="BE265" s="12">
        <v>0</v>
      </c>
      <c r="BF265" s="12" t="e">
        <f t="shared" si="255"/>
        <v>#REF!</v>
      </c>
      <c r="BH265" s="12" t="e">
        <f t="shared" si="256"/>
        <v>#REF!</v>
      </c>
      <c r="BI265" s="12" t="e">
        <f t="shared" si="257"/>
        <v>#REF!</v>
      </c>
      <c r="BJ265" s="12" t="e">
        <f t="shared" si="258"/>
        <v>#REF!</v>
      </c>
      <c r="BK265" s="12"/>
      <c r="BL265" s="12">
        <v>734</v>
      </c>
      <c r="BW265" s="12" t="str">
        <f t="shared" si="259"/>
        <v>21</v>
      </c>
      <c r="BX265" s="3" t="s">
        <v>421</v>
      </c>
    </row>
    <row r="266" spans="1:76">
      <c r="A266" s="1" t="s">
        <v>771</v>
      </c>
      <c r="B266" s="2" t="s">
        <v>714</v>
      </c>
      <c r="C266" s="2" t="s">
        <v>422</v>
      </c>
      <c r="D266" s="349" t="s">
        <v>423</v>
      </c>
      <c r="E266" s="342"/>
      <c r="F266" s="2" t="s">
        <v>68</v>
      </c>
      <c r="G266" s="12" t="e">
        <f>#REF!</f>
        <v>#REF!</v>
      </c>
      <c r="H266" s="12" t="e">
        <f>#REF!</f>
        <v>#REF!</v>
      </c>
      <c r="I266" s="49" t="s">
        <v>554</v>
      </c>
      <c r="J266" s="12" t="e">
        <f t="shared" si="234"/>
        <v>#REF!</v>
      </c>
      <c r="K266" s="12" t="e">
        <f t="shared" si="235"/>
        <v>#REF!</v>
      </c>
      <c r="L266" s="12" t="e">
        <f t="shared" si="236"/>
        <v>#REF!</v>
      </c>
      <c r="M266" s="12" t="e">
        <f t="shared" si="237"/>
        <v>#REF!</v>
      </c>
      <c r="N266" s="12">
        <v>4.6999999999999999E-4</v>
      </c>
      <c r="O266" s="12" t="e">
        <f t="shared" si="238"/>
        <v>#REF!</v>
      </c>
      <c r="P266" s="50" t="s">
        <v>577</v>
      </c>
      <c r="Z266" s="12">
        <f t="shared" si="239"/>
        <v>0</v>
      </c>
      <c r="AB266" s="12">
        <f t="shared" si="240"/>
        <v>0</v>
      </c>
      <c r="AC266" s="12">
        <f t="shared" si="241"/>
        <v>0</v>
      </c>
      <c r="AD266" s="12" t="e">
        <f t="shared" si="242"/>
        <v>#REF!</v>
      </c>
      <c r="AE266" s="12" t="e">
        <f t="shared" si="243"/>
        <v>#REF!</v>
      </c>
      <c r="AF266" s="12">
        <f t="shared" si="244"/>
        <v>0</v>
      </c>
      <c r="AG266" s="12">
        <f t="shared" si="245"/>
        <v>0</v>
      </c>
      <c r="AH266" s="12">
        <f t="shared" si="246"/>
        <v>0</v>
      </c>
      <c r="AI266" s="10" t="s">
        <v>714</v>
      </c>
      <c r="AJ266" s="12">
        <f t="shared" si="247"/>
        <v>0</v>
      </c>
      <c r="AK266" s="12">
        <f t="shared" si="248"/>
        <v>0</v>
      </c>
      <c r="AL266" s="12" t="e">
        <f t="shared" si="249"/>
        <v>#REF!</v>
      </c>
      <c r="AN266" s="12">
        <v>21</v>
      </c>
      <c r="AO266" s="12" t="e">
        <f>H266*0.903664796</f>
        <v>#REF!</v>
      </c>
      <c r="AP266" s="12" t="e">
        <f>H266*(1-0.903664796)</f>
        <v>#REF!</v>
      </c>
      <c r="AQ266" s="49" t="s">
        <v>567</v>
      </c>
      <c r="AV266" s="12" t="e">
        <f t="shared" si="250"/>
        <v>#REF!</v>
      </c>
      <c r="AW266" s="12" t="e">
        <f t="shared" si="251"/>
        <v>#REF!</v>
      </c>
      <c r="AX266" s="12" t="e">
        <f t="shared" si="252"/>
        <v>#REF!</v>
      </c>
      <c r="AY266" s="49" t="s">
        <v>593</v>
      </c>
      <c r="AZ266" s="49" t="s">
        <v>746</v>
      </c>
      <c r="BA266" s="10" t="s">
        <v>717</v>
      </c>
      <c r="BC266" s="12" t="e">
        <f t="shared" si="253"/>
        <v>#REF!</v>
      </c>
      <c r="BD266" s="12" t="e">
        <f t="shared" si="254"/>
        <v>#REF!</v>
      </c>
      <c r="BE266" s="12">
        <v>0</v>
      </c>
      <c r="BF266" s="12" t="e">
        <f t="shared" si="255"/>
        <v>#REF!</v>
      </c>
      <c r="BH266" s="12" t="e">
        <f t="shared" si="256"/>
        <v>#REF!</v>
      </c>
      <c r="BI266" s="12" t="e">
        <f t="shared" si="257"/>
        <v>#REF!</v>
      </c>
      <c r="BJ266" s="12" t="e">
        <f t="shared" si="258"/>
        <v>#REF!</v>
      </c>
      <c r="BK266" s="12"/>
      <c r="BL266" s="12">
        <v>734</v>
      </c>
      <c r="BW266" s="12" t="str">
        <f t="shared" si="259"/>
        <v>21</v>
      </c>
      <c r="BX266" s="3" t="s">
        <v>423</v>
      </c>
    </row>
    <row r="267" spans="1:76">
      <c r="A267" s="1" t="s">
        <v>772</v>
      </c>
      <c r="B267" s="2" t="s">
        <v>714</v>
      </c>
      <c r="C267" s="2" t="s">
        <v>424</v>
      </c>
      <c r="D267" s="349" t="s">
        <v>425</v>
      </c>
      <c r="E267" s="342"/>
      <c r="F267" s="2" t="s">
        <v>68</v>
      </c>
      <c r="G267" s="12" t="e">
        <f>#REF!</f>
        <v>#REF!</v>
      </c>
      <c r="H267" s="12" t="e">
        <f>#REF!</f>
        <v>#REF!</v>
      </c>
      <c r="I267" s="49" t="s">
        <v>554</v>
      </c>
      <c r="J267" s="12" t="e">
        <f t="shared" si="234"/>
        <v>#REF!</v>
      </c>
      <c r="K267" s="12" t="e">
        <f t="shared" si="235"/>
        <v>#REF!</v>
      </c>
      <c r="L267" s="12" t="e">
        <f t="shared" si="236"/>
        <v>#REF!</v>
      </c>
      <c r="M267" s="12" t="e">
        <f t="shared" si="237"/>
        <v>#REF!</v>
      </c>
      <c r="N267" s="12">
        <v>5.1999999999999995E-4</v>
      </c>
      <c r="O267" s="12" t="e">
        <f t="shared" si="238"/>
        <v>#REF!</v>
      </c>
      <c r="P267" s="50" t="s">
        <v>605</v>
      </c>
      <c r="Z267" s="12">
        <f t="shared" si="239"/>
        <v>0</v>
      </c>
      <c r="AB267" s="12">
        <f t="shared" si="240"/>
        <v>0</v>
      </c>
      <c r="AC267" s="12">
        <f t="shared" si="241"/>
        <v>0</v>
      </c>
      <c r="AD267" s="12" t="e">
        <f t="shared" si="242"/>
        <v>#REF!</v>
      </c>
      <c r="AE267" s="12" t="e">
        <f t="shared" si="243"/>
        <v>#REF!</v>
      </c>
      <c r="AF267" s="12">
        <f t="shared" si="244"/>
        <v>0</v>
      </c>
      <c r="AG267" s="12">
        <f t="shared" si="245"/>
        <v>0</v>
      </c>
      <c r="AH267" s="12">
        <f t="shared" si="246"/>
        <v>0</v>
      </c>
      <c r="AI267" s="10" t="s">
        <v>714</v>
      </c>
      <c r="AJ267" s="12">
        <f t="shared" si="247"/>
        <v>0</v>
      </c>
      <c r="AK267" s="12">
        <f t="shared" si="248"/>
        <v>0</v>
      </c>
      <c r="AL267" s="12" t="e">
        <f t="shared" si="249"/>
        <v>#REF!</v>
      </c>
      <c r="AN267" s="12">
        <v>21</v>
      </c>
      <c r="AO267" s="12" t="e">
        <f>H267*0.869366701</f>
        <v>#REF!</v>
      </c>
      <c r="AP267" s="12" t="e">
        <f>H267*(1-0.869366701)</f>
        <v>#REF!</v>
      </c>
      <c r="AQ267" s="49" t="s">
        <v>567</v>
      </c>
      <c r="AV267" s="12" t="e">
        <f t="shared" si="250"/>
        <v>#REF!</v>
      </c>
      <c r="AW267" s="12" t="e">
        <f t="shared" si="251"/>
        <v>#REF!</v>
      </c>
      <c r="AX267" s="12" t="e">
        <f t="shared" si="252"/>
        <v>#REF!</v>
      </c>
      <c r="AY267" s="49" t="s">
        <v>593</v>
      </c>
      <c r="AZ267" s="49" t="s">
        <v>746</v>
      </c>
      <c r="BA267" s="10" t="s">
        <v>717</v>
      </c>
      <c r="BC267" s="12" t="e">
        <f t="shared" si="253"/>
        <v>#REF!</v>
      </c>
      <c r="BD267" s="12" t="e">
        <f t="shared" si="254"/>
        <v>#REF!</v>
      </c>
      <c r="BE267" s="12">
        <v>0</v>
      </c>
      <c r="BF267" s="12" t="e">
        <f t="shared" si="255"/>
        <v>#REF!</v>
      </c>
      <c r="BH267" s="12" t="e">
        <f t="shared" si="256"/>
        <v>#REF!</v>
      </c>
      <c r="BI267" s="12" t="e">
        <f t="shared" si="257"/>
        <v>#REF!</v>
      </c>
      <c r="BJ267" s="12" t="e">
        <f t="shared" si="258"/>
        <v>#REF!</v>
      </c>
      <c r="BK267" s="12"/>
      <c r="BL267" s="12">
        <v>734</v>
      </c>
      <c r="BW267" s="12" t="str">
        <f t="shared" si="259"/>
        <v>21</v>
      </c>
      <c r="BX267" s="3" t="s">
        <v>425</v>
      </c>
    </row>
    <row r="268" spans="1:76">
      <c r="A268" s="1" t="s">
        <v>773</v>
      </c>
      <c r="B268" s="2" t="s">
        <v>714</v>
      </c>
      <c r="C268" s="2" t="s">
        <v>426</v>
      </c>
      <c r="D268" s="349" t="s">
        <v>427</v>
      </c>
      <c r="E268" s="342"/>
      <c r="F268" s="2" t="s">
        <v>68</v>
      </c>
      <c r="G268" s="12" t="e">
        <f>#REF!</f>
        <v>#REF!</v>
      </c>
      <c r="H268" s="12" t="e">
        <f>#REF!</f>
        <v>#REF!</v>
      </c>
      <c r="I268" s="49" t="s">
        <v>554</v>
      </c>
      <c r="J268" s="12" t="e">
        <f t="shared" si="234"/>
        <v>#REF!</v>
      </c>
      <c r="K268" s="12" t="e">
        <f t="shared" si="235"/>
        <v>#REF!</v>
      </c>
      <c r="L268" s="12" t="e">
        <f t="shared" si="236"/>
        <v>#REF!</v>
      </c>
      <c r="M268" s="12" t="e">
        <f t="shared" si="237"/>
        <v>#REF!</v>
      </c>
      <c r="N268" s="12">
        <v>9.2000000000000003E-4</v>
      </c>
      <c r="O268" s="12" t="e">
        <f t="shared" si="238"/>
        <v>#REF!</v>
      </c>
      <c r="P268" s="50" t="s">
        <v>605</v>
      </c>
      <c r="Z268" s="12">
        <f t="shared" si="239"/>
        <v>0</v>
      </c>
      <c r="AB268" s="12">
        <f t="shared" si="240"/>
        <v>0</v>
      </c>
      <c r="AC268" s="12">
        <f t="shared" si="241"/>
        <v>0</v>
      </c>
      <c r="AD268" s="12" t="e">
        <f t="shared" si="242"/>
        <v>#REF!</v>
      </c>
      <c r="AE268" s="12" t="e">
        <f t="shared" si="243"/>
        <v>#REF!</v>
      </c>
      <c r="AF268" s="12">
        <f t="shared" si="244"/>
        <v>0</v>
      </c>
      <c r="AG268" s="12">
        <f t="shared" si="245"/>
        <v>0</v>
      </c>
      <c r="AH268" s="12">
        <f t="shared" si="246"/>
        <v>0</v>
      </c>
      <c r="AI268" s="10" t="s">
        <v>714</v>
      </c>
      <c r="AJ268" s="12">
        <f t="shared" si="247"/>
        <v>0</v>
      </c>
      <c r="AK268" s="12">
        <f t="shared" si="248"/>
        <v>0</v>
      </c>
      <c r="AL268" s="12" t="e">
        <f t="shared" si="249"/>
        <v>#REF!</v>
      </c>
      <c r="AN268" s="12">
        <v>21</v>
      </c>
      <c r="AO268" s="12" t="e">
        <f>H268*0.929993168</f>
        <v>#REF!</v>
      </c>
      <c r="AP268" s="12" t="e">
        <f>H268*(1-0.929993168)</f>
        <v>#REF!</v>
      </c>
      <c r="AQ268" s="49" t="s">
        <v>567</v>
      </c>
      <c r="AV268" s="12" t="e">
        <f t="shared" si="250"/>
        <v>#REF!</v>
      </c>
      <c r="AW268" s="12" t="e">
        <f t="shared" si="251"/>
        <v>#REF!</v>
      </c>
      <c r="AX268" s="12" t="e">
        <f t="shared" si="252"/>
        <v>#REF!</v>
      </c>
      <c r="AY268" s="49" t="s">
        <v>593</v>
      </c>
      <c r="AZ268" s="49" t="s">
        <v>746</v>
      </c>
      <c r="BA268" s="10" t="s">
        <v>717</v>
      </c>
      <c r="BC268" s="12" t="e">
        <f t="shared" si="253"/>
        <v>#REF!</v>
      </c>
      <c r="BD268" s="12" t="e">
        <f t="shared" si="254"/>
        <v>#REF!</v>
      </c>
      <c r="BE268" s="12">
        <v>0</v>
      </c>
      <c r="BF268" s="12" t="e">
        <f t="shared" si="255"/>
        <v>#REF!</v>
      </c>
      <c r="BH268" s="12" t="e">
        <f t="shared" si="256"/>
        <v>#REF!</v>
      </c>
      <c r="BI268" s="12" t="e">
        <f t="shared" si="257"/>
        <v>#REF!</v>
      </c>
      <c r="BJ268" s="12" t="e">
        <f t="shared" si="258"/>
        <v>#REF!</v>
      </c>
      <c r="BK268" s="12"/>
      <c r="BL268" s="12">
        <v>734</v>
      </c>
      <c r="BW268" s="12" t="str">
        <f t="shared" si="259"/>
        <v>21</v>
      </c>
      <c r="BX268" s="3" t="s">
        <v>427</v>
      </c>
    </row>
    <row r="269" spans="1:76">
      <c r="A269" s="1" t="s">
        <v>774</v>
      </c>
      <c r="B269" s="2" t="s">
        <v>714</v>
      </c>
      <c r="C269" s="2" t="s">
        <v>428</v>
      </c>
      <c r="D269" s="349" t="s">
        <v>429</v>
      </c>
      <c r="E269" s="342"/>
      <c r="F269" s="2" t="s">
        <v>68</v>
      </c>
      <c r="G269" s="12" t="e">
        <f>#REF!</f>
        <v>#REF!</v>
      </c>
      <c r="H269" s="12" t="e">
        <f>#REF!</f>
        <v>#REF!</v>
      </c>
      <c r="I269" s="49" t="s">
        <v>554</v>
      </c>
      <c r="J269" s="12" t="e">
        <f t="shared" si="234"/>
        <v>#REF!</v>
      </c>
      <c r="K269" s="12" t="e">
        <f t="shared" si="235"/>
        <v>#REF!</v>
      </c>
      <c r="L269" s="12" t="e">
        <f t="shared" si="236"/>
        <v>#REF!</v>
      </c>
      <c r="M269" s="12" t="e">
        <f t="shared" si="237"/>
        <v>#REF!</v>
      </c>
      <c r="N269" s="12">
        <v>1.3999999999999999E-4</v>
      </c>
      <c r="O269" s="12" t="e">
        <f t="shared" si="238"/>
        <v>#REF!</v>
      </c>
      <c r="P269" s="50" t="s">
        <v>605</v>
      </c>
      <c r="Z269" s="12">
        <f t="shared" si="239"/>
        <v>0</v>
      </c>
      <c r="AB269" s="12">
        <f t="shared" si="240"/>
        <v>0</v>
      </c>
      <c r="AC269" s="12">
        <f t="shared" si="241"/>
        <v>0</v>
      </c>
      <c r="AD269" s="12" t="e">
        <f t="shared" si="242"/>
        <v>#REF!</v>
      </c>
      <c r="AE269" s="12" t="e">
        <f t="shared" si="243"/>
        <v>#REF!</v>
      </c>
      <c r="AF269" s="12">
        <f t="shared" si="244"/>
        <v>0</v>
      </c>
      <c r="AG269" s="12">
        <f t="shared" si="245"/>
        <v>0</v>
      </c>
      <c r="AH269" s="12">
        <f t="shared" si="246"/>
        <v>0</v>
      </c>
      <c r="AI269" s="10" t="s">
        <v>714</v>
      </c>
      <c r="AJ269" s="12">
        <f t="shared" si="247"/>
        <v>0</v>
      </c>
      <c r="AK269" s="12">
        <f t="shared" si="248"/>
        <v>0</v>
      </c>
      <c r="AL269" s="12" t="e">
        <f t="shared" si="249"/>
        <v>#REF!</v>
      </c>
      <c r="AN269" s="12">
        <v>21</v>
      </c>
      <c r="AO269" s="12" t="e">
        <f>H269*0.76990099</f>
        <v>#REF!</v>
      </c>
      <c r="AP269" s="12" t="e">
        <f>H269*(1-0.76990099)</f>
        <v>#REF!</v>
      </c>
      <c r="AQ269" s="49" t="s">
        <v>567</v>
      </c>
      <c r="AV269" s="12" t="e">
        <f t="shared" si="250"/>
        <v>#REF!</v>
      </c>
      <c r="AW269" s="12" t="e">
        <f t="shared" si="251"/>
        <v>#REF!</v>
      </c>
      <c r="AX269" s="12" t="e">
        <f t="shared" si="252"/>
        <v>#REF!</v>
      </c>
      <c r="AY269" s="49" t="s">
        <v>593</v>
      </c>
      <c r="AZ269" s="49" t="s">
        <v>746</v>
      </c>
      <c r="BA269" s="10" t="s">
        <v>717</v>
      </c>
      <c r="BC269" s="12" t="e">
        <f t="shared" si="253"/>
        <v>#REF!</v>
      </c>
      <c r="BD269" s="12" t="e">
        <f t="shared" si="254"/>
        <v>#REF!</v>
      </c>
      <c r="BE269" s="12">
        <v>0</v>
      </c>
      <c r="BF269" s="12" t="e">
        <f t="shared" si="255"/>
        <v>#REF!</v>
      </c>
      <c r="BH269" s="12" t="e">
        <f t="shared" si="256"/>
        <v>#REF!</v>
      </c>
      <c r="BI269" s="12" t="e">
        <f t="shared" si="257"/>
        <v>#REF!</v>
      </c>
      <c r="BJ269" s="12" t="e">
        <f t="shared" si="258"/>
        <v>#REF!</v>
      </c>
      <c r="BK269" s="12"/>
      <c r="BL269" s="12">
        <v>734</v>
      </c>
      <c r="BW269" s="12" t="str">
        <f t="shared" si="259"/>
        <v>21</v>
      </c>
      <c r="BX269" s="3" t="s">
        <v>429</v>
      </c>
    </row>
    <row r="270" spans="1:76">
      <c r="A270" s="1" t="s">
        <v>775</v>
      </c>
      <c r="B270" s="2" t="s">
        <v>714</v>
      </c>
      <c r="C270" s="2" t="s">
        <v>430</v>
      </c>
      <c r="D270" s="349" t="s">
        <v>431</v>
      </c>
      <c r="E270" s="342"/>
      <c r="F270" s="2" t="s">
        <v>68</v>
      </c>
      <c r="G270" s="12" t="e">
        <f>#REF!</f>
        <v>#REF!</v>
      </c>
      <c r="H270" s="12" t="e">
        <f>#REF!</f>
        <v>#REF!</v>
      </c>
      <c r="I270" s="49" t="s">
        <v>554</v>
      </c>
      <c r="J270" s="12" t="e">
        <f t="shared" si="234"/>
        <v>#REF!</v>
      </c>
      <c r="K270" s="12" t="e">
        <f t="shared" si="235"/>
        <v>#REF!</v>
      </c>
      <c r="L270" s="12" t="e">
        <f t="shared" si="236"/>
        <v>#REF!</v>
      </c>
      <c r="M270" s="12" t="e">
        <f t="shared" si="237"/>
        <v>#REF!</v>
      </c>
      <c r="N270" s="12">
        <v>5.0000000000000001E-4</v>
      </c>
      <c r="O270" s="12" t="e">
        <f t="shared" si="238"/>
        <v>#REF!</v>
      </c>
      <c r="P270" s="50" t="s">
        <v>605</v>
      </c>
      <c r="Z270" s="12">
        <f t="shared" si="239"/>
        <v>0</v>
      </c>
      <c r="AB270" s="12">
        <f t="shared" si="240"/>
        <v>0</v>
      </c>
      <c r="AC270" s="12">
        <f t="shared" si="241"/>
        <v>0</v>
      </c>
      <c r="AD270" s="12" t="e">
        <f t="shared" si="242"/>
        <v>#REF!</v>
      </c>
      <c r="AE270" s="12" t="e">
        <f t="shared" si="243"/>
        <v>#REF!</v>
      </c>
      <c r="AF270" s="12">
        <f t="shared" si="244"/>
        <v>0</v>
      </c>
      <c r="AG270" s="12">
        <f t="shared" si="245"/>
        <v>0</v>
      </c>
      <c r="AH270" s="12">
        <f t="shared" si="246"/>
        <v>0</v>
      </c>
      <c r="AI270" s="10" t="s">
        <v>714</v>
      </c>
      <c r="AJ270" s="12">
        <f t="shared" si="247"/>
        <v>0</v>
      </c>
      <c r="AK270" s="12">
        <f t="shared" si="248"/>
        <v>0</v>
      </c>
      <c r="AL270" s="12" t="e">
        <f t="shared" si="249"/>
        <v>#REF!</v>
      </c>
      <c r="AN270" s="12">
        <v>21</v>
      </c>
      <c r="AO270" s="12" t="e">
        <f>H270*0.872981818</f>
        <v>#REF!</v>
      </c>
      <c r="AP270" s="12" t="e">
        <f>H270*(1-0.872981818)</f>
        <v>#REF!</v>
      </c>
      <c r="AQ270" s="49" t="s">
        <v>567</v>
      </c>
      <c r="AV270" s="12" t="e">
        <f t="shared" si="250"/>
        <v>#REF!</v>
      </c>
      <c r="AW270" s="12" t="e">
        <f t="shared" si="251"/>
        <v>#REF!</v>
      </c>
      <c r="AX270" s="12" t="e">
        <f t="shared" si="252"/>
        <v>#REF!</v>
      </c>
      <c r="AY270" s="49" t="s">
        <v>593</v>
      </c>
      <c r="AZ270" s="49" t="s">
        <v>746</v>
      </c>
      <c r="BA270" s="10" t="s">
        <v>717</v>
      </c>
      <c r="BC270" s="12" t="e">
        <f t="shared" si="253"/>
        <v>#REF!</v>
      </c>
      <c r="BD270" s="12" t="e">
        <f t="shared" si="254"/>
        <v>#REF!</v>
      </c>
      <c r="BE270" s="12">
        <v>0</v>
      </c>
      <c r="BF270" s="12" t="e">
        <f t="shared" si="255"/>
        <v>#REF!</v>
      </c>
      <c r="BH270" s="12" t="e">
        <f t="shared" si="256"/>
        <v>#REF!</v>
      </c>
      <c r="BI270" s="12" t="e">
        <f t="shared" si="257"/>
        <v>#REF!</v>
      </c>
      <c r="BJ270" s="12" t="e">
        <f t="shared" si="258"/>
        <v>#REF!</v>
      </c>
      <c r="BK270" s="12"/>
      <c r="BL270" s="12">
        <v>734</v>
      </c>
      <c r="BW270" s="12" t="str">
        <f t="shared" si="259"/>
        <v>21</v>
      </c>
      <c r="BX270" s="3" t="s">
        <v>431</v>
      </c>
    </row>
    <row r="271" spans="1:76">
      <c r="A271" s="1" t="s">
        <v>776</v>
      </c>
      <c r="B271" s="2" t="s">
        <v>714</v>
      </c>
      <c r="C271" s="2" t="s">
        <v>432</v>
      </c>
      <c r="D271" s="349" t="s">
        <v>433</v>
      </c>
      <c r="E271" s="342"/>
      <c r="F271" s="2" t="s">
        <v>58</v>
      </c>
      <c r="G271" s="12" t="e">
        <f>#REF!</f>
        <v>#REF!</v>
      </c>
      <c r="H271" s="12" t="e">
        <f>#REF!</f>
        <v>#REF!</v>
      </c>
      <c r="I271" s="49" t="s">
        <v>554</v>
      </c>
      <c r="J271" s="12" t="e">
        <f t="shared" si="234"/>
        <v>#REF!</v>
      </c>
      <c r="K271" s="12" t="e">
        <f t="shared" si="235"/>
        <v>#REF!</v>
      </c>
      <c r="L271" s="12" t="e">
        <f t="shared" si="236"/>
        <v>#REF!</v>
      </c>
      <c r="M271" s="12" t="e">
        <f t="shared" si="237"/>
        <v>#REF!</v>
      </c>
      <c r="N271" s="12">
        <v>1.238E-2</v>
      </c>
      <c r="O271" s="12" t="e">
        <f t="shared" si="238"/>
        <v>#REF!</v>
      </c>
      <c r="P271" s="50" t="s">
        <v>577</v>
      </c>
      <c r="Z271" s="12">
        <f t="shared" si="239"/>
        <v>0</v>
      </c>
      <c r="AB271" s="12">
        <f t="shared" si="240"/>
        <v>0</v>
      </c>
      <c r="AC271" s="12">
        <f t="shared" si="241"/>
        <v>0</v>
      </c>
      <c r="AD271" s="12" t="e">
        <f t="shared" si="242"/>
        <v>#REF!</v>
      </c>
      <c r="AE271" s="12" t="e">
        <f t="shared" si="243"/>
        <v>#REF!</v>
      </c>
      <c r="AF271" s="12">
        <f t="shared" si="244"/>
        <v>0</v>
      </c>
      <c r="AG271" s="12">
        <f t="shared" si="245"/>
        <v>0</v>
      </c>
      <c r="AH271" s="12">
        <f t="shared" si="246"/>
        <v>0</v>
      </c>
      <c r="AI271" s="10" t="s">
        <v>714</v>
      </c>
      <c r="AJ271" s="12">
        <f t="shared" si="247"/>
        <v>0</v>
      </c>
      <c r="AK271" s="12">
        <f t="shared" si="248"/>
        <v>0</v>
      </c>
      <c r="AL271" s="12" t="e">
        <f t="shared" si="249"/>
        <v>#REF!</v>
      </c>
      <c r="AN271" s="12">
        <v>21</v>
      </c>
      <c r="AO271" s="12" t="e">
        <f>H271*0.91595369</f>
        <v>#REF!</v>
      </c>
      <c r="AP271" s="12" t="e">
        <f>H271*(1-0.91595369)</f>
        <v>#REF!</v>
      </c>
      <c r="AQ271" s="49" t="s">
        <v>567</v>
      </c>
      <c r="AV271" s="12" t="e">
        <f t="shared" si="250"/>
        <v>#REF!</v>
      </c>
      <c r="AW271" s="12" t="e">
        <f t="shared" si="251"/>
        <v>#REF!</v>
      </c>
      <c r="AX271" s="12" t="e">
        <f t="shared" si="252"/>
        <v>#REF!</v>
      </c>
      <c r="AY271" s="49" t="s">
        <v>593</v>
      </c>
      <c r="AZ271" s="49" t="s">
        <v>746</v>
      </c>
      <c r="BA271" s="10" t="s">
        <v>717</v>
      </c>
      <c r="BC271" s="12" t="e">
        <f t="shared" si="253"/>
        <v>#REF!</v>
      </c>
      <c r="BD271" s="12" t="e">
        <f t="shared" si="254"/>
        <v>#REF!</v>
      </c>
      <c r="BE271" s="12">
        <v>0</v>
      </c>
      <c r="BF271" s="12" t="e">
        <f t="shared" si="255"/>
        <v>#REF!</v>
      </c>
      <c r="BH271" s="12" t="e">
        <f t="shared" si="256"/>
        <v>#REF!</v>
      </c>
      <c r="BI271" s="12" t="e">
        <f t="shared" si="257"/>
        <v>#REF!</v>
      </c>
      <c r="BJ271" s="12" t="e">
        <f t="shared" si="258"/>
        <v>#REF!</v>
      </c>
      <c r="BK271" s="12"/>
      <c r="BL271" s="12">
        <v>734</v>
      </c>
      <c r="BW271" s="12" t="str">
        <f t="shared" si="259"/>
        <v>21</v>
      </c>
      <c r="BX271" s="3" t="s">
        <v>433</v>
      </c>
    </row>
    <row r="272" spans="1:76">
      <c r="A272" s="1" t="s">
        <v>777</v>
      </c>
      <c r="B272" s="2" t="s">
        <v>714</v>
      </c>
      <c r="C272" s="2" t="s">
        <v>434</v>
      </c>
      <c r="D272" s="349" t="s">
        <v>435</v>
      </c>
      <c r="E272" s="342"/>
      <c r="F272" s="2" t="s">
        <v>68</v>
      </c>
      <c r="G272" s="12" t="e">
        <f>#REF!</f>
        <v>#REF!</v>
      </c>
      <c r="H272" s="12" t="e">
        <f>#REF!</f>
        <v>#REF!</v>
      </c>
      <c r="I272" s="49" t="s">
        <v>554</v>
      </c>
      <c r="J272" s="12" t="e">
        <f t="shared" si="234"/>
        <v>#REF!</v>
      </c>
      <c r="K272" s="12" t="e">
        <f t="shared" si="235"/>
        <v>#REF!</v>
      </c>
      <c r="L272" s="12" t="e">
        <f t="shared" si="236"/>
        <v>#REF!</v>
      </c>
      <c r="M272" s="12" t="e">
        <f t="shared" si="237"/>
        <v>#REF!</v>
      </c>
      <c r="N272" s="12">
        <v>1.3999999999999999E-4</v>
      </c>
      <c r="O272" s="12" t="e">
        <f t="shared" si="238"/>
        <v>#REF!</v>
      </c>
      <c r="P272" s="50" t="s">
        <v>577</v>
      </c>
      <c r="Z272" s="12">
        <f t="shared" si="239"/>
        <v>0</v>
      </c>
      <c r="AB272" s="12">
        <f t="shared" si="240"/>
        <v>0</v>
      </c>
      <c r="AC272" s="12">
        <f t="shared" si="241"/>
        <v>0</v>
      </c>
      <c r="AD272" s="12" t="e">
        <f t="shared" si="242"/>
        <v>#REF!</v>
      </c>
      <c r="AE272" s="12" t="e">
        <f t="shared" si="243"/>
        <v>#REF!</v>
      </c>
      <c r="AF272" s="12">
        <f t="shared" si="244"/>
        <v>0</v>
      </c>
      <c r="AG272" s="12">
        <f t="shared" si="245"/>
        <v>0</v>
      </c>
      <c r="AH272" s="12">
        <f t="shared" si="246"/>
        <v>0</v>
      </c>
      <c r="AI272" s="10" t="s">
        <v>714</v>
      </c>
      <c r="AJ272" s="12">
        <f t="shared" si="247"/>
        <v>0</v>
      </c>
      <c r="AK272" s="12">
        <f t="shared" si="248"/>
        <v>0</v>
      </c>
      <c r="AL272" s="12" t="e">
        <f t="shared" si="249"/>
        <v>#REF!</v>
      </c>
      <c r="AN272" s="12">
        <v>21</v>
      </c>
      <c r="AO272" s="12" t="e">
        <f>H272*0.69147929</f>
        <v>#REF!</v>
      </c>
      <c r="AP272" s="12" t="e">
        <f>H272*(1-0.69147929)</f>
        <v>#REF!</v>
      </c>
      <c r="AQ272" s="49" t="s">
        <v>567</v>
      </c>
      <c r="AV272" s="12" t="e">
        <f t="shared" si="250"/>
        <v>#REF!</v>
      </c>
      <c r="AW272" s="12" t="e">
        <f t="shared" si="251"/>
        <v>#REF!</v>
      </c>
      <c r="AX272" s="12" t="e">
        <f t="shared" si="252"/>
        <v>#REF!</v>
      </c>
      <c r="AY272" s="49" t="s">
        <v>593</v>
      </c>
      <c r="AZ272" s="49" t="s">
        <v>746</v>
      </c>
      <c r="BA272" s="10" t="s">
        <v>717</v>
      </c>
      <c r="BC272" s="12" t="e">
        <f t="shared" si="253"/>
        <v>#REF!</v>
      </c>
      <c r="BD272" s="12" t="e">
        <f t="shared" si="254"/>
        <v>#REF!</v>
      </c>
      <c r="BE272" s="12">
        <v>0</v>
      </c>
      <c r="BF272" s="12" t="e">
        <f t="shared" si="255"/>
        <v>#REF!</v>
      </c>
      <c r="BH272" s="12" t="e">
        <f t="shared" si="256"/>
        <v>#REF!</v>
      </c>
      <c r="BI272" s="12" t="e">
        <f t="shared" si="257"/>
        <v>#REF!</v>
      </c>
      <c r="BJ272" s="12" t="e">
        <f t="shared" si="258"/>
        <v>#REF!</v>
      </c>
      <c r="BK272" s="12"/>
      <c r="BL272" s="12">
        <v>734</v>
      </c>
      <c r="BW272" s="12" t="str">
        <f t="shared" si="259"/>
        <v>21</v>
      </c>
      <c r="BX272" s="3" t="s">
        <v>435</v>
      </c>
    </row>
    <row r="273" spans="1:76">
      <c r="A273" s="1" t="s">
        <v>778</v>
      </c>
      <c r="B273" s="2" t="s">
        <v>714</v>
      </c>
      <c r="C273" s="2" t="s">
        <v>436</v>
      </c>
      <c r="D273" s="349" t="s">
        <v>437</v>
      </c>
      <c r="E273" s="342"/>
      <c r="F273" s="2" t="s">
        <v>68</v>
      </c>
      <c r="G273" s="12" t="e">
        <f>#REF!</f>
        <v>#REF!</v>
      </c>
      <c r="H273" s="12" t="e">
        <f>#REF!</f>
        <v>#REF!</v>
      </c>
      <c r="I273" s="49" t="s">
        <v>554</v>
      </c>
      <c r="J273" s="12" t="e">
        <f t="shared" si="234"/>
        <v>#REF!</v>
      </c>
      <c r="K273" s="12" t="e">
        <f t="shared" si="235"/>
        <v>#REF!</v>
      </c>
      <c r="L273" s="12" t="e">
        <f t="shared" si="236"/>
        <v>#REF!</v>
      </c>
      <c r="M273" s="12" t="e">
        <f t="shared" si="237"/>
        <v>#REF!</v>
      </c>
      <c r="N273" s="12">
        <v>2.9999999999999997E-4</v>
      </c>
      <c r="O273" s="12" t="e">
        <f t="shared" si="238"/>
        <v>#REF!</v>
      </c>
      <c r="P273" s="50" t="s">
        <v>605</v>
      </c>
      <c r="Z273" s="12">
        <f t="shared" si="239"/>
        <v>0</v>
      </c>
      <c r="AB273" s="12">
        <f t="shared" si="240"/>
        <v>0</v>
      </c>
      <c r="AC273" s="12">
        <f t="shared" si="241"/>
        <v>0</v>
      </c>
      <c r="AD273" s="12" t="e">
        <f t="shared" si="242"/>
        <v>#REF!</v>
      </c>
      <c r="AE273" s="12" t="e">
        <f t="shared" si="243"/>
        <v>#REF!</v>
      </c>
      <c r="AF273" s="12">
        <f t="shared" si="244"/>
        <v>0</v>
      </c>
      <c r="AG273" s="12">
        <f t="shared" si="245"/>
        <v>0</v>
      </c>
      <c r="AH273" s="12">
        <f t="shared" si="246"/>
        <v>0</v>
      </c>
      <c r="AI273" s="10" t="s">
        <v>714</v>
      </c>
      <c r="AJ273" s="12">
        <f t="shared" si="247"/>
        <v>0</v>
      </c>
      <c r="AK273" s="12">
        <f t="shared" si="248"/>
        <v>0</v>
      </c>
      <c r="AL273" s="12" t="e">
        <f t="shared" si="249"/>
        <v>#REF!</v>
      </c>
      <c r="AN273" s="12">
        <v>21</v>
      </c>
      <c r="AO273" s="12" t="e">
        <f>H273*0.796243845</f>
        <v>#REF!</v>
      </c>
      <c r="AP273" s="12" t="e">
        <f>H273*(1-0.796243845)</f>
        <v>#REF!</v>
      </c>
      <c r="AQ273" s="49" t="s">
        <v>567</v>
      </c>
      <c r="AV273" s="12" t="e">
        <f t="shared" si="250"/>
        <v>#REF!</v>
      </c>
      <c r="AW273" s="12" t="e">
        <f t="shared" si="251"/>
        <v>#REF!</v>
      </c>
      <c r="AX273" s="12" t="e">
        <f t="shared" si="252"/>
        <v>#REF!</v>
      </c>
      <c r="AY273" s="49" t="s">
        <v>593</v>
      </c>
      <c r="AZ273" s="49" t="s">
        <v>746</v>
      </c>
      <c r="BA273" s="10" t="s">
        <v>717</v>
      </c>
      <c r="BC273" s="12" t="e">
        <f t="shared" si="253"/>
        <v>#REF!</v>
      </c>
      <c r="BD273" s="12" t="e">
        <f t="shared" si="254"/>
        <v>#REF!</v>
      </c>
      <c r="BE273" s="12">
        <v>0</v>
      </c>
      <c r="BF273" s="12" t="e">
        <f t="shared" si="255"/>
        <v>#REF!</v>
      </c>
      <c r="BH273" s="12" t="e">
        <f t="shared" si="256"/>
        <v>#REF!</v>
      </c>
      <c r="BI273" s="12" t="e">
        <f t="shared" si="257"/>
        <v>#REF!</v>
      </c>
      <c r="BJ273" s="12" t="e">
        <f t="shared" si="258"/>
        <v>#REF!</v>
      </c>
      <c r="BK273" s="12"/>
      <c r="BL273" s="12">
        <v>734</v>
      </c>
      <c r="BW273" s="12" t="str">
        <f t="shared" si="259"/>
        <v>21</v>
      </c>
      <c r="BX273" s="3" t="s">
        <v>437</v>
      </c>
    </row>
    <row r="274" spans="1:76">
      <c r="A274" s="1" t="s">
        <v>779</v>
      </c>
      <c r="B274" s="2" t="s">
        <v>714</v>
      </c>
      <c r="C274" s="2" t="s">
        <v>438</v>
      </c>
      <c r="D274" s="349" t="s">
        <v>439</v>
      </c>
      <c r="E274" s="342"/>
      <c r="F274" s="2" t="s">
        <v>68</v>
      </c>
      <c r="G274" s="12" t="e">
        <f>#REF!</f>
        <v>#REF!</v>
      </c>
      <c r="H274" s="12" t="e">
        <f>#REF!</f>
        <v>#REF!</v>
      </c>
      <c r="I274" s="49" t="s">
        <v>554</v>
      </c>
      <c r="J274" s="12" t="e">
        <f t="shared" si="234"/>
        <v>#REF!</v>
      </c>
      <c r="K274" s="12" t="e">
        <f t="shared" si="235"/>
        <v>#REF!</v>
      </c>
      <c r="L274" s="12" t="e">
        <f t="shared" si="236"/>
        <v>#REF!</v>
      </c>
      <c r="M274" s="12" t="e">
        <f t="shared" si="237"/>
        <v>#REF!</v>
      </c>
      <c r="N274" s="12">
        <v>1.0399999999999999E-3</v>
      </c>
      <c r="O274" s="12" t="e">
        <f t="shared" si="238"/>
        <v>#REF!</v>
      </c>
      <c r="P274" s="50" t="s">
        <v>605</v>
      </c>
      <c r="Z274" s="12">
        <f t="shared" si="239"/>
        <v>0</v>
      </c>
      <c r="AB274" s="12">
        <f t="shared" si="240"/>
        <v>0</v>
      </c>
      <c r="AC274" s="12">
        <f t="shared" si="241"/>
        <v>0</v>
      </c>
      <c r="AD274" s="12" t="e">
        <f t="shared" si="242"/>
        <v>#REF!</v>
      </c>
      <c r="AE274" s="12" t="e">
        <f t="shared" si="243"/>
        <v>#REF!</v>
      </c>
      <c r="AF274" s="12">
        <f t="shared" si="244"/>
        <v>0</v>
      </c>
      <c r="AG274" s="12">
        <f t="shared" si="245"/>
        <v>0</v>
      </c>
      <c r="AH274" s="12">
        <f t="shared" si="246"/>
        <v>0</v>
      </c>
      <c r="AI274" s="10" t="s">
        <v>714</v>
      </c>
      <c r="AJ274" s="12">
        <f t="shared" si="247"/>
        <v>0</v>
      </c>
      <c r="AK274" s="12">
        <f t="shared" si="248"/>
        <v>0</v>
      </c>
      <c r="AL274" s="12" t="e">
        <f t="shared" si="249"/>
        <v>#REF!</v>
      </c>
      <c r="AN274" s="12">
        <v>21</v>
      </c>
      <c r="AO274" s="12" t="e">
        <f>H274*0.893386019</f>
        <v>#REF!</v>
      </c>
      <c r="AP274" s="12" t="e">
        <f>H274*(1-0.893386019)</f>
        <v>#REF!</v>
      </c>
      <c r="AQ274" s="49" t="s">
        <v>567</v>
      </c>
      <c r="AV274" s="12" t="e">
        <f t="shared" si="250"/>
        <v>#REF!</v>
      </c>
      <c r="AW274" s="12" t="e">
        <f t="shared" si="251"/>
        <v>#REF!</v>
      </c>
      <c r="AX274" s="12" t="e">
        <f t="shared" si="252"/>
        <v>#REF!</v>
      </c>
      <c r="AY274" s="49" t="s">
        <v>593</v>
      </c>
      <c r="AZ274" s="49" t="s">
        <v>746</v>
      </c>
      <c r="BA274" s="10" t="s">
        <v>717</v>
      </c>
      <c r="BC274" s="12" t="e">
        <f t="shared" si="253"/>
        <v>#REF!</v>
      </c>
      <c r="BD274" s="12" t="e">
        <f t="shared" si="254"/>
        <v>#REF!</v>
      </c>
      <c r="BE274" s="12">
        <v>0</v>
      </c>
      <c r="BF274" s="12" t="e">
        <f t="shared" si="255"/>
        <v>#REF!</v>
      </c>
      <c r="BH274" s="12" t="e">
        <f t="shared" si="256"/>
        <v>#REF!</v>
      </c>
      <c r="BI274" s="12" t="e">
        <f t="shared" si="257"/>
        <v>#REF!</v>
      </c>
      <c r="BJ274" s="12" t="e">
        <f t="shared" si="258"/>
        <v>#REF!</v>
      </c>
      <c r="BK274" s="12"/>
      <c r="BL274" s="12">
        <v>734</v>
      </c>
      <c r="BW274" s="12" t="str">
        <f t="shared" si="259"/>
        <v>21</v>
      </c>
      <c r="BX274" s="3" t="s">
        <v>439</v>
      </c>
    </row>
    <row r="275" spans="1:76">
      <c r="A275" s="46" t="s">
        <v>21</v>
      </c>
      <c r="B275" s="9" t="s">
        <v>714</v>
      </c>
      <c r="C275" s="9" t="s">
        <v>101</v>
      </c>
      <c r="D275" s="359" t="s">
        <v>102</v>
      </c>
      <c r="E275" s="360"/>
      <c r="F275" s="47" t="s">
        <v>20</v>
      </c>
      <c r="G275" s="47" t="s">
        <v>20</v>
      </c>
      <c r="H275" s="47" t="s">
        <v>20</v>
      </c>
      <c r="I275" s="47" t="s">
        <v>20</v>
      </c>
      <c r="J275" s="11" t="e">
        <f>SUM(J276:J277)</f>
        <v>#REF!</v>
      </c>
      <c r="K275" s="11" t="e">
        <f>SUM(K276:K277)</f>
        <v>#REF!</v>
      </c>
      <c r="L275" s="11" t="e">
        <f>SUM(L276:L277)</f>
        <v>#REF!</v>
      </c>
      <c r="M275" s="11" t="e">
        <f>SUM(M276:M277)</f>
        <v>#REF!</v>
      </c>
      <c r="N275" s="10" t="s">
        <v>21</v>
      </c>
      <c r="O275" s="11" t="e">
        <f>SUM(O276:O277)</f>
        <v>#REF!</v>
      </c>
      <c r="P275" s="48" t="s">
        <v>21</v>
      </c>
      <c r="AI275" s="10" t="s">
        <v>714</v>
      </c>
      <c r="AS275" s="11">
        <f>SUM(AJ276:AJ277)</f>
        <v>0</v>
      </c>
      <c r="AT275" s="11">
        <f>SUM(AK276:AK277)</f>
        <v>0</v>
      </c>
      <c r="AU275" s="11" t="e">
        <f>SUM(AL276:AL277)</f>
        <v>#REF!</v>
      </c>
    </row>
    <row r="276" spans="1:76">
      <c r="A276" s="1" t="s">
        <v>780</v>
      </c>
      <c r="B276" s="2" t="s">
        <v>714</v>
      </c>
      <c r="C276" s="2" t="s">
        <v>440</v>
      </c>
      <c r="D276" s="349" t="s">
        <v>441</v>
      </c>
      <c r="E276" s="342"/>
      <c r="F276" s="2" t="s">
        <v>105</v>
      </c>
      <c r="G276" s="12" t="e">
        <f>#REF!</f>
        <v>#REF!</v>
      </c>
      <c r="H276" s="12" t="e">
        <f>#REF!</f>
        <v>#REF!</v>
      </c>
      <c r="I276" s="49" t="s">
        <v>554</v>
      </c>
      <c r="J276" s="12" t="e">
        <f>G276*AO276</f>
        <v>#REF!</v>
      </c>
      <c r="K276" s="12" t="e">
        <f>G276*AP276</f>
        <v>#REF!</v>
      </c>
      <c r="L276" s="12" t="e">
        <f>G276*H276</f>
        <v>#REF!</v>
      </c>
      <c r="M276" s="12" t="e">
        <f>L276*(1+BW276/100)</f>
        <v>#REF!</v>
      </c>
      <c r="N276" s="12">
        <v>1.0499999999999999E-3</v>
      </c>
      <c r="O276" s="12" t="e">
        <f>G276*N276</f>
        <v>#REF!</v>
      </c>
      <c r="P276" s="50" t="s">
        <v>577</v>
      </c>
      <c r="Z276" s="12">
        <f>IF(AQ276="5",BJ276,0)</f>
        <v>0</v>
      </c>
      <c r="AB276" s="12">
        <f>IF(AQ276="1",BH276,0)</f>
        <v>0</v>
      </c>
      <c r="AC276" s="12">
        <f>IF(AQ276="1",BI276,0)</f>
        <v>0</v>
      </c>
      <c r="AD276" s="12" t="e">
        <f>IF(AQ276="7",BH276,0)</f>
        <v>#REF!</v>
      </c>
      <c r="AE276" s="12" t="e">
        <f>IF(AQ276="7",BI276,0)</f>
        <v>#REF!</v>
      </c>
      <c r="AF276" s="12">
        <f>IF(AQ276="2",BH276,0)</f>
        <v>0</v>
      </c>
      <c r="AG276" s="12">
        <f>IF(AQ276="2",BI276,0)</f>
        <v>0</v>
      </c>
      <c r="AH276" s="12">
        <f>IF(AQ276="0",BJ276,0)</f>
        <v>0</v>
      </c>
      <c r="AI276" s="10" t="s">
        <v>714</v>
      </c>
      <c r="AJ276" s="12">
        <f>IF(AN276=0,L276,0)</f>
        <v>0</v>
      </c>
      <c r="AK276" s="12">
        <f>IF(AN276=12,L276,0)</f>
        <v>0</v>
      </c>
      <c r="AL276" s="12" t="e">
        <f>IF(AN276=21,L276,0)</f>
        <v>#REF!</v>
      </c>
      <c r="AN276" s="12">
        <v>21</v>
      </c>
      <c r="AO276" s="12" t="e">
        <f>H276*0.15238806</f>
        <v>#REF!</v>
      </c>
      <c r="AP276" s="12" t="e">
        <f>H276*(1-0.15238806)</f>
        <v>#REF!</v>
      </c>
      <c r="AQ276" s="49" t="s">
        <v>567</v>
      </c>
      <c r="AV276" s="12" t="e">
        <f>AW276+AX276</f>
        <v>#REF!</v>
      </c>
      <c r="AW276" s="12" t="e">
        <f>G276*AO276</f>
        <v>#REF!</v>
      </c>
      <c r="AX276" s="12" t="e">
        <f>G276*AP276</f>
        <v>#REF!</v>
      </c>
      <c r="AY276" s="49" t="s">
        <v>596</v>
      </c>
      <c r="AZ276" s="49" t="s">
        <v>781</v>
      </c>
      <c r="BA276" s="10" t="s">
        <v>717</v>
      </c>
      <c r="BC276" s="12" t="e">
        <f>AW276+AX276</f>
        <v>#REF!</v>
      </c>
      <c r="BD276" s="12" t="e">
        <f>H276/(100-BE276)*100</f>
        <v>#REF!</v>
      </c>
      <c r="BE276" s="12">
        <v>0</v>
      </c>
      <c r="BF276" s="12" t="e">
        <f>O276</f>
        <v>#REF!</v>
      </c>
      <c r="BH276" s="12" t="e">
        <f>G276*AO276</f>
        <v>#REF!</v>
      </c>
      <c r="BI276" s="12" t="e">
        <f>G276*AP276</f>
        <v>#REF!</v>
      </c>
      <c r="BJ276" s="12" t="e">
        <f>G276*H276</f>
        <v>#REF!</v>
      </c>
      <c r="BK276" s="12"/>
      <c r="BL276" s="12">
        <v>767</v>
      </c>
      <c r="BW276" s="12" t="str">
        <f>I276</f>
        <v>21</v>
      </c>
      <c r="BX276" s="3" t="s">
        <v>441</v>
      </c>
    </row>
    <row r="277" spans="1:76">
      <c r="A277" s="1" t="s">
        <v>782</v>
      </c>
      <c r="B277" s="2" t="s">
        <v>714</v>
      </c>
      <c r="C277" s="2" t="s">
        <v>442</v>
      </c>
      <c r="D277" s="349" t="s">
        <v>443</v>
      </c>
      <c r="E277" s="342"/>
      <c r="F277" s="2" t="s">
        <v>105</v>
      </c>
      <c r="G277" s="12" t="e">
        <f>#REF!</f>
        <v>#REF!</v>
      </c>
      <c r="H277" s="12" t="e">
        <f>#REF!</f>
        <v>#REF!</v>
      </c>
      <c r="I277" s="49" t="s">
        <v>554</v>
      </c>
      <c r="J277" s="12" t="e">
        <f>G277*AO277</f>
        <v>#REF!</v>
      </c>
      <c r="K277" s="12" t="e">
        <f>G277*AP277</f>
        <v>#REF!</v>
      </c>
      <c r="L277" s="12" t="e">
        <f>G277*H277</f>
        <v>#REF!</v>
      </c>
      <c r="M277" s="12" t="e">
        <f>L277*(1+BW277/100)</f>
        <v>#REF!</v>
      </c>
      <c r="N277" s="12">
        <v>1.06E-3</v>
      </c>
      <c r="O277" s="12" t="e">
        <f>G277*N277</f>
        <v>#REF!</v>
      </c>
      <c r="P277" s="50" t="s">
        <v>577</v>
      </c>
      <c r="Z277" s="12">
        <f>IF(AQ277="5",BJ277,0)</f>
        <v>0</v>
      </c>
      <c r="AB277" s="12">
        <f>IF(AQ277="1",BH277,0)</f>
        <v>0</v>
      </c>
      <c r="AC277" s="12">
        <f>IF(AQ277="1",BI277,0)</f>
        <v>0</v>
      </c>
      <c r="AD277" s="12" t="e">
        <f>IF(AQ277="7",BH277,0)</f>
        <v>#REF!</v>
      </c>
      <c r="AE277" s="12" t="e">
        <f>IF(AQ277="7",BI277,0)</f>
        <v>#REF!</v>
      </c>
      <c r="AF277" s="12">
        <f>IF(AQ277="2",BH277,0)</f>
        <v>0</v>
      </c>
      <c r="AG277" s="12">
        <f>IF(AQ277="2",BI277,0)</f>
        <v>0</v>
      </c>
      <c r="AH277" s="12">
        <f>IF(AQ277="0",BJ277,0)</f>
        <v>0</v>
      </c>
      <c r="AI277" s="10" t="s">
        <v>714</v>
      </c>
      <c r="AJ277" s="12">
        <f>IF(AN277=0,L277,0)</f>
        <v>0</v>
      </c>
      <c r="AK277" s="12">
        <f>IF(AN277=12,L277,0)</f>
        <v>0</v>
      </c>
      <c r="AL277" s="12" t="e">
        <f>IF(AN277=21,L277,0)</f>
        <v>#REF!</v>
      </c>
      <c r="AN277" s="12">
        <v>21</v>
      </c>
      <c r="AO277" s="12" t="e">
        <f>H277*0.303333333</f>
        <v>#REF!</v>
      </c>
      <c r="AP277" s="12" t="e">
        <f>H277*(1-0.303333333)</f>
        <v>#REF!</v>
      </c>
      <c r="AQ277" s="49" t="s">
        <v>567</v>
      </c>
      <c r="AV277" s="12" t="e">
        <f>AW277+AX277</f>
        <v>#REF!</v>
      </c>
      <c r="AW277" s="12" t="e">
        <f>G277*AO277</f>
        <v>#REF!</v>
      </c>
      <c r="AX277" s="12" t="e">
        <f>G277*AP277</f>
        <v>#REF!</v>
      </c>
      <c r="AY277" s="49" t="s">
        <v>596</v>
      </c>
      <c r="AZ277" s="49" t="s">
        <v>781</v>
      </c>
      <c r="BA277" s="10" t="s">
        <v>717</v>
      </c>
      <c r="BC277" s="12" t="e">
        <f>AW277+AX277</f>
        <v>#REF!</v>
      </c>
      <c r="BD277" s="12" t="e">
        <f>H277/(100-BE277)*100</f>
        <v>#REF!</v>
      </c>
      <c r="BE277" s="12">
        <v>0</v>
      </c>
      <c r="BF277" s="12" t="e">
        <f>O277</f>
        <v>#REF!</v>
      </c>
      <c r="BH277" s="12" t="e">
        <f>G277*AO277</f>
        <v>#REF!</v>
      </c>
      <c r="BI277" s="12" t="e">
        <f>G277*AP277</f>
        <v>#REF!</v>
      </c>
      <c r="BJ277" s="12" t="e">
        <f>G277*H277</f>
        <v>#REF!</v>
      </c>
      <c r="BK277" s="12"/>
      <c r="BL277" s="12">
        <v>767</v>
      </c>
      <c r="BW277" s="12" t="str">
        <f>I277</f>
        <v>21</v>
      </c>
      <c r="BX277" s="3" t="s">
        <v>443</v>
      </c>
    </row>
    <row r="278" spans="1:76">
      <c r="A278" s="46" t="s">
        <v>21</v>
      </c>
      <c r="B278" s="9" t="s">
        <v>783</v>
      </c>
      <c r="C278" s="9" t="s">
        <v>21</v>
      </c>
      <c r="D278" s="359" t="s">
        <v>444</v>
      </c>
      <c r="E278" s="360"/>
      <c r="F278" s="47" t="s">
        <v>20</v>
      </c>
      <c r="G278" s="47" t="s">
        <v>20</v>
      </c>
      <c r="H278" s="47" t="s">
        <v>20</v>
      </c>
      <c r="I278" s="47" t="s">
        <v>20</v>
      </c>
      <c r="J278" s="11" t="e">
        <f>J279+J289+J291+J307+J309+J317+J329+J345+J349</f>
        <v>#REF!</v>
      </c>
      <c r="K278" s="11" t="e">
        <f>K279+K289+K291+K307+K309+K317+K329+K345+K349</f>
        <v>#REF!</v>
      </c>
      <c r="L278" s="11" t="e">
        <f>L279+L289+L291+L307+L309+L317+L329+L345+L349</f>
        <v>#REF!</v>
      </c>
      <c r="M278" s="11" t="e">
        <f>M279+M289+M291+M307+M309+M317+M329+M345+M349</f>
        <v>#REF!</v>
      </c>
      <c r="N278" s="10" t="s">
        <v>21</v>
      </c>
      <c r="O278" s="11" t="e">
        <f>O279+O289+O291+O307+O309+O317+O329+O345+O349</f>
        <v>#REF!</v>
      </c>
      <c r="P278" s="48" t="s">
        <v>21</v>
      </c>
    </row>
    <row r="279" spans="1:76">
      <c r="A279" s="46" t="s">
        <v>21</v>
      </c>
      <c r="B279" s="9" t="s">
        <v>783</v>
      </c>
      <c r="C279" s="9" t="s">
        <v>54</v>
      </c>
      <c r="D279" s="359" t="s">
        <v>55</v>
      </c>
      <c r="E279" s="360"/>
      <c r="F279" s="47" t="s">
        <v>20</v>
      </c>
      <c r="G279" s="47" t="s">
        <v>20</v>
      </c>
      <c r="H279" s="47" t="s">
        <v>20</v>
      </c>
      <c r="I279" s="47" t="s">
        <v>20</v>
      </c>
      <c r="J279" s="11" t="e">
        <f>SUM(J280:J288)</f>
        <v>#REF!</v>
      </c>
      <c r="K279" s="11" t="e">
        <f>SUM(K280:K288)</f>
        <v>#REF!</v>
      </c>
      <c r="L279" s="11" t="e">
        <f>SUM(L280:L288)</f>
        <v>#REF!</v>
      </c>
      <c r="M279" s="11" t="e">
        <f>SUM(M280:M288)</f>
        <v>#REF!</v>
      </c>
      <c r="N279" s="10" t="s">
        <v>21</v>
      </c>
      <c r="O279" s="11" t="e">
        <f>SUM(O280:O288)</f>
        <v>#REF!</v>
      </c>
      <c r="P279" s="48" t="s">
        <v>21</v>
      </c>
      <c r="AI279" s="10" t="s">
        <v>783</v>
      </c>
      <c r="AS279" s="11">
        <f>SUM(AJ280:AJ288)</f>
        <v>0</v>
      </c>
      <c r="AT279" s="11">
        <f>SUM(AK280:AK288)</f>
        <v>0</v>
      </c>
      <c r="AU279" s="11" t="e">
        <f>SUM(AL280:AL288)</f>
        <v>#REF!</v>
      </c>
    </row>
    <row r="280" spans="1:76">
      <c r="A280" s="1" t="s">
        <v>784</v>
      </c>
      <c r="B280" s="2" t="s">
        <v>783</v>
      </c>
      <c r="C280" s="2" t="s">
        <v>69</v>
      </c>
      <c r="D280" s="349" t="s">
        <v>356</v>
      </c>
      <c r="E280" s="342"/>
      <c r="F280" s="2" t="s">
        <v>68</v>
      </c>
      <c r="G280" s="12" t="e">
        <f>#REF!</f>
        <v>#REF!</v>
      </c>
      <c r="H280" s="12" t="e">
        <f>#REF!</f>
        <v>#REF!</v>
      </c>
      <c r="I280" s="49" t="s">
        <v>554</v>
      </c>
      <c r="J280" s="12" t="e">
        <f t="shared" ref="J280:J288" si="260">G280*AO280</f>
        <v>#REF!</v>
      </c>
      <c r="K280" s="12" t="e">
        <f t="shared" ref="K280:K288" si="261">G280*AP280</f>
        <v>#REF!</v>
      </c>
      <c r="L280" s="12" t="e">
        <f t="shared" ref="L280:L288" si="262">G280*H280</f>
        <v>#REF!</v>
      </c>
      <c r="M280" s="12" t="e">
        <f t="shared" ref="M280:M288" si="263">L280*(1+BW280/100)</f>
        <v>#REF!</v>
      </c>
      <c r="N280" s="12">
        <v>0</v>
      </c>
      <c r="O280" s="12" t="e">
        <f t="shared" ref="O280:O288" si="264">G280*N280</f>
        <v>#REF!</v>
      </c>
      <c r="P280" s="50" t="s">
        <v>577</v>
      </c>
      <c r="Z280" s="12">
        <f t="shared" ref="Z280:Z288" si="265">IF(AQ280="5",BJ280,0)</f>
        <v>0</v>
      </c>
      <c r="AB280" s="12" t="e">
        <f t="shared" ref="AB280:AB288" si="266">IF(AQ280="1",BH280,0)</f>
        <v>#REF!</v>
      </c>
      <c r="AC280" s="12" t="e">
        <f t="shared" ref="AC280:AC288" si="267">IF(AQ280="1",BI280,0)</f>
        <v>#REF!</v>
      </c>
      <c r="AD280" s="12">
        <f t="shared" ref="AD280:AD288" si="268">IF(AQ280="7",BH280,0)</f>
        <v>0</v>
      </c>
      <c r="AE280" s="12">
        <f t="shared" ref="AE280:AE288" si="269">IF(AQ280="7",BI280,0)</f>
        <v>0</v>
      </c>
      <c r="AF280" s="12">
        <f t="shared" ref="AF280:AF288" si="270">IF(AQ280="2",BH280,0)</f>
        <v>0</v>
      </c>
      <c r="AG280" s="12">
        <f t="shared" ref="AG280:AG288" si="271">IF(AQ280="2",BI280,0)</f>
        <v>0</v>
      </c>
      <c r="AH280" s="12">
        <f t="shared" ref="AH280:AH288" si="272">IF(AQ280="0",BJ280,0)</f>
        <v>0</v>
      </c>
      <c r="AI280" s="10" t="s">
        <v>783</v>
      </c>
      <c r="AJ280" s="12">
        <f t="shared" ref="AJ280:AJ288" si="273">IF(AN280=0,L280,0)</f>
        <v>0</v>
      </c>
      <c r="AK280" s="12">
        <f t="shared" ref="AK280:AK288" si="274">IF(AN280=12,L280,0)</f>
        <v>0</v>
      </c>
      <c r="AL280" s="12" t="e">
        <f t="shared" ref="AL280:AL288" si="275">IF(AN280=21,L280,0)</f>
        <v>#REF!</v>
      </c>
      <c r="AN280" s="12">
        <v>21</v>
      </c>
      <c r="AO280" s="12" t="e">
        <f>H280*0</f>
        <v>#REF!</v>
      </c>
      <c r="AP280" s="12" t="e">
        <f>H280*(1-0)</f>
        <v>#REF!</v>
      </c>
      <c r="AQ280" s="49" t="s">
        <v>553</v>
      </c>
      <c r="AV280" s="12" t="e">
        <f t="shared" ref="AV280:AV288" si="276">AW280+AX280</f>
        <v>#REF!</v>
      </c>
      <c r="AW280" s="12" t="e">
        <f t="shared" ref="AW280:AW288" si="277">G280*AO280</f>
        <v>#REF!</v>
      </c>
      <c r="AX280" s="12" t="e">
        <f t="shared" ref="AX280:AX288" si="278">G280*AP280</f>
        <v>#REF!</v>
      </c>
      <c r="AY280" s="49" t="s">
        <v>574</v>
      </c>
      <c r="AZ280" s="49" t="s">
        <v>785</v>
      </c>
      <c r="BA280" s="10" t="s">
        <v>786</v>
      </c>
      <c r="BC280" s="12" t="e">
        <f t="shared" ref="BC280:BC288" si="279">AW280+AX280</f>
        <v>#REF!</v>
      </c>
      <c r="BD280" s="12" t="e">
        <f t="shared" ref="BD280:BD288" si="280">H280/(100-BE280)*100</f>
        <v>#REF!</v>
      </c>
      <c r="BE280" s="12">
        <v>0</v>
      </c>
      <c r="BF280" s="12" t="e">
        <f t="shared" ref="BF280:BF288" si="281">O280</f>
        <v>#REF!</v>
      </c>
      <c r="BH280" s="12" t="e">
        <f t="shared" ref="BH280:BH288" si="282">G280*AO280</f>
        <v>#REF!</v>
      </c>
      <c r="BI280" s="12" t="e">
        <f t="shared" ref="BI280:BI288" si="283">G280*AP280</f>
        <v>#REF!</v>
      </c>
      <c r="BJ280" s="12" t="e">
        <f t="shared" ref="BJ280:BJ288" si="284">G280*H280</f>
        <v>#REF!</v>
      </c>
      <c r="BK280" s="12"/>
      <c r="BL280" s="12">
        <v>0</v>
      </c>
      <c r="BW280" s="12" t="str">
        <f t="shared" ref="BW280:BW288" si="285">I280</f>
        <v>21</v>
      </c>
      <c r="BX280" s="3" t="s">
        <v>356</v>
      </c>
    </row>
    <row r="281" spans="1:76">
      <c r="A281" s="1" t="s">
        <v>787</v>
      </c>
      <c r="B281" s="2" t="s">
        <v>783</v>
      </c>
      <c r="C281" s="2" t="s">
        <v>107</v>
      </c>
      <c r="D281" s="349" t="s">
        <v>108</v>
      </c>
      <c r="E281" s="342"/>
      <c r="F281" s="2" t="s">
        <v>109</v>
      </c>
      <c r="G281" s="12" t="e">
        <f>#REF!</f>
        <v>#REF!</v>
      </c>
      <c r="H281" s="12" t="e">
        <f>#REF!</f>
        <v>#REF!</v>
      </c>
      <c r="I281" s="49" t="s">
        <v>554</v>
      </c>
      <c r="J281" s="12" t="e">
        <f t="shared" si="260"/>
        <v>#REF!</v>
      </c>
      <c r="K281" s="12" t="e">
        <f t="shared" si="261"/>
        <v>#REF!</v>
      </c>
      <c r="L281" s="12" t="e">
        <f t="shared" si="262"/>
        <v>#REF!</v>
      </c>
      <c r="M281" s="12" t="e">
        <f t="shared" si="263"/>
        <v>#REF!</v>
      </c>
      <c r="N281" s="12">
        <v>0</v>
      </c>
      <c r="O281" s="12" t="e">
        <f t="shared" si="264"/>
        <v>#REF!</v>
      </c>
      <c r="P281" s="50" t="s">
        <v>21</v>
      </c>
      <c r="Z281" s="12">
        <f t="shared" si="265"/>
        <v>0</v>
      </c>
      <c r="AB281" s="12" t="e">
        <f t="shared" si="266"/>
        <v>#REF!</v>
      </c>
      <c r="AC281" s="12" t="e">
        <f t="shared" si="267"/>
        <v>#REF!</v>
      </c>
      <c r="AD281" s="12">
        <f t="shared" si="268"/>
        <v>0</v>
      </c>
      <c r="AE281" s="12">
        <f t="shared" si="269"/>
        <v>0</v>
      </c>
      <c r="AF281" s="12">
        <f t="shared" si="270"/>
        <v>0</v>
      </c>
      <c r="AG281" s="12">
        <f t="shared" si="271"/>
        <v>0</v>
      </c>
      <c r="AH281" s="12">
        <f t="shared" si="272"/>
        <v>0</v>
      </c>
      <c r="AI281" s="10" t="s">
        <v>783</v>
      </c>
      <c r="AJ281" s="12">
        <f t="shared" si="273"/>
        <v>0</v>
      </c>
      <c r="AK281" s="12">
        <f t="shared" si="274"/>
        <v>0</v>
      </c>
      <c r="AL281" s="12" t="e">
        <f t="shared" si="275"/>
        <v>#REF!</v>
      </c>
      <c r="AN281" s="12">
        <v>21</v>
      </c>
      <c r="AO281" s="12" t="e">
        <f>H281*0</f>
        <v>#REF!</v>
      </c>
      <c r="AP281" s="12" t="e">
        <f>H281*(1-0)</f>
        <v>#REF!</v>
      </c>
      <c r="AQ281" s="49" t="s">
        <v>553</v>
      </c>
      <c r="AV281" s="12" t="e">
        <f t="shared" si="276"/>
        <v>#REF!</v>
      </c>
      <c r="AW281" s="12" t="e">
        <f t="shared" si="277"/>
        <v>#REF!</v>
      </c>
      <c r="AX281" s="12" t="e">
        <f t="shared" si="278"/>
        <v>#REF!</v>
      </c>
      <c r="AY281" s="49" t="s">
        <v>574</v>
      </c>
      <c r="AZ281" s="49" t="s">
        <v>785</v>
      </c>
      <c r="BA281" s="10" t="s">
        <v>786</v>
      </c>
      <c r="BC281" s="12" t="e">
        <f t="shared" si="279"/>
        <v>#REF!</v>
      </c>
      <c r="BD281" s="12" t="e">
        <f t="shared" si="280"/>
        <v>#REF!</v>
      </c>
      <c r="BE281" s="12">
        <v>0</v>
      </c>
      <c r="BF281" s="12" t="e">
        <f t="shared" si="281"/>
        <v>#REF!</v>
      </c>
      <c r="BH281" s="12" t="e">
        <f t="shared" si="282"/>
        <v>#REF!</v>
      </c>
      <c r="BI281" s="12" t="e">
        <f t="shared" si="283"/>
        <v>#REF!</v>
      </c>
      <c r="BJ281" s="12" t="e">
        <f t="shared" si="284"/>
        <v>#REF!</v>
      </c>
      <c r="BK281" s="12"/>
      <c r="BL281" s="12">
        <v>0</v>
      </c>
      <c r="BW281" s="12" t="str">
        <f t="shared" si="285"/>
        <v>21</v>
      </c>
      <c r="BX281" s="3" t="s">
        <v>108</v>
      </c>
    </row>
    <row r="282" spans="1:76" ht="25.5">
      <c r="A282" s="1" t="s">
        <v>788</v>
      </c>
      <c r="B282" s="2" t="s">
        <v>783</v>
      </c>
      <c r="C282" s="2" t="s">
        <v>110</v>
      </c>
      <c r="D282" s="349" t="s">
        <v>111</v>
      </c>
      <c r="E282" s="342"/>
      <c r="F282" s="2" t="s">
        <v>112</v>
      </c>
      <c r="G282" s="12" t="e">
        <f>#REF!</f>
        <v>#REF!</v>
      </c>
      <c r="H282" s="12" t="e">
        <f>#REF!</f>
        <v>#REF!</v>
      </c>
      <c r="I282" s="49" t="s">
        <v>554</v>
      </c>
      <c r="J282" s="12" t="e">
        <f t="shared" si="260"/>
        <v>#REF!</v>
      </c>
      <c r="K282" s="12" t="e">
        <f t="shared" si="261"/>
        <v>#REF!</v>
      </c>
      <c r="L282" s="12" t="e">
        <f t="shared" si="262"/>
        <v>#REF!</v>
      </c>
      <c r="M282" s="12" t="e">
        <f t="shared" si="263"/>
        <v>#REF!</v>
      </c>
      <c r="N282" s="12">
        <v>0</v>
      </c>
      <c r="O282" s="12" t="e">
        <f t="shared" si="264"/>
        <v>#REF!</v>
      </c>
      <c r="P282" s="50" t="s">
        <v>21</v>
      </c>
      <c r="Z282" s="12">
        <f t="shared" si="265"/>
        <v>0</v>
      </c>
      <c r="AB282" s="12" t="e">
        <f t="shared" si="266"/>
        <v>#REF!</v>
      </c>
      <c r="AC282" s="12" t="e">
        <f t="shared" si="267"/>
        <v>#REF!</v>
      </c>
      <c r="AD282" s="12">
        <f t="shared" si="268"/>
        <v>0</v>
      </c>
      <c r="AE282" s="12">
        <f t="shared" si="269"/>
        <v>0</v>
      </c>
      <c r="AF282" s="12">
        <f t="shared" si="270"/>
        <v>0</v>
      </c>
      <c r="AG282" s="12">
        <f t="shared" si="271"/>
        <v>0</v>
      </c>
      <c r="AH282" s="12">
        <f t="shared" si="272"/>
        <v>0</v>
      </c>
      <c r="AI282" s="10" t="s">
        <v>783</v>
      </c>
      <c r="AJ282" s="12">
        <f t="shared" si="273"/>
        <v>0</v>
      </c>
      <c r="AK282" s="12">
        <f t="shared" si="274"/>
        <v>0</v>
      </c>
      <c r="AL282" s="12" t="e">
        <f t="shared" si="275"/>
        <v>#REF!</v>
      </c>
      <c r="AN282" s="12">
        <v>21</v>
      </c>
      <c r="AO282" s="12" t="e">
        <f>H282*0.298352654</f>
        <v>#REF!</v>
      </c>
      <c r="AP282" s="12" t="e">
        <f>H282*(1-0.298352654)</f>
        <v>#REF!</v>
      </c>
      <c r="AQ282" s="49" t="s">
        <v>553</v>
      </c>
      <c r="AV282" s="12" t="e">
        <f t="shared" si="276"/>
        <v>#REF!</v>
      </c>
      <c r="AW282" s="12" t="e">
        <f t="shared" si="277"/>
        <v>#REF!</v>
      </c>
      <c r="AX282" s="12" t="e">
        <f t="shared" si="278"/>
        <v>#REF!</v>
      </c>
      <c r="AY282" s="49" t="s">
        <v>574</v>
      </c>
      <c r="AZ282" s="49" t="s">
        <v>785</v>
      </c>
      <c r="BA282" s="10" t="s">
        <v>786</v>
      </c>
      <c r="BC282" s="12" t="e">
        <f t="shared" si="279"/>
        <v>#REF!</v>
      </c>
      <c r="BD282" s="12" t="e">
        <f t="shared" si="280"/>
        <v>#REF!</v>
      </c>
      <c r="BE282" s="12">
        <v>0</v>
      </c>
      <c r="BF282" s="12" t="e">
        <f t="shared" si="281"/>
        <v>#REF!</v>
      </c>
      <c r="BH282" s="12" t="e">
        <f t="shared" si="282"/>
        <v>#REF!</v>
      </c>
      <c r="BI282" s="12" t="e">
        <f t="shared" si="283"/>
        <v>#REF!</v>
      </c>
      <c r="BJ282" s="12" t="e">
        <f t="shared" si="284"/>
        <v>#REF!</v>
      </c>
      <c r="BK282" s="12"/>
      <c r="BL282" s="12">
        <v>0</v>
      </c>
      <c r="BW282" s="12" t="str">
        <f t="shared" si="285"/>
        <v>21</v>
      </c>
      <c r="BX282" s="3" t="s">
        <v>111</v>
      </c>
    </row>
    <row r="283" spans="1:76">
      <c r="A283" s="1" t="s">
        <v>789</v>
      </c>
      <c r="B283" s="2" t="s">
        <v>783</v>
      </c>
      <c r="C283" s="2" t="s">
        <v>115</v>
      </c>
      <c r="D283" s="349" t="s">
        <v>116</v>
      </c>
      <c r="E283" s="342"/>
      <c r="F283" s="2" t="s">
        <v>58</v>
      </c>
      <c r="G283" s="12" t="e">
        <f>#REF!</f>
        <v>#REF!</v>
      </c>
      <c r="H283" s="12" t="e">
        <f>#REF!</f>
        <v>#REF!</v>
      </c>
      <c r="I283" s="49" t="s">
        <v>554</v>
      </c>
      <c r="J283" s="12" t="e">
        <f t="shared" si="260"/>
        <v>#REF!</v>
      </c>
      <c r="K283" s="12" t="e">
        <f t="shared" si="261"/>
        <v>#REF!</v>
      </c>
      <c r="L283" s="12" t="e">
        <f t="shared" si="262"/>
        <v>#REF!</v>
      </c>
      <c r="M283" s="12" t="e">
        <f t="shared" si="263"/>
        <v>#REF!</v>
      </c>
      <c r="N283" s="12">
        <v>0</v>
      </c>
      <c r="O283" s="12" t="e">
        <f t="shared" si="264"/>
        <v>#REF!</v>
      </c>
      <c r="P283" s="50" t="s">
        <v>605</v>
      </c>
      <c r="Z283" s="12">
        <f t="shared" si="265"/>
        <v>0</v>
      </c>
      <c r="AB283" s="12" t="e">
        <f t="shared" si="266"/>
        <v>#REF!</v>
      </c>
      <c r="AC283" s="12" t="e">
        <f t="shared" si="267"/>
        <v>#REF!</v>
      </c>
      <c r="AD283" s="12">
        <f t="shared" si="268"/>
        <v>0</v>
      </c>
      <c r="AE283" s="12">
        <f t="shared" si="269"/>
        <v>0</v>
      </c>
      <c r="AF283" s="12">
        <f t="shared" si="270"/>
        <v>0</v>
      </c>
      <c r="AG283" s="12">
        <f t="shared" si="271"/>
        <v>0</v>
      </c>
      <c r="AH283" s="12">
        <f t="shared" si="272"/>
        <v>0</v>
      </c>
      <c r="AI283" s="10" t="s">
        <v>783</v>
      </c>
      <c r="AJ283" s="12">
        <f t="shared" si="273"/>
        <v>0</v>
      </c>
      <c r="AK283" s="12">
        <f t="shared" si="274"/>
        <v>0</v>
      </c>
      <c r="AL283" s="12" t="e">
        <f t="shared" si="275"/>
        <v>#REF!</v>
      </c>
      <c r="AN283" s="12">
        <v>21</v>
      </c>
      <c r="AO283" s="12" t="e">
        <f>H283*0</f>
        <v>#REF!</v>
      </c>
      <c r="AP283" s="12" t="e">
        <f>H283*(1-0)</f>
        <v>#REF!</v>
      </c>
      <c r="AQ283" s="49" t="s">
        <v>553</v>
      </c>
      <c r="AV283" s="12" t="e">
        <f t="shared" si="276"/>
        <v>#REF!</v>
      </c>
      <c r="AW283" s="12" t="e">
        <f t="shared" si="277"/>
        <v>#REF!</v>
      </c>
      <c r="AX283" s="12" t="e">
        <f t="shared" si="278"/>
        <v>#REF!</v>
      </c>
      <c r="AY283" s="49" t="s">
        <v>574</v>
      </c>
      <c r="AZ283" s="49" t="s">
        <v>785</v>
      </c>
      <c r="BA283" s="10" t="s">
        <v>786</v>
      </c>
      <c r="BC283" s="12" t="e">
        <f t="shared" si="279"/>
        <v>#REF!</v>
      </c>
      <c r="BD283" s="12" t="e">
        <f t="shared" si="280"/>
        <v>#REF!</v>
      </c>
      <c r="BE283" s="12">
        <v>0</v>
      </c>
      <c r="BF283" s="12" t="e">
        <f t="shared" si="281"/>
        <v>#REF!</v>
      </c>
      <c r="BH283" s="12" t="e">
        <f t="shared" si="282"/>
        <v>#REF!</v>
      </c>
      <c r="BI283" s="12" t="e">
        <f t="shared" si="283"/>
        <v>#REF!</v>
      </c>
      <c r="BJ283" s="12" t="e">
        <f t="shared" si="284"/>
        <v>#REF!</v>
      </c>
      <c r="BK283" s="12"/>
      <c r="BL283" s="12">
        <v>0</v>
      </c>
      <c r="BW283" s="12" t="str">
        <f t="shared" si="285"/>
        <v>21</v>
      </c>
      <c r="BX283" s="3" t="s">
        <v>116</v>
      </c>
    </row>
    <row r="284" spans="1:76">
      <c r="A284" s="1" t="s">
        <v>790</v>
      </c>
      <c r="B284" s="2" t="s">
        <v>783</v>
      </c>
      <c r="C284" s="2" t="s">
        <v>119</v>
      </c>
      <c r="D284" s="349" t="s">
        <v>120</v>
      </c>
      <c r="E284" s="342"/>
      <c r="F284" s="2" t="s">
        <v>58</v>
      </c>
      <c r="G284" s="12" t="e">
        <f>#REF!</f>
        <v>#REF!</v>
      </c>
      <c r="H284" s="12" t="e">
        <f>#REF!</f>
        <v>#REF!</v>
      </c>
      <c r="I284" s="49" t="s">
        <v>554</v>
      </c>
      <c r="J284" s="12" t="e">
        <f t="shared" si="260"/>
        <v>#REF!</v>
      </c>
      <c r="K284" s="12" t="e">
        <f t="shared" si="261"/>
        <v>#REF!</v>
      </c>
      <c r="L284" s="12" t="e">
        <f t="shared" si="262"/>
        <v>#REF!</v>
      </c>
      <c r="M284" s="12" t="e">
        <f t="shared" si="263"/>
        <v>#REF!</v>
      </c>
      <c r="N284" s="12">
        <v>0</v>
      </c>
      <c r="O284" s="12" t="e">
        <f t="shared" si="264"/>
        <v>#REF!</v>
      </c>
      <c r="P284" s="50" t="s">
        <v>605</v>
      </c>
      <c r="Z284" s="12">
        <f t="shared" si="265"/>
        <v>0</v>
      </c>
      <c r="AB284" s="12" t="e">
        <f t="shared" si="266"/>
        <v>#REF!</v>
      </c>
      <c r="AC284" s="12" t="e">
        <f t="shared" si="267"/>
        <v>#REF!</v>
      </c>
      <c r="AD284" s="12">
        <f t="shared" si="268"/>
        <v>0</v>
      </c>
      <c r="AE284" s="12">
        <f t="shared" si="269"/>
        <v>0</v>
      </c>
      <c r="AF284" s="12">
        <f t="shared" si="270"/>
        <v>0</v>
      </c>
      <c r="AG284" s="12">
        <f t="shared" si="271"/>
        <v>0</v>
      </c>
      <c r="AH284" s="12">
        <f t="shared" si="272"/>
        <v>0</v>
      </c>
      <c r="AI284" s="10" t="s">
        <v>783</v>
      </c>
      <c r="AJ284" s="12">
        <f t="shared" si="273"/>
        <v>0</v>
      </c>
      <c r="AK284" s="12">
        <f t="shared" si="274"/>
        <v>0</v>
      </c>
      <c r="AL284" s="12" t="e">
        <f t="shared" si="275"/>
        <v>#REF!</v>
      </c>
      <c r="AN284" s="12">
        <v>21</v>
      </c>
      <c r="AO284" s="12" t="e">
        <f>H284*0</f>
        <v>#REF!</v>
      </c>
      <c r="AP284" s="12" t="e">
        <f>H284*(1-0)</f>
        <v>#REF!</v>
      </c>
      <c r="AQ284" s="49" t="s">
        <v>553</v>
      </c>
      <c r="AV284" s="12" t="e">
        <f t="shared" si="276"/>
        <v>#REF!</v>
      </c>
      <c r="AW284" s="12" t="e">
        <f t="shared" si="277"/>
        <v>#REF!</v>
      </c>
      <c r="AX284" s="12" t="e">
        <f t="shared" si="278"/>
        <v>#REF!</v>
      </c>
      <c r="AY284" s="49" t="s">
        <v>574</v>
      </c>
      <c r="AZ284" s="49" t="s">
        <v>785</v>
      </c>
      <c r="BA284" s="10" t="s">
        <v>786</v>
      </c>
      <c r="BC284" s="12" t="e">
        <f t="shared" si="279"/>
        <v>#REF!</v>
      </c>
      <c r="BD284" s="12" t="e">
        <f t="shared" si="280"/>
        <v>#REF!</v>
      </c>
      <c r="BE284" s="12">
        <v>0</v>
      </c>
      <c r="BF284" s="12" t="e">
        <f t="shared" si="281"/>
        <v>#REF!</v>
      </c>
      <c r="BH284" s="12" t="e">
        <f t="shared" si="282"/>
        <v>#REF!</v>
      </c>
      <c r="BI284" s="12" t="e">
        <f t="shared" si="283"/>
        <v>#REF!</v>
      </c>
      <c r="BJ284" s="12" t="e">
        <f t="shared" si="284"/>
        <v>#REF!</v>
      </c>
      <c r="BK284" s="12"/>
      <c r="BL284" s="12">
        <v>0</v>
      </c>
      <c r="BW284" s="12" t="str">
        <f t="shared" si="285"/>
        <v>21</v>
      </c>
      <c r="BX284" s="3" t="s">
        <v>120</v>
      </c>
    </row>
    <row r="285" spans="1:76">
      <c r="A285" s="1" t="s">
        <v>791</v>
      </c>
      <c r="B285" s="2" t="s">
        <v>783</v>
      </c>
      <c r="C285" s="2" t="s">
        <v>71</v>
      </c>
      <c r="D285" s="349" t="s">
        <v>72</v>
      </c>
      <c r="E285" s="342"/>
      <c r="F285" s="2" t="s">
        <v>58</v>
      </c>
      <c r="G285" s="12" t="e">
        <f>#REF!</f>
        <v>#REF!</v>
      </c>
      <c r="H285" s="12" t="e">
        <f>#REF!</f>
        <v>#REF!</v>
      </c>
      <c r="I285" s="49" t="s">
        <v>554</v>
      </c>
      <c r="J285" s="12" t="e">
        <f t="shared" si="260"/>
        <v>#REF!</v>
      </c>
      <c r="K285" s="12" t="e">
        <f t="shared" si="261"/>
        <v>#REF!</v>
      </c>
      <c r="L285" s="12" t="e">
        <f t="shared" si="262"/>
        <v>#REF!</v>
      </c>
      <c r="M285" s="12" t="e">
        <f t="shared" si="263"/>
        <v>#REF!</v>
      </c>
      <c r="N285" s="12">
        <v>3.8999999999999999E-4</v>
      </c>
      <c r="O285" s="12" t="e">
        <f t="shared" si="264"/>
        <v>#REF!</v>
      </c>
      <c r="P285" s="50" t="s">
        <v>577</v>
      </c>
      <c r="Z285" s="12">
        <f t="shared" si="265"/>
        <v>0</v>
      </c>
      <c r="AB285" s="12" t="e">
        <f t="shared" si="266"/>
        <v>#REF!</v>
      </c>
      <c r="AC285" s="12" t="e">
        <f t="shared" si="267"/>
        <v>#REF!</v>
      </c>
      <c r="AD285" s="12">
        <f t="shared" si="268"/>
        <v>0</v>
      </c>
      <c r="AE285" s="12">
        <f t="shared" si="269"/>
        <v>0</v>
      </c>
      <c r="AF285" s="12">
        <f t="shared" si="270"/>
        <v>0</v>
      </c>
      <c r="AG285" s="12">
        <f t="shared" si="271"/>
        <v>0</v>
      </c>
      <c r="AH285" s="12">
        <f t="shared" si="272"/>
        <v>0</v>
      </c>
      <c r="AI285" s="10" t="s">
        <v>783</v>
      </c>
      <c r="AJ285" s="12">
        <f t="shared" si="273"/>
        <v>0</v>
      </c>
      <c r="AK285" s="12">
        <f t="shared" si="274"/>
        <v>0</v>
      </c>
      <c r="AL285" s="12" t="e">
        <f t="shared" si="275"/>
        <v>#REF!</v>
      </c>
      <c r="AN285" s="12">
        <v>21</v>
      </c>
      <c r="AO285" s="12" t="e">
        <f>H285*0.615509036</f>
        <v>#REF!</v>
      </c>
      <c r="AP285" s="12" t="e">
        <f>H285*(1-0.615509036)</f>
        <v>#REF!</v>
      </c>
      <c r="AQ285" s="49" t="s">
        <v>553</v>
      </c>
      <c r="AV285" s="12" t="e">
        <f t="shared" si="276"/>
        <v>#REF!</v>
      </c>
      <c r="AW285" s="12" t="e">
        <f t="shared" si="277"/>
        <v>#REF!</v>
      </c>
      <c r="AX285" s="12" t="e">
        <f t="shared" si="278"/>
        <v>#REF!</v>
      </c>
      <c r="AY285" s="49" t="s">
        <v>574</v>
      </c>
      <c r="AZ285" s="49" t="s">
        <v>785</v>
      </c>
      <c r="BA285" s="10" t="s">
        <v>786</v>
      </c>
      <c r="BC285" s="12" t="e">
        <f t="shared" si="279"/>
        <v>#REF!</v>
      </c>
      <c r="BD285" s="12" t="e">
        <f t="shared" si="280"/>
        <v>#REF!</v>
      </c>
      <c r="BE285" s="12">
        <v>0</v>
      </c>
      <c r="BF285" s="12" t="e">
        <f t="shared" si="281"/>
        <v>#REF!</v>
      </c>
      <c r="BH285" s="12" t="e">
        <f t="shared" si="282"/>
        <v>#REF!</v>
      </c>
      <c r="BI285" s="12" t="e">
        <f t="shared" si="283"/>
        <v>#REF!</v>
      </c>
      <c r="BJ285" s="12" t="e">
        <f t="shared" si="284"/>
        <v>#REF!</v>
      </c>
      <c r="BK285" s="12"/>
      <c r="BL285" s="12">
        <v>0</v>
      </c>
      <c r="BW285" s="12" t="str">
        <f t="shared" si="285"/>
        <v>21</v>
      </c>
      <c r="BX285" s="3" t="s">
        <v>72</v>
      </c>
    </row>
    <row r="286" spans="1:76">
      <c r="A286" s="1" t="s">
        <v>792</v>
      </c>
      <c r="B286" s="2" t="s">
        <v>783</v>
      </c>
      <c r="C286" s="2" t="s">
        <v>66</v>
      </c>
      <c r="D286" s="349" t="s">
        <v>67</v>
      </c>
      <c r="E286" s="342"/>
      <c r="F286" s="2" t="s">
        <v>68</v>
      </c>
      <c r="G286" s="12" t="e">
        <f>#REF!</f>
        <v>#REF!</v>
      </c>
      <c r="H286" s="12" t="e">
        <f>#REF!</f>
        <v>#REF!</v>
      </c>
      <c r="I286" s="49" t="s">
        <v>554</v>
      </c>
      <c r="J286" s="12" t="e">
        <f t="shared" si="260"/>
        <v>#REF!</v>
      </c>
      <c r="K286" s="12" t="e">
        <f t="shared" si="261"/>
        <v>#REF!</v>
      </c>
      <c r="L286" s="12" t="e">
        <f t="shared" si="262"/>
        <v>#REF!</v>
      </c>
      <c r="M286" s="12" t="e">
        <f t="shared" si="263"/>
        <v>#REF!</v>
      </c>
      <c r="N286" s="12">
        <v>0</v>
      </c>
      <c r="O286" s="12" t="e">
        <f t="shared" si="264"/>
        <v>#REF!</v>
      </c>
      <c r="P286" s="50" t="s">
        <v>577</v>
      </c>
      <c r="Z286" s="12">
        <f t="shared" si="265"/>
        <v>0</v>
      </c>
      <c r="AB286" s="12" t="e">
        <f t="shared" si="266"/>
        <v>#REF!</v>
      </c>
      <c r="AC286" s="12" t="e">
        <f t="shared" si="267"/>
        <v>#REF!</v>
      </c>
      <c r="AD286" s="12">
        <f t="shared" si="268"/>
        <v>0</v>
      </c>
      <c r="AE286" s="12">
        <f t="shared" si="269"/>
        <v>0</v>
      </c>
      <c r="AF286" s="12">
        <f t="shared" si="270"/>
        <v>0</v>
      </c>
      <c r="AG286" s="12">
        <f t="shared" si="271"/>
        <v>0</v>
      </c>
      <c r="AH286" s="12">
        <f t="shared" si="272"/>
        <v>0</v>
      </c>
      <c r="AI286" s="10" t="s">
        <v>783</v>
      </c>
      <c r="AJ286" s="12">
        <f t="shared" si="273"/>
        <v>0</v>
      </c>
      <c r="AK286" s="12">
        <f t="shared" si="274"/>
        <v>0</v>
      </c>
      <c r="AL286" s="12" t="e">
        <f t="shared" si="275"/>
        <v>#REF!</v>
      </c>
      <c r="AN286" s="12">
        <v>21</v>
      </c>
      <c r="AO286" s="12" t="e">
        <f>H286*0</f>
        <v>#REF!</v>
      </c>
      <c r="AP286" s="12" t="e">
        <f>H286*(1-0)</f>
        <v>#REF!</v>
      </c>
      <c r="AQ286" s="49" t="s">
        <v>553</v>
      </c>
      <c r="AV286" s="12" t="e">
        <f t="shared" si="276"/>
        <v>#REF!</v>
      </c>
      <c r="AW286" s="12" t="e">
        <f t="shared" si="277"/>
        <v>#REF!</v>
      </c>
      <c r="AX286" s="12" t="e">
        <f t="shared" si="278"/>
        <v>#REF!</v>
      </c>
      <c r="AY286" s="49" t="s">
        <v>574</v>
      </c>
      <c r="AZ286" s="49" t="s">
        <v>785</v>
      </c>
      <c r="BA286" s="10" t="s">
        <v>786</v>
      </c>
      <c r="BC286" s="12" t="e">
        <f t="shared" si="279"/>
        <v>#REF!</v>
      </c>
      <c r="BD286" s="12" t="e">
        <f t="shared" si="280"/>
        <v>#REF!</v>
      </c>
      <c r="BE286" s="12">
        <v>0</v>
      </c>
      <c r="BF286" s="12" t="e">
        <f t="shared" si="281"/>
        <v>#REF!</v>
      </c>
      <c r="BH286" s="12" t="e">
        <f t="shared" si="282"/>
        <v>#REF!</v>
      </c>
      <c r="BI286" s="12" t="e">
        <f t="shared" si="283"/>
        <v>#REF!</v>
      </c>
      <c r="BJ286" s="12" t="e">
        <f t="shared" si="284"/>
        <v>#REF!</v>
      </c>
      <c r="BK286" s="12"/>
      <c r="BL286" s="12">
        <v>0</v>
      </c>
      <c r="BW286" s="12" t="str">
        <f t="shared" si="285"/>
        <v>21</v>
      </c>
      <c r="BX286" s="3" t="s">
        <v>67</v>
      </c>
    </row>
    <row r="287" spans="1:76">
      <c r="A287" s="1" t="s">
        <v>793</v>
      </c>
      <c r="B287" s="2" t="s">
        <v>783</v>
      </c>
      <c r="C287" s="2" t="s">
        <v>124</v>
      </c>
      <c r="D287" s="349" t="s">
        <v>125</v>
      </c>
      <c r="E287" s="342"/>
      <c r="F287" s="2" t="s">
        <v>123</v>
      </c>
      <c r="G287" s="12" t="e">
        <f>#REF!</f>
        <v>#REF!</v>
      </c>
      <c r="H287" s="12" t="e">
        <f>#REF!</f>
        <v>#REF!</v>
      </c>
      <c r="I287" s="49" t="s">
        <v>554</v>
      </c>
      <c r="J287" s="12" t="e">
        <f t="shared" si="260"/>
        <v>#REF!</v>
      </c>
      <c r="K287" s="12" t="e">
        <f t="shared" si="261"/>
        <v>#REF!</v>
      </c>
      <c r="L287" s="12" t="e">
        <f t="shared" si="262"/>
        <v>#REF!</v>
      </c>
      <c r="M287" s="12" t="e">
        <f t="shared" si="263"/>
        <v>#REF!</v>
      </c>
      <c r="N287" s="12">
        <v>0</v>
      </c>
      <c r="O287" s="12" t="e">
        <f t="shared" si="264"/>
        <v>#REF!</v>
      </c>
      <c r="P287" s="50" t="s">
        <v>577</v>
      </c>
      <c r="Z287" s="12" t="e">
        <f t="shared" si="265"/>
        <v>#REF!</v>
      </c>
      <c r="AB287" s="12">
        <f t="shared" si="266"/>
        <v>0</v>
      </c>
      <c r="AC287" s="12">
        <f t="shared" si="267"/>
        <v>0</v>
      </c>
      <c r="AD287" s="12">
        <f t="shared" si="268"/>
        <v>0</v>
      </c>
      <c r="AE287" s="12">
        <f t="shared" si="269"/>
        <v>0</v>
      </c>
      <c r="AF287" s="12">
        <f t="shared" si="270"/>
        <v>0</v>
      </c>
      <c r="AG287" s="12">
        <f t="shared" si="271"/>
        <v>0</v>
      </c>
      <c r="AH287" s="12">
        <f t="shared" si="272"/>
        <v>0</v>
      </c>
      <c r="AI287" s="10" t="s">
        <v>783</v>
      </c>
      <c r="AJ287" s="12">
        <f t="shared" si="273"/>
        <v>0</v>
      </c>
      <c r="AK287" s="12">
        <f t="shared" si="274"/>
        <v>0</v>
      </c>
      <c r="AL287" s="12" t="e">
        <f t="shared" si="275"/>
        <v>#REF!</v>
      </c>
      <c r="AN287" s="12">
        <v>21</v>
      </c>
      <c r="AO287" s="12" t="e">
        <f>H287*0</f>
        <v>#REF!</v>
      </c>
      <c r="AP287" s="12" t="e">
        <f>H287*(1-0)</f>
        <v>#REF!</v>
      </c>
      <c r="AQ287" s="49" t="s">
        <v>564</v>
      </c>
      <c r="AV287" s="12" t="e">
        <f t="shared" si="276"/>
        <v>#REF!</v>
      </c>
      <c r="AW287" s="12" t="e">
        <f t="shared" si="277"/>
        <v>#REF!</v>
      </c>
      <c r="AX287" s="12" t="e">
        <f t="shared" si="278"/>
        <v>#REF!</v>
      </c>
      <c r="AY287" s="49" t="s">
        <v>574</v>
      </c>
      <c r="AZ287" s="49" t="s">
        <v>785</v>
      </c>
      <c r="BA287" s="10" t="s">
        <v>786</v>
      </c>
      <c r="BC287" s="12" t="e">
        <f t="shared" si="279"/>
        <v>#REF!</v>
      </c>
      <c r="BD287" s="12" t="e">
        <f t="shared" si="280"/>
        <v>#REF!</v>
      </c>
      <c r="BE287" s="12">
        <v>0</v>
      </c>
      <c r="BF287" s="12" t="e">
        <f t="shared" si="281"/>
        <v>#REF!</v>
      </c>
      <c r="BH287" s="12" t="e">
        <f t="shared" si="282"/>
        <v>#REF!</v>
      </c>
      <c r="BI287" s="12" t="e">
        <f t="shared" si="283"/>
        <v>#REF!</v>
      </c>
      <c r="BJ287" s="12" t="e">
        <f t="shared" si="284"/>
        <v>#REF!</v>
      </c>
      <c r="BK287" s="12"/>
      <c r="BL287" s="12">
        <v>0</v>
      </c>
      <c r="BW287" s="12" t="str">
        <f t="shared" si="285"/>
        <v>21</v>
      </c>
      <c r="BX287" s="3" t="s">
        <v>125</v>
      </c>
    </row>
    <row r="288" spans="1:76">
      <c r="A288" s="1" t="s">
        <v>794</v>
      </c>
      <c r="B288" s="2" t="s">
        <v>783</v>
      </c>
      <c r="C288" s="2" t="s">
        <v>121</v>
      </c>
      <c r="D288" s="349" t="s">
        <v>122</v>
      </c>
      <c r="E288" s="342"/>
      <c r="F288" s="2" t="s">
        <v>123</v>
      </c>
      <c r="G288" s="12" t="e">
        <f>#REF!</f>
        <v>#REF!</v>
      </c>
      <c r="H288" s="12" t="e">
        <f>#REF!</f>
        <v>#REF!</v>
      </c>
      <c r="I288" s="49" t="s">
        <v>554</v>
      </c>
      <c r="J288" s="12" t="e">
        <f t="shared" si="260"/>
        <v>#REF!</v>
      </c>
      <c r="K288" s="12" t="e">
        <f t="shared" si="261"/>
        <v>#REF!</v>
      </c>
      <c r="L288" s="12" t="e">
        <f t="shared" si="262"/>
        <v>#REF!</v>
      </c>
      <c r="M288" s="12" t="e">
        <f t="shared" si="263"/>
        <v>#REF!</v>
      </c>
      <c r="N288" s="12">
        <v>0</v>
      </c>
      <c r="O288" s="12" t="e">
        <f t="shared" si="264"/>
        <v>#REF!</v>
      </c>
      <c r="P288" s="50" t="s">
        <v>577</v>
      </c>
      <c r="Z288" s="12" t="e">
        <f t="shared" si="265"/>
        <v>#REF!</v>
      </c>
      <c r="AB288" s="12">
        <f t="shared" si="266"/>
        <v>0</v>
      </c>
      <c r="AC288" s="12">
        <f t="shared" si="267"/>
        <v>0</v>
      </c>
      <c r="AD288" s="12">
        <f t="shared" si="268"/>
        <v>0</v>
      </c>
      <c r="AE288" s="12">
        <f t="shared" si="269"/>
        <v>0</v>
      </c>
      <c r="AF288" s="12">
        <f t="shared" si="270"/>
        <v>0</v>
      </c>
      <c r="AG288" s="12">
        <f t="shared" si="271"/>
        <v>0</v>
      </c>
      <c r="AH288" s="12">
        <f t="shared" si="272"/>
        <v>0</v>
      </c>
      <c r="AI288" s="10" t="s">
        <v>783</v>
      </c>
      <c r="AJ288" s="12">
        <f t="shared" si="273"/>
        <v>0</v>
      </c>
      <c r="AK288" s="12">
        <f t="shared" si="274"/>
        <v>0</v>
      </c>
      <c r="AL288" s="12" t="e">
        <f t="shared" si="275"/>
        <v>#REF!</v>
      </c>
      <c r="AN288" s="12">
        <v>21</v>
      </c>
      <c r="AO288" s="12" t="e">
        <f>H288*0</f>
        <v>#REF!</v>
      </c>
      <c r="AP288" s="12" t="e">
        <f>H288*(1-0)</f>
        <v>#REF!</v>
      </c>
      <c r="AQ288" s="49" t="s">
        <v>564</v>
      </c>
      <c r="AV288" s="12" t="e">
        <f t="shared" si="276"/>
        <v>#REF!</v>
      </c>
      <c r="AW288" s="12" t="e">
        <f t="shared" si="277"/>
        <v>#REF!</v>
      </c>
      <c r="AX288" s="12" t="e">
        <f t="shared" si="278"/>
        <v>#REF!</v>
      </c>
      <c r="AY288" s="49" t="s">
        <v>574</v>
      </c>
      <c r="AZ288" s="49" t="s">
        <v>785</v>
      </c>
      <c r="BA288" s="10" t="s">
        <v>786</v>
      </c>
      <c r="BC288" s="12" t="e">
        <f t="shared" si="279"/>
        <v>#REF!</v>
      </c>
      <c r="BD288" s="12" t="e">
        <f t="shared" si="280"/>
        <v>#REF!</v>
      </c>
      <c r="BE288" s="12">
        <v>0</v>
      </c>
      <c r="BF288" s="12" t="e">
        <f t="shared" si="281"/>
        <v>#REF!</v>
      </c>
      <c r="BH288" s="12" t="e">
        <f t="shared" si="282"/>
        <v>#REF!</v>
      </c>
      <c r="BI288" s="12" t="e">
        <f t="shared" si="283"/>
        <v>#REF!</v>
      </c>
      <c r="BJ288" s="12" t="e">
        <f t="shared" si="284"/>
        <v>#REF!</v>
      </c>
      <c r="BK288" s="12"/>
      <c r="BL288" s="12">
        <v>0</v>
      </c>
      <c r="BW288" s="12" t="str">
        <f t="shared" si="285"/>
        <v>21</v>
      </c>
      <c r="BX288" s="3" t="s">
        <v>122</v>
      </c>
    </row>
    <row r="289" spans="1:76">
      <c r="A289" s="46" t="s">
        <v>21</v>
      </c>
      <c r="B289" s="9" t="s">
        <v>783</v>
      </c>
      <c r="C289" s="9" t="s">
        <v>59</v>
      </c>
      <c r="D289" s="359" t="s">
        <v>60</v>
      </c>
      <c r="E289" s="360"/>
      <c r="F289" s="47" t="s">
        <v>20</v>
      </c>
      <c r="G289" s="47" t="s">
        <v>20</v>
      </c>
      <c r="H289" s="47" t="s">
        <v>20</v>
      </c>
      <c r="I289" s="47" t="s">
        <v>20</v>
      </c>
      <c r="J289" s="11" t="e">
        <f>SUM(J290:J290)</f>
        <v>#REF!</v>
      </c>
      <c r="K289" s="11" t="e">
        <f>SUM(K290:K290)</f>
        <v>#REF!</v>
      </c>
      <c r="L289" s="11" t="e">
        <f>SUM(L290:L290)</f>
        <v>#REF!</v>
      </c>
      <c r="M289" s="11" t="e">
        <f>SUM(M290:M290)</f>
        <v>#REF!</v>
      </c>
      <c r="N289" s="10" t="s">
        <v>21</v>
      </c>
      <c r="O289" s="11" t="e">
        <f>SUM(O290:O290)</f>
        <v>#REF!</v>
      </c>
      <c r="P289" s="48" t="s">
        <v>21</v>
      </c>
      <c r="AI289" s="10" t="s">
        <v>783</v>
      </c>
      <c r="AS289" s="11">
        <f>SUM(AJ290:AJ290)</f>
        <v>0</v>
      </c>
      <c r="AT289" s="11">
        <f>SUM(AK290:AK290)</f>
        <v>0</v>
      </c>
      <c r="AU289" s="11" t="e">
        <f>SUM(AL290:AL290)</f>
        <v>#REF!</v>
      </c>
    </row>
    <row r="290" spans="1:76">
      <c r="A290" s="1" t="s">
        <v>795</v>
      </c>
      <c r="B290" s="2" t="s">
        <v>783</v>
      </c>
      <c r="C290" s="2" t="s">
        <v>61</v>
      </c>
      <c r="D290" s="349" t="s">
        <v>62</v>
      </c>
      <c r="E290" s="342"/>
      <c r="F290" s="2" t="s">
        <v>63</v>
      </c>
      <c r="G290" s="12" t="e">
        <f>#REF!</f>
        <v>#REF!</v>
      </c>
      <c r="H290" s="12" t="e">
        <f>#REF!</f>
        <v>#REF!</v>
      </c>
      <c r="I290" s="49" t="s">
        <v>554</v>
      </c>
      <c r="J290" s="12" t="e">
        <f>G290*AO290</f>
        <v>#REF!</v>
      </c>
      <c r="K290" s="12" t="e">
        <f>G290*AP290</f>
        <v>#REF!</v>
      </c>
      <c r="L290" s="12" t="e">
        <f>G290*H290</f>
        <v>#REF!</v>
      </c>
      <c r="M290" s="12" t="e">
        <f>L290*(1+BW290/100)</f>
        <v>#REF!</v>
      </c>
      <c r="N290" s="12">
        <v>2.0999999999999999E-3</v>
      </c>
      <c r="O290" s="12" t="e">
        <f>G290*N290</f>
        <v>#REF!</v>
      </c>
      <c r="P290" s="50" t="s">
        <v>577</v>
      </c>
      <c r="Z290" s="12">
        <f>IF(AQ290="5",BJ290,0)</f>
        <v>0</v>
      </c>
      <c r="AB290" s="12">
        <f>IF(AQ290="1",BH290,0)</f>
        <v>0</v>
      </c>
      <c r="AC290" s="12">
        <f>IF(AQ290="1",BI290,0)</f>
        <v>0</v>
      </c>
      <c r="AD290" s="12" t="e">
        <f>IF(AQ290="7",BH290,0)</f>
        <v>#REF!</v>
      </c>
      <c r="AE290" s="12" t="e">
        <f>IF(AQ290="7",BI290,0)</f>
        <v>#REF!</v>
      </c>
      <c r="AF290" s="12">
        <f>IF(AQ290="2",BH290,0)</f>
        <v>0</v>
      </c>
      <c r="AG290" s="12">
        <f>IF(AQ290="2",BI290,0)</f>
        <v>0</v>
      </c>
      <c r="AH290" s="12">
        <f>IF(AQ290="0",BJ290,0)</f>
        <v>0</v>
      </c>
      <c r="AI290" s="10" t="s">
        <v>783</v>
      </c>
      <c r="AJ290" s="12">
        <f>IF(AN290=0,L290,0)</f>
        <v>0</v>
      </c>
      <c r="AK290" s="12">
        <f>IF(AN290=12,L290,0)</f>
        <v>0</v>
      </c>
      <c r="AL290" s="12" t="e">
        <f>IF(AN290=21,L290,0)</f>
        <v>#REF!</v>
      </c>
      <c r="AN290" s="12">
        <v>21</v>
      </c>
      <c r="AO290" s="12" t="e">
        <f>H290*0</f>
        <v>#REF!</v>
      </c>
      <c r="AP290" s="12" t="e">
        <f>H290*(1-0)</f>
        <v>#REF!</v>
      </c>
      <c r="AQ290" s="49" t="s">
        <v>567</v>
      </c>
      <c r="AV290" s="12" t="e">
        <f>AW290+AX290</f>
        <v>#REF!</v>
      </c>
      <c r="AW290" s="12" t="e">
        <f>G290*AO290</f>
        <v>#REF!</v>
      </c>
      <c r="AX290" s="12" t="e">
        <f>G290*AP290</f>
        <v>#REF!</v>
      </c>
      <c r="AY290" s="49" t="s">
        <v>578</v>
      </c>
      <c r="AZ290" s="49" t="s">
        <v>796</v>
      </c>
      <c r="BA290" s="10" t="s">
        <v>786</v>
      </c>
      <c r="BC290" s="12" t="e">
        <f>AW290+AX290</f>
        <v>#REF!</v>
      </c>
      <c r="BD290" s="12" t="e">
        <f>H290/(100-BE290)*100</f>
        <v>#REF!</v>
      </c>
      <c r="BE290" s="12">
        <v>0</v>
      </c>
      <c r="BF290" s="12" t="e">
        <f>O290</f>
        <v>#REF!</v>
      </c>
      <c r="BH290" s="12" t="e">
        <f>G290*AO290</f>
        <v>#REF!</v>
      </c>
      <c r="BI290" s="12" t="e">
        <f>G290*AP290</f>
        <v>#REF!</v>
      </c>
      <c r="BJ290" s="12" t="e">
        <f>G290*H290</f>
        <v>#REF!</v>
      </c>
      <c r="BK290" s="12"/>
      <c r="BL290" s="12">
        <v>713</v>
      </c>
      <c r="BW290" s="12" t="str">
        <f>I290</f>
        <v>21</v>
      </c>
      <c r="BX290" s="3" t="s">
        <v>62</v>
      </c>
    </row>
    <row r="291" spans="1:76">
      <c r="A291" s="46" t="s">
        <v>21</v>
      </c>
      <c r="B291" s="9" t="s">
        <v>783</v>
      </c>
      <c r="C291" s="9" t="s">
        <v>126</v>
      </c>
      <c r="D291" s="359" t="s">
        <v>127</v>
      </c>
      <c r="E291" s="360"/>
      <c r="F291" s="47" t="s">
        <v>20</v>
      </c>
      <c r="G291" s="47" t="s">
        <v>20</v>
      </c>
      <c r="H291" s="47" t="s">
        <v>20</v>
      </c>
      <c r="I291" s="47" t="s">
        <v>20</v>
      </c>
      <c r="J291" s="11" t="e">
        <f>SUM(J292:J306)</f>
        <v>#REF!</v>
      </c>
      <c r="K291" s="11" t="e">
        <f>SUM(K292:K306)</f>
        <v>#REF!</v>
      </c>
      <c r="L291" s="11" t="e">
        <f>SUM(L292:L306)</f>
        <v>#REF!</v>
      </c>
      <c r="M291" s="11" t="e">
        <f>SUM(M292:M306)</f>
        <v>#REF!</v>
      </c>
      <c r="N291" s="10" t="s">
        <v>21</v>
      </c>
      <c r="O291" s="11" t="e">
        <f>SUM(O292:O306)</f>
        <v>#REF!</v>
      </c>
      <c r="P291" s="48" t="s">
        <v>21</v>
      </c>
      <c r="AI291" s="10" t="s">
        <v>783</v>
      </c>
      <c r="AS291" s="11">
        <f>SUM(AJ292:AJ306)</f>
        <v>0</v>
      </c>
      <c r="AT291" s="11">
        <f>SUM(AK292:AK306)</f>
        <v>0</v>
      </c>
      <c r="AU291" s="11" t="e">
        <f>SUM(AL292:AL306)</f>
        <v>#REF!</v>
      </c>
    </row>
    <row r="292" spans="1:76">
      <c r="A292" s="1" t="s">
        <v>797</v>
      </c>
      <c r="B292" s="2" t="s">
        <v>783</v>
      </c>
      <c r="C292" s="2" t="s">
        <v>357</v>
      </c>
      <c r="D292" s="349" t="s">
        <v>358</v>
      </c>
      <c r="E292" s="342"/>
      <c r="F292" s="2" t="s">
        <v>68</v>
      </c>
      <c r="G292" s="12" t="e">
        <f>#REF!</f>
        <v>#REF!</v>
      </c>
      <c r="H292" s="12" t="e">
        <f>#REF!</f>
        <v>#REF!</v>
      </c>
      <c r="I292" s="49" t="s">
        <v>554</v>
      </c>
      <c r="J292" s="12" t="e">
        <f>G292*AO292</f>
        <v>#REF!</v>
      </c>
      <c r="K292" s="12" t="e">
        <f>G292*AP292</f>
        <v>#REF!</v>
      </c>
      <c r="L292" s="12" t="e">
        <f>G292*H292</f>
        <v>#REF!</v>
      </c>
      <c r="M292" s="12" t="e">
        <f>L292*(1+BW292/100)</f>
        <v>#REF!</v>
      </c>
      <c r="N292" s="12">
        <v>2.4399999999999999E-3</v>
      </c>
      <c r="O292" s="12" t="e">
        <f>G292*N292</f>
        <v>#REF!</v>
      </c>
      <c r="P292" s="50" t="s">
        <v>577</v>
      </c>
      <c r="Z292" s="12">
        <f>IF(AQ292="5",BJ292,0)</f>
        <v>0</v>
      </c>
      <c r="AB292" s="12">
        <f>IF(AQ292="1",BH292,0)</f>
        <v>0</v>
      </c>
      <c r="AC292" s="12">
        <f>IF(AQ292="1",BI292,0)</f>
        <v>0</v>
      </c>
      <c r="AD292" s="12" t="e">
        <f>IF(AQ292="7",BH292,0)</f>
        <v>#REF!</v>
      </c>
      <c r="AE292" s="12" t="e">
        <f>IF(AQ292="7",BI292,0)</f>
        <v>#REF!</v>
      </c>
      <c r="AF292" s="12">
        <f>IF(AQ292="2",BH292,0)</f>
        <v>0</v>
      </c>
      <c r="AG292" s="12">
        <f>IF(AQ292="2",BI292,0)</f>
        <v>0</v>
      </c>
      <c r="AH292" s="12">
        <f>IF(AQ292="0",BJ292,0)</f>
        <v>0</v>
      </c>
      <c r="AI292" s="10" t="s">
        <v>783</v>
      </c>
      <c r="AJ292" s="12">
        <f>IF(AN292=0,L292,0)</f>
        <v>0</v>
      </c>
      <c r="AK292" s="12">
        <f>IF(AN292=12,L292,0)</f>
        <v>0</v>
      </c>
      <c r="AL292" s="12" t="e">
        <f>IF(AN292=21,L292,0)</f>
        <v>#REF!</v>
      </c>
      <c r="AN292" s="12">
        <v>21</v>
      </c>
      <c r="AO292" s="12" t="e">
        <f>H292*0</f>
        <v>#REF!</v>
      </c>
      <c r="AP292" s="12" t="e">
        <f>H292*(1-0)</f>
        <v>#REF!</v>
      </c>
      <c r="AQ292" s="49" t="s">
        <v>567</v>
      </c>
      <c r="AV292" s="12" t="e">
        <f>AW292+AX292</f>
        <v>#REF!</v>
      </c>
      <c r="AW292" s="12" t="e">
        <f>G292*AO292</f>
        <v>#REF!</v>
      </c>
      <c r="AX292" s="12" t="e">
        <f>G292*AP292</f>
        <v>#REF!</v>
      </c>
      <c r="AY292" s="49" t="s">
        <v>610</v>
      </c>
      <c r="AZ292" s="49" t="s">
        <v>798</v>
      </c>
      <c r="BA292" s="10" t="s">
        <v>786</v>
      </c>
      <c r="BC292" s="12" t="e">
        <f>AW292+AX292</f>
        <v>#REF!</v>
      </c>
      <c r="BD292" s="12" t="e">
        <f>H292/(100-BE292)*100</f>
        <v>#REF!</v>
      </c>
      <c r="BE292" s="12">
        <v>0</v>
      </c>
      <c r="BF292" s="12" t="e">
        <f>O292</f>
        <v>#REF!</v>
      </c>
      <c r="BH292" s="12" t="e">
        <f>G292*AO292</f>
        <v>#REF!</v>
      </c>
      <c r="BI292" s="12" t="e">
        <f>G292*AP292</f>
        <v>#REF!</v>
      </c>
      <c r="BJ292" s="12" t="e">
        <f>G292*H292</f>
        <v>#REF!</v>
      </c>
      <c r="BK292" s="12"/>
      <c r="BL292" s="12">
        <v>722</v>
      </c>
      <c r="BW292" s="12" t="str">
        <f>I292</f>
        <v>21</v>
      </c>
      <c r="BX292" s="3" t="s">
        <v>358</v>
      </c>
    </row>
    <row r="293" spans="1:76">
      <c r="A293" s="1" t="s">
        <v>799</v>
      </c>
      <c r="B293" s="2" t="s">
        <v>783</v>
      </c>
      <c r="C293" s="2" t="s">
        <v>359</v>
      </c>
      <c r="D293" s="349" t="s">
        <v>360</v>
      </c>
      <c r="E293" s="342"/>
      <c r="F293" s="2" t="s">
        <v>63</v>
      </c>
      <c r="G293" s="12" t="e">
        <f>#REF!</f>
        <v>#REF!</v>
      </c>
      <c r="H293" s="12" t="e">
        <f>#REF!</f>
        <v>#REF!</v>
      </c>
      <c r="I293" s="49" t="s">
        <v>554</v>
      </c>
      <c r="J293" s="12" t="e">
        <f>G293*AO293</f>
        <v>#REF!</v>
      </c>
      <c r="K293" s="12" t="e">
        <f>G293*AP293</f>
        <v>#REF!</v>
      </c>
      <c r="L293" s="12" t="e">
        <f>G293*H293</f>
        <v>#REF!</v>
      </c>
      <c r="M293" s="12" t="e">
        <f>L293*(1+BW293/100)</f>
        <v>#REF!</v>
      </c>
      <c r="N293" s="12">
        <v>2.9E-4</v>
      </c>
      <c r="O293" s="12" t="e">
        <f>G293*N293</f>
        <v>#REF!</v>
      </c>
      <c r="P293" s="50" t="s">
        <v>577</v>
      </c>
      <c r="Z293" s="12">
        <f>IF(AQ293="5",BJ293,0)</f>
        <v>0</v>
      </c>
      <c r="AB293" s="12">
        <f>IF(AQ293="1",BH293,0)</f>
        <v>0</v>
      </c>
      <c r="AC293" s="12">
        <f>IF(AQ293="1",BI293,0)</f>
        <v>0</v>
      </c>
      <c r="AD293" s="12" t="e">
        <f>IF(AQ293="7",BH293,0)</f>
        <v>#REF!</v>
      </c>
      <c r="AE293" s="12" t="e">
        <f>IF(AQ293="7",BI293,0)</f>
        <v>#REF!</v>
      </c>
      <c r="AF293" s="12">
        <f>IF(AQ293="2",BH293,0)</f>
        <v>0</v>
      </c>
      <c r="AG293" s="12">
        <f>IF(AQ293="2",BI293,0)</f>
        <v>0</v>
      </c>
      <c r="AH293" s="12">
        <f>IF(AQ293="0",BJ293,0)</f>
        <v>0</v>
      </c>
      <c r="AI293" s="10" t="s">
        <v>783</v>
      </c>
      <c r="AJ293" s="12">
        <f>IF(AN293=0,L293,0)</f>
        <v>0</v>
      </c>
      <c r="AK293" s="12">
        <f>IF(AN293=12,L293,0)</f>
        <v>0</v>
      </c>
      <c r="AL293" s="12" t="e">
        <f>IF(AN293=21,L293,0)</f>
        <v>#REF!</v>
      </c>
      <c r="AN293" s="12">
        <v>21</v>
      </c>
      <c r="AO293" s="12" t="e">
        <f>H293*0</f>
        <v>#REF!</v>
      </c>
      <c r="AP293" s="12" t="e">
        <f>H293*(1-0)</f>
        <v>#REF!</v>
      </c>
      <c r="AQ293" s="49" t="s">
        <v>567</v>
      </c>
      <c r="AV293" s="12" t="e">
        <f>AW293+AX293</f>
        <v>#REF!</v>
      </c>
      <c r="AW293" s="12" t="e">
        <f>G293*AO293</f>
        <v>#REF!</v>
      </c>
      <c r="AX293" s="12" t="e">
        <f>G293*AP293</f>
        <v>#REF!</v>
      </c>
      <c r="AY293" s="49" t="s">
        <v>610</v>
      </c>
      <c r="AZ293" s="49" t="s">
        <v>798</v>
      </c>
      <c r="BA293" s="10" t="s">
        <v>786</v>
      </c>
      <c r="BC293" s="12" t="e">
        <f>AW293+AX293</f>
        <v>#REF!</v>
      </c>
      <c r="BD293" s="12" t="e">
        <f>H293/(100-BE293)*100</f>
        <v>#REF!</v>
      </c>
      <c r="BE293" s="12">
        <v>0</v>
      </c>
      <c r="BF293" s="12" t="e">
        <f>O293</f>
        <v>#REF!</v>
      </c>
      <c r="BH293" s="12" t="e">
        <f>G293*AO293</f>
        <v>#REF!</v>
      </c>
      <c r="BI293" s="12" t="e">
        <f>G293*AP293</f>
        <v>#REF!</v>
      </c>
      <c r="BJ293" s="12" t="e">
        <f>G293*H293</f>
        <v>#REF!</v>
      </c>
      <c r="BK293" s="12"/>
      <c r="BL293" s="12">
        <v>722</v>
      </c>
      <c r="BW293" s="12" t="str">
        <f>I293</f>
        <v>21</v>
      </c>
      <c r="BX293" s="3" t="s">
        <v>360</v>
      </c>
    </row>
    <row r="294" spans="1:76">
      <c r="A294" s="1" t="s">
        <v>800</v>
      </c>
      <c r="B294" s="2" t="s">
        <v>783</v>
      </c>
      <c r="C294" s="2" t="s">
        <v>361</v>
      </c>
      <c r="D294" s="349" t="s">
        <v>362</v>
      </c>
      <c r="E294" s="342"/>
      <c r="F294" s="2" t="s">
        <v>68</v>
      </c>
      <c r="G294" s="12" t="e">
        <f>#REF!</f>
        <v>#REF!</v>
      </c>
      <c r="H294" s="12" t="e">
        <f>#REF!</f>
        <v>#REF!</v>
      </c>
      <c r="I294" s="49" t="s">
        <v>554</v>
      </c>
      <c r="J294" s="12" t="e">
        <f>G294*AO294</f>
        <v>#REF!</v>
      </c>
      <c r="K294" s="12" t="e">
        <f>G294*AP294</f>
        <v>#REF!</v>
      </c>
      <c r="L294" s="12" t="e">
        <f>G294*H294</f>
        <v>#REF!</v>
      </c>
      <c r="M294" s="12" t="e">
        <f>L294*(1+BW294/100)</f>
        <v>#REF!</v>
      </c>
      <c r="N294" s="12">
        <v>6.0200000000000002E-3</v>
      </c>
      <c r="O294" s="12" t="e">
        <f>G294*N294</f>
        <v>#REF!</v>
      </c>
      <c r="P294" s="50" t="s">
        <v>577</v>
      </c>
      <c r="Z294" s="12">
        <f>IF(AQ294="5",BJ294,0)</f>
        <v>0</v>
      </c>
      <c r="AB294" s="12">
        <f>IF(AQ294="1",BH294,0)</f>
        <v>0</v>
      </c>
      <c r="AC294" s="12">
        <f>IF(AQ294="1",BI294,0)</f>
        <v>0</v>
      </c>
      <c r="AD294" s="12" t="e">
        <f>IF(AQ294="7",BH294,0)</f>
        <v>#REF!</v>
      </c>
      <c r="AE294" s="12" t="e">
        <f>IF(AQ294="7",BI294,0)</f>
        <v>#REF!</v>
      </c>
      <c r="AF294" s="12">
        <f>IF(AQ294="2",BH294,0)</f>
        <v>0</v>
      </c>
      <c r="AG294" s="12">
        <f>IF(AQ294="2",BI294,0)</f>
        <v>0</v>
      </c>
      <c r="AH294" s="12">
        <f>IF(AQ294="0",BJ294,0)</f>
        <v>0</v>
      </c>
      <c r="AI294" s="10" t="s">
        <v>783</v>
      </c>
      <c r="AJ294" s="12">
        <f>IF(AN294=0,L294,0)</f>
        <v>0</v>
      </c>
      <c r="AK294" s="12">
        <f>IF(AN294=12,L294,0)</f>
        <v>0</v>
      </c>
      <c r="AL294" s="12" t="e">
        <f>IF(AN294=21,L294,0)</f>
        <v>#REF!</v>
      </c>
      <c r="AN294" s="12">
        <v>21</v>
      </c>
      <c r="AO294" s="12" t="e">
        <f>H294*0.591079336</f>
        <v>#REF!</v>
      </c>
      <c r="AP294" s="12" t="e">
        <f>H294*(1-0.591079336)</f>
        <v>#REF!</v>
      </c>
      <c r="AQ294" s="49" t="s">
        <v>567</v>
      </c>
      <c r="AV294" s="12" t="e">
        <f>AW294+AX294</f>
        <v>#REF!</v>
      </c>
      <c r="AW294" s="12" t="e">
        <f>G294*AO294</f>
        <v>#REF!</v>
      </c>
      <c r="AX294" s="12" t="e">
        <f>G294*AP294</f>
        <v>#REF!</v>
      </c>
      <c r="AY294" s="49" t="s">
        <v>610</v>
      </c>
      <c r="AZ294" s="49" t="s">
        <v>798</v>
      </c>
      <c r="BA294" s="10" t="s">
        <v>786</v>
      </c>
      <c r="BC294" s="12" t="e">
        <f>AW294+AX294</f>
        <v>#REF!</v>
      </c>
      <c r="BD294" s="12" t="e">
        <f>H294/(100-BE294)*100</f>
        <v>#REF!</v>
      </c>
      <c r="BE294" s="12">
        <v>0</v>
      </c>
      <c r="BF294" s="12" t="e">
        <f>O294</f>
        <v>#REF!</v>
      </c>
      <c r="BH294" s="12" t="e">
        <f>G294*AO294</f>
        <v>#REF!</v>
      </c>
      <c r="BI294" s="12" t="e">
        <f>G294*AP294</f>
        <v>#REF!</v>
      </c>
      <c r="BJ294" s="12" t="e">
        <f>G294*H294</f>
        <v>#REF!</v>
      </c>
      <c r="BK294" s="12"/>
      <c r="BL294" s="12">
        <v>722</v>
      </c>
      <c r="BW294" s="12" t="str">
        <f>I294</f>
        <v>21</v>
      </c>
      <c r="BX294" s="3" t="s">
        <v>362</v>
      </c>
    </row>
    <row r="295" spans="1:76">
      <c r="A295" s="1" t="s">
        <v>801</v>
      </c>
      <c r="B295" s="2" t="s">
        <v>783</v>
      </c>
      <c r="C295" s="2" t="s">
        <v>136</v>
      </c>
      <c r="D295" s="349" t="s">
        <v>137</v>
      </c>
      <c r="E295" s="342"/>
      <c r="F295" s="2" t="s">
        <v>63</v>
      </c>
      <c r="G295" s="12" t="e">
        <f>#REF!</f>
        <v>#REF!</v>
      </c>
      <c r="H295" s="12" t="e">
        <f>#REF!</f>
        <v>#REF!</v>
      </c>
      <c r="I295" s="49" t="s">
        <v>554</v>
      </c>
      <c r="J295" s="12" t="e">
        <f>G295*AO295</f>
        <v>#REF!</v>
      </c>
      <c r="K295" s="12" t="e">
        <f>G295*AP295</f>
        <v>#REF!</v>
      </c>
      <c r="L295" s="12" t="e">
        <f>G295*H295</f>
        <v>#REF!</v>
      </c>
      <c r="M295" s="12" t="e">
        <f>L295*(1+BW295/100)</f>
        <v>#REF!</v>
      </c>
      <c r="N295" s="12">
        <v>5.3499999999999997E-3</v>
      </c>
      <c r="O295" s="12" t="e">
        <f>G295*N295</f>
        <v>#REF!</v>
      </c>
      <c r="P295" s="50" t="s">
        <v>577</v>
      </c>
      <c r="Z295" s="12">
        <f>IF(AQ295="5",BJ295,0)</f>
        <v>0</v>
      </c>
      <c r="AB295" s="12">
        <f>IF(AQ295="1",BH295,0)</f>
        <v>0</v>
      </c>
      <c r="AC295" s="12">
        <f>IF(AQ295="1",BI295,0)</f>
        <v>0</v>
      </c>
      <c r="AD295" s="12" t="e">
        <f>IF(AQ295="7",BH295,0)</f>
        <v>#REF!</v>
      </c>
      <c r="AE295" s="12" t="e">
        <f>IF(AQ295="7",BI295,0)</f>
        <v>#REF!</v>
      </c>
      <c r="AF295" s="12">
        <f>IF(AQ295="2",BH295,0)</f>
        <v>0</v>
      </c>
      <c r="AG295" s="12">
        <f>IF(AQ295="2",BI295,0)</f>
        <v>0</v>
      </c>
      <c r="AH295" s="12">
        <f>IF(AQ295="0",BJ295,0)</f>
        <v>0</v>
      </c>
      <c r="AI295" s="10" t="s">
        <v>783</v>
      </c>
      <c r="AJ295" s="12">
        <f>IF(AN295=0,L295,0)</f>
        <v>0</v>
      </c>
      <c r="AK295" s="12">
        <f>IF(AN295=12,L295,0)</f>
        <v>0</v>
      </c>
      <c r="AL295" s="12" t="e">
        <f>IF(AN295=21,L295,0)</f>
        <v>#REF!</v>
      </c>
      <c r="AN295" s="12">
        <v>21</v>
      </c>
      <c r="AO295" s="12" t="e">
        <f>H295*0.334193548</f>
        <v>#REF!</v>
      </c>
      <c r="AP295" s="12" t="e">
        <f>H295*(1-0.334193548)</f>
        <v>#REF!</v>
      </c>
      <c r="AQ295" s="49" t="s">
        <v>567</v>
      </c>
      <c r="AV295" s="12" t="e">
        <f>AW295+AX295</f>
        <v>#REF!</v>
      </c>
      <c r="AW295" s="12" t="e">
        <f>G295*AO295</f>
        <v>#REF!</v>
      </c>
      <c r="AX295" s="12" t="e">
        <f>G295*AP295</f>
        <v>#REF!</v>
      </c>
      <c r="AY295" s="49" t="s">
        <v>610</v>
      </c>
      <c r="AZ295" s="49" t="s">
        <v>798</v>
      </c>
      <c r="BA295" s="10" t="s">
        <v>786</v>
      </c>
      <c r="BC295" s="12" t="e">
        <f>AW295+AX295</f>
        <v>#REF!</v>
      </c>
      <c r="BD295" s="12" t="e">
        <f>H295/(100-BE295)*100</f>
        <v>#REF!</v>
      </c>
      <c r="BE295" s="12">
        <v>0</v>
      </c>
      <c r="BF295" s="12" t="e">
        <f>O295</f>
        <v>#REF!</v>
      </c>
      <c r="BH295" s="12" t="e">
        <f>G295*AO295</f>
        <v>#REF!</v>
      </c>
      <c r="BI295" s="12" t="e">
        <f>G295*AP295</f>
        <v>#REF!</v>
      </c>
      <c r="BJ295" s="12" t="e">
        <f>G295*H295</f>
        <v>#REF!</v>
      </c>
      <c r="BK295" s="12"/>
      <c r="BL295" s="12">
        <v>722</v>
      </c>
      <c r="BW295" s="12" t="str">
        <f>I295</f>
        <v>21</v>
      </c>
      <c r="BX295" s="3" t="s">
        <v>137</v>
      </c>
    </row>
    <row r="296" spans="1:76">
      <c r="A296" s="1" t="s">
        <v>802</v>
      </c>
      <c r="B296" s="2" t="s">
        <v>783</v>
      </c>
      <c r="C296" s="2" t="s">
        <v>143</v>
      </c>
      <c r="D296" s="349" t="s">
        <v>363</v>
      </c>
      <c r="E296" s="342"/>
      <c r="F296" s="2" t="s">
        <v>63</v>
      </c>
      <c r="G296" s="12" t="e">
        <f>#REF!</f>
        <v>#REF!</v>
      </c>
      <c r="H296" s="12" t="e">
        <f>#REF!</f>
        <v>#REF!</v>
      </c>
      <c r="I296" s="49" t="s">
        <v>554</v>
      </c>
      <c r="J296" s="12" t="e">
        <f>G296*AO296</f>
        <v>#REF!</v>
      </c>
      <c r="K296" s="12" t="e">
        <f>G296*AP296</f>
        <v>#REF!</v>
      </c>
      <c r="L296" s="12" t="e">
        <f>G296*H296</f>
        <v>#REF!</v>
      </c>
      <c r="M296" s="12" t="e">
        <f>L296*(1+BW296/100)</f>
        <v>#REF!</v>
      </c>
      <c r="N296" s="12">
        <v>6.9999999999999994E-5</v>
      </c>
      <c r="O296" s="12" t="e">
        <f>G296*N296</f>
        <v>#REF!</v>
      </c>
      <c r="P296" s="50" t="s">
        <v>577</v>
      </c>
      <c r="Z296" s="12">
        <f>IF(AQ296="5",BJ296,0)</f>
        <v>0</v>
      </c>
      <c r="AB296" s="12">
        <f>IF(AQ296="1",BH296,0)</f>
        <v>0</v>
      </c>
      <c r="AC296" s="12">
        <f>IF(AQ296="1",BI296,0)</f>
        <v>0</v>
      </c>
      <c r="AD296" s="12" t="e">
        <f>IF(AQ296="7",BH296,0)</f>
        <v>#REF!</v>
      </c>
      <c r="AE296" s="12" t="e">
        <f>IF(AQ296="7",BI296,0)</f>
        <v>#REF!</v>
      </c>
      <c r="AF296" s="12">
        <f>IF(AQ296="2",BH296,0)</f>
        <v>0</v>
      </c>
      <c r="AG296" s="12">
        <f>IF(AQ296="2",BI296,0)</f>
        <v>0</v>
      </c>
      <c r="AH296" s="12">
        <f>IF(AQ296="0",BJ296,0)</f>
        <v>0</v>
      </c>
      <c r="AI296" s="10" t="s">
        <v>783</v>
      </c>
      <c r="AJ296" s="12">
        <f>IF(AN296=0,L296,0)</f>
        <v>0</v>
      </c>
      <c r="AK296" s="12">
        <f>IF(AN296=12,L296,0)</f>
        <v>0</v>
      </c>
      <c r="AL296" s="12" t="e">
        <f>IF(AN296=21,L296,0)</f>
        <v>#REF!</v>
      </c>
      <c r="AN296" s="12">
        <v>21</v>
      </c>
      <c r="AO296" s="12" t="e">
        <f>H296*0.599757869</f>
        <v>#REF!</v>
      </c>
      <c r="AP296" s="12" t="e">
        <f>H296*(1-0.599757869)</f>
        <v>#REF!</v>
      </c>
      <c r="AQ296" s="49" t="s">
        <v>567</v>
      </c>
      <c r="AV296" s="12" t="e">
        <f>AW296+AX296</f>
        <v>#REF!</v>
      </c>
      <c r="AW296" s="12" t="e">
        <f>G296*AO296</f>
        <v>#REF!</v>
      </c>
      <c r="AX296" s="12" t="e">
        <f>G296*AP296</f>
        <v>#REF!</v>
      </c>
      <c r="AY296" s="49" t="s">
        <v>610</v>
      </c>
      <c r="AZ296" s="49" t="s">
        <v>798</v>
      </c>
      <c r="BA296" s="10" t="s">
        <v>786</v>
      </c>
      <c r="BC296" s="12" t="e">
        <f>AW296+AX296</f>
        <v>#REF!</v>
      </c>
      <c r="BD296" s="12" t="e">
        <f>H296/(100-BE296)*100</f>
        <v>#REF!</v>
      </c>
      <c r="BE296" s="12">
        <v>0</v>
      </c>
      <c r="BF296" s="12" t="e">
        <f>O296</f>
        <v>#REF!</v>
      </c>
      <c r="BH296" s="12" t="e">
        <f>G296*AO296</f>
        <v>#REF!</v>
      </c>
      <c r="BI296" s="12" t="e">
        <f>G296*AP296</f>
        <v>#REF!</v>
      </c>
      <c r="BJ296" s="12" t="e">
        <f>G296*H296</f>
        <v>#REF!</v>
      </c>
      <c r="BK296" s="12"/>
      <c r="BL296" s="12">
        <v>722</v>
      </c>
      <c r="BW296" s="12" t="str">
        <f>I296</f>
        <v>21</v>
      </c>
      <c r="BX296" s="3" t="s">
        <v>363</v>
      </c>
    </row>
    <row r="297" spans="1:76">
      <c r="A297" s="51"/>
      <c r="C297" s="13" t="s">
        <v>117</v>
      </c>
      <c r="D297" s="363" t="s">
        <v>142</v>
      </c>
      <c r="E297" s="364"/>
      <c r="F297" s="364"/>
      <c r="G297" s="364"/>
      <c r="H297" s="364"/>
      <c r="I297" s="364"/>
      <c r="J297" s="364"/>
      <c r="K297" s="364"/>
      <c r="L297" s="364"/>
      <c r="M297" s="364"/>
      <c r="N297" s="364"/>
      <c r="O297" s="364"/>
      <c r="P297" s="365"/>
      <c r="BX297" s="14" t="s">
        <v>142</v>
      </c>
    </row>
    <row r="298" spans="1:76">
      <c r="A298" s="1" t="s">
        <v>803</v>
      </c>
      <c r="B298" s="2" t="s">
        <v>783</v>
      </c>
      <c r="C298" s="2" t="s">
        <v>364</v>
      </c>
      <c r="D298" s="349" t="s">
        <v>365</v>
      </c>
      <c r="E298" s="342"/>
      <c r="F298" s="2" t="s">
        <v>63</v>
      </c>
      <c r="G298" s="12" t="e">
        <f>#REF!</f>
        <v>#REF!</v>
      </c>
      <c r="H298" s="12" t="e">
        <f>#REF!</f>
        <v>#REF!</v>
      </c>
      <c r="I298" s="49" t="s">
        <v>554</v>
      </c>
      <c r="J298" s="12" t="e">
        <f t="shared" ref="J298:J306" si="286">G298*AO298</f>
        <v>#REF!</v>
      </c>
      <c r="K298" s="12" t="e">
        <f t="shared" ref="K298:K306" si="287">G298*AP298</f>
        <v>#REF!</v>
      </c>
      <c r="L298" s="12" t="e">
        <f t="shared" ref="L298:L306" si="288">G298*H298</f>
        <v>#REF!</v>
      </c>
      <c r="M298" s="12" t="e">
        <f t="shared" ref="M298:M306" si="289">L298*(1+BW298/100)</f>
        <v>#REF!</v>
      </c>
      <c r="N298" s="12">
        <v>4.0000000000000003E-5</v>
      </c>
      <c r="O298" s="12" t="e">
        <f t="shared" ref="O298:O306" si="290">G298*N298</f>
        <v>#REF!</v>
      </c>
      <c r="P298" s="50" t="s">
        <v>577</v>
      </c>
      <c r="Z298" s="12">
        <f t="shared" ref="Z298:Z306" si="291">IF(AQ298="5",BJ298,0)</f>
        <v>0</v>
      </c>
      <c r="AB298" s="12">
        <f t="shared" ref="AB298:AB306" si="292">IF(AQ298="1",BH298,0)</f>
        <v>0</v>
      </c>
      <c r="AC298" s="12">
        <f t="shared" ref="AC298:AC306" si="293">IF(AQ298="1",BI298,0)</f>
        <v>0</v>
      </c>
      <c r="AD298" s="12" t="e">
        <f t="shared" ref="AD298:AD306" si="294">IF(AQ298="7",BH298,0)</f>
        <v>#REF!</v>
      </c>
      <c r="AE298" s="12" t="e">
        <f t="shared" ref="AE298:AE306" si="295">IF(AQ298="7",BI298,0)</f>
        <v>#REF!</v>
      </c>
      <c r="AF298" s="12">
        <f t="shared" ref="AF298:AF306" si="296">IF(AQ298="2",BH298,0)</f>
        <v>0</v>
      </c>
      <c r="AG298" s="12">
        <f t="shared" ref="AG298:AG306" si="297">IF(AQ298="2",BI298,0)</f>
        <v>0</v>
      </c>
      <c r="AH298" s="12">
        <f t="shared" ref="AH298:AH306" si="298">IF(AQ298="0",BJ298,0)</f>
        <v>0</v>
      </c>
      <c r="AI298" s="10" t="s">
        <v>783</v>
      </c>
      <c r="AJ298" s="12">
        <f t="shared" ref="AJ298:AJ306" si="299">IF(AN298=0,L298,0)</f>
        <v>0</v>
      </c>
      <c r="AK298" s="12">
        <f t="shared" ref="AK298:AK306" si="300">IF(AN298=12,L298,0)</f>
        <v>0</v>
      </c>
      <c r="AL298" s="12" t="e">
        <f t="shared" ref="AL298:AL306" si="301">IF(AN298=21,L298,0)</f>
        <v>#REF!</v>
      </c>
      <c r="AN298" s="12">
        <v>21</v>
      </c>
      <c r="AO298" s="12" t="e">
        <f>H298*0.347100252</f>
        <v>#REF!</v>
      </c>
      <c r="AP298" s="12" t="e">
        <f>H298*(1-0.347100252)</f>
        <v>#REF!</v>
      </c>
      <c r="AQ298" s="49" t="s">
        <v>567</v>
      </c>
      <c r="AV298" s="12" t="e">
        <f t="shared" ref="AV298:AV306" si="302">AW298+AX298</f>
        <v>#REF!</v>
      </c>
      <c r="AW298" s="12" t="e">
        <f t="shared" ref="AW298:AW306" si="303">G298*AO298</f>
        <v>#REF!</v>
      </c>
      <c r="AX298" s="12" t="e">
        <f t="shared" ref="AX298:AX306" si="304">G298*AP298</f>
        <v>#REF!</v>
      </c>
      <c r="AY298" s="49" t="s">
        <v>610</v>
      </c>
      <c r="AZ298" s="49" t="s">
        <v>798</v>
      </c>
      <c r="BA298" s="10" t="s">
        <v>786</v>
      </c>
      <c r="BC298" s="12" t="e">
        <f t="shared" ref="BC298:BC306" si="305">AW298+AX298</f>
        <v>#REF!</v>
      </c>
      <c r="BD298" s="12" t="e">
        <f t="shared" ref="BD298:BD306" si="306">H298/(100-BE298)*100</f>
        <v>#REF!</v>
      </c>
      <c r="BE298" s="12">
        <v>0</v>
      </c>
      <c r="BF298" s="12" t="e">
        <f t="shared" ref="BF298:BF306" si="307">O298</f>
        <v>#REF!</v>
      </c>
      <c r="BH298" s="12" t="e">
        <f t="shared" ref="BH298:BH306" si="308">G298*AO298</f>
        <v>#REF!</v>
      </c>
      <c r="BI298" s="12" t="e">
        <f t="shared" ref="BI298:BI306" si="309">G298*AP298</f>
        <v>#REF!</v>
      </c>
      <c r="BJ298" s="12" t="e">
        <f t="shared" ref="BJ298:BJ306" si="310">G298*H298</f>
        <v>#REF!</v>
      </c>
      <c r="BK298" s="12"/>
      <c r="BL298" s="12">
        <v>722</v>
      </c>
      <c r="BW298" s="12" t="str">
        <f t="shared" ref="BW298:BW306" si="311">I298</f>
        <v>21</v>
      </c>
      <c r="BX298" s="3" t="s">
        <v>365</v>
      </c>
    </row>
    <row r="299" spans="1:76">
      <c r="A299" s="1" t="s">
        <v>804</v>
      </c>
      <c r="B299" s="2" t="s">
        <v>783</v>
      </c>
      <c r="C299" s="2" t="s">
        <v>366</v>
      </c>
      <c r="D299" s="349" t="s">
        <v>367</v>
      </c>
      <c r="E299" s="342"/>
      <c r="F299" s="2" t="s">
        <v>68</v>
      </c>
      <c r="G299" s="12" t="e">
        <f>#REF!</f>
        <v>#REF!</v>
      </c>
      <c r="H299" s="12" t="e">
        <f>#REF!</f>
        <v>#REF!</v>
      </c>
      <c r="I299" s="49" t="s">
        <v>554</v>
      </c>
      <c r="J299" s="12" t="e">
        <f t="shared" si="286"/>
        <v>#REF!</v>
      </c>
      <c r="K299" s="12" t="e">
        <f t="shared" si="287"/>
        <v>#REF!</v>
      </c>
      <c r="L299" s="12" t="e">
        <f t="shared" si="288"/>
        <v>#REF!</v>
      </c>
      <c r="M299" s="12" t="e">
        <f t="shared" si="289"/>
        <v>#REF!</v>
      </c>
      <c r="N299" s="12">
        <v>1E-3</v>
      </c>
      <c r="O299" s="12" t="e">
        <f t="shared" si="290"/>
        <v>#REF!</v>
      </c>
      <c r="P299" s="50" t="s">
        <v>577</v>
      </c>
      <c r="Z299" s="12">
        <f t="shared" si="291"/>
        <v>0</v>
      </c>
      <c r="AB299" s="12">
        <f t="shared" si="292"/>
        <v>0</v>
      </c>
      <c r="AC299" s="12">
        <f t="shared" si="293"/>
        <v>0</v>
      </c>
      <c r="AD299" s="12" t="e">
        <f t="shared" si="294"/>
        <v>#REF!</v>
      </c>
      <c r="AE299" s="12" t="e">
        <f t="shared" si="295"/>
        <v>#REF!</v>
      </c>
      <c r="AF299" s="12">
        <f t="shared" si="296"/>
        <v>0</v>
      </c>
      <c r="AG299" s="12">
        <f t="shared" si="297"/>
        <v>0</v>
      </c>
      <c r="AH299" s="12">
        <f t="shared" si="298"/>
        <v>0</v>
      </c>
      <c r="AI299" s="10" t="s">
        <v>783</v>
      </c>
      <c r="AJ299" s="12">
        <f t="shared" si="299"/>
        <v>0</v>
      </c>
      <c r="AK299" s="12">
        <f t="shared" si="300"/>
        <v>0</v>
      </c>
      <c r="AL299" s="12" t="e">
        <f t="shared" si="301"/>
        <v>#REF!</v>
      </c>
      <c r="AN299" s="12">
        <v>21</v>
      </c>
      <c r="AO299" s="12" t="e">
        <f>H299*0.945125475</f>
        <v>#REF!</v>
      </c>
      <c r="AP299" s="12" t="e">
        <f>H299*(1-0.945125475)</f>
        <v>#REF!</v>
      </c>
      <c r="AQ299" s="49" t="s">
        <v>567</v>
      </c>
      <c r="AV299" s="12" t="e">
        <f t="shared" si="302"/>
        <v>#REF!</v>
      </c>
      <c r="AW299" s="12" t="e">
        <f t="shared" si="303"/>
        <v>#REF!</v>
      </c>
      <c r="AX299" s="12" t="e">
        <f t="shared" si="304"/>
        <v>#REF!</v>
      </c>
      <c r="AY299" s="49" t="s">
        <v>610</v>
      </c>
      <c r="AZ299" s="49" t="s">
        <v>798</v>
      </c>
      <c r="BA299" s="10" t="s">
        <v>786</v>
      </c>
      <c r="BC299" s="12" t="e">
        <f t="shared" si="305"/>
        <v>#REF!</v>
      </c>
      <c r="BD299" s="12" t="e">
        <f t="shared" si="306"/>
        <v>#REF!</v>
      </c>
      <c r="BE299" s="12">
        <v>0</v>
      </c>
      <c r="BF299" s="12" t="e">
        <f t="shared" si="307"/>
        <v>#REF!</v>
      </c>
      <c r="BH299" s="12" t="e">
        <f t="shared" si="308"/>
        <v>#REF!</v>
      </c>
      <c r="BI299" s="12" t="e">
        <f t="shared" si="309"/>
        <v>#REF!</v>
      </c>
      <c r="BJ299" s="12" t="e">
        <f t="shared" si="310"/>
        <v>#REF!</v>
      </c>
      <c r="BK299" s="12"/>
      <c r="BL299" s="12">
        <v>722</v>
      </c>
      <c r="BW299" s="12" t="str">
        <f t="shared" si="311"/>
        <v>21</v>
      </c>
      <c r="BX299" s="3" t="s">
        <v>367</v>
      </c>
    </row>
    <row r="300" spans="1:76">
      <c r="A300" s="1" t="s">
        <v>805</v>
      </c>
      <c r="B300" s="2" t="s">
        <v>783</v>
      </c>
      <c r="C300" s="2" t="s">
        <v>368</v>
      </c>
      <c r="D300" s="349" t="s">
        <v>369</v>
      </c>
      <c r="E300" s="342"/>
      <c r="F300" s="2" t="s">
        <v>68</v>
      </c>
      <c r="G300" s="12" t="e">
        <f>#REF!</f>
        <v>#REF!</v>
      </c>
      <c r="H300" s="12" t="e">
        <f>#REF!</f>
        <v>#REF!</v>
      </c>
      <c r="I300" s="49" t="s">
        <v>554</v>
      </c>
      <c r="J300" s="12" t="e">
        <f t="shared" si="286"/>
        <v>#REF!</v>
      </c>
      <c r="K300" s="12" t="e">
        <f t="shared" si="287"/>
        <v>#REF!</v>
      </c>
      <c r="L300" s="12" t="e">
        <f t="shared" si="288"/>
        <v>#REF!</v>
      </c>
      <c r="M300" s="12" t="e">
        <f t="shared" si="289"/>
        <v>#REF!</v>
      </c>
      <c r="N300" s="12">
        <v>1.5E-3</v>
      </c>
      <c r="O300" s="12" t="e">
        <f t="shared" si="290"/>
        <v>#REF!</v>
      </c>
      <c r="P300" s="50" t="s">
        <v>577</v>
      </c>
      <c r="Z300" s="12">
        <f t="shared" si="291"/>
        <v>0</v>
      </c>
      <c r="AB300" s="12">
        <f t="shared" si="292"/>
        <v>0</v>
      </c>
      <c r="AC300" s="12">
        <f t="shared" si="293"/>
        <v>0</v>
      </c>
      <c r="AD300" s="12" t="e">
        <f t="shared" si="294"/>
        <v>#REF!</v>
      </c>
      <c r="AE300" s="12" t="e">
        <f t="shared" si="295"/>
        <v>#REF!</v>
      </c>
      <c r="AF300" s="12">
        <f t="shared" si="296"/>
        <v>0</v>
      </c>
      <c r="AG300" s="12">
        <f t="shared" si="297"/>
        <v>0</v>
      </c>
      <c r="AH300" s="12">
        <f t="shared" si="298"/>
        <v>0</v>
      </c>
      <c r="AI300" s="10" t="s">
        <v>783</v>
      </c>
      <c r="AJ300" s="12">
        <f t="shared" si="299"/>
        <v>0</v>
      </c>
      <c r="AK300" s="12">
        <f t="shared" si="300"/>
        <v>0</v>
      </c>
      <c r="AL300" s="12" t="e">
        <f t="shared" si="301"/>
        <v>#REF!</v>
      </c>
      <c r="AN300" s="12">
        <v>21</v>
      </c>
      <c r="AO300" s="12" t="e">
        <f>H300*0.958778158</f>
        <v>#REF!</v>
      </c>
      <c r="AP300" s="12" t="e">
        <f>H300*(1-0.958778158)</f>
        <v>#REF!</v>
      </c>
      <c r="AQ300" s="49" t="s">
        <v>567</v>
      </c>
      <c r="AV300" s="12" t="e">
        <f t="shared" si="302"/>
        <v>#REF!</v>
      </c>
      <c r="AW300" s="12" t="e">
        <f t="shared" si="303"/>
        <v>#REF!</v>
      </c>
      <c r="AX300" s="12" t="e">
        <f t="shared" si="304"/>
        <v>#REF!</v>
      </c>
      <c r="AY300" s="49" t="s">
        <v>610</v>
      </c>
      <c r="AZ300" s="49" t="s">
        <v>798</v>
      </c>
      <c r="BA300" s="10" t="s">
        <v>786</v>
      </c>
      <c r="BC300" s="12" t="e">
        <f t="shared" si="305"/>
        <v>#REF!</v>
      </c>
      <c r="BD300" s="12" t="e">
        <f t="shared" si="306"/>
        <v>#REF!</v>
      </c>
      <c r="BE300" s="12">
        <v>0</v>
      </c>
      <c r="BF300" s="12" t="e">
        <f t="shared" si="307"/>
        <v>#REF!</v>
      </c>
      <c r="BH300" s="12" t="e">
        <f t="shared" si="308"/>
        <v>#REF!</v>
      </c>
      <c r="BI300" s="12" t="e">
        <f t="shared" si="309"/>
        <v>#REF!</v>
      </c>
      <c r="BJ300" s="12" t="e">
        <f t="shared" si="310"/>
        <v>#REF!</v>
      </c>
      <c r="BK300" s="12"/>
      <c r="BL300" s="12">
        <v>722</v>
      </c>
      <c r="BW300" s="12" t="str">
        <f t="shared" si="311"/>
        <v>21</v>
      </c>
      <c r="BX300" s="3" t="s">
        <v>369</v>
      </c>
    </row>
    <row r="301" spans="1:76">
      <c r="A301" s="1" t="s">
        <v>806</v>
      </c>
      <c r="B301" s="2" t="s">
        <v>783</v>
      </c>
      <c r="C301" s="2" t="s">
        <v>149</v>
      </c>
      <c r="D301" s="349" t="s">
        <v>150</v>
      </c>
      <c r="E301" s="342"/>
      <c r="F301" s="2" t="s">
        <v>68</v>
      </c>
      <c r="G301" s="12" t="e">
        <f>#REF!</f>
        <v>#REF!</v>
      </c>
      <c r="H301" s="12" t="e">
        <f>#REF!</f>
        <v>#REF!</v>
      </c>
      <c r="I301" s="49" t="s">
        <v>554</v>
      </c>
      <c r="J301" s="12" t="e">
        <f t="shared" si="286"/>
        <v>#REF!</v>
      </c>
      <c r="K301" s="12" t="e">
        <f t="shared" si="287"/>
        <v>#REF!</v>
      </c>
      <c r="L301" s="12" t="e">
        <f t="shared" si="288"/>
        <v>#REF!</v>
      </c>
      <c r="M301" s="12" t="e">
        <f t="shared" si="289"/>
        <v>#REF!</v>
      </c>
      <c r="N301" s="12">
        <v>3.2000000000000003E-4</v>
      </c>
      <c r="O301" s="12" t="e">
        <f t="shared" si="290"/>
        <v>#REF!</v>
      </c>
      <c r="P301" s="50" t="s">
        <v>605</v>
      </c>
      <c r="Z301" s="12">
        <f t="shared" si="291"/>
        <v>0</v>
      </c>
      <c r="AB301" s="12">
        <f t="shared" si="292"/>
        <v>0</v>
      </c>
      <c r="AC301" s="12">
        <f t="shared" si="293"/>
        <v>0</v>
      </c>
      <c r="AD301" s="12" t="e">
        <f t="shared" si="294"/>
        <v>#REF!</v>
      </c>
      <c r="AE301" s="12" t="e">
        <f t="shared" si="295"/>
        <v>#REF!</v>
      </c>
      <c r="AF301" s="12">
        <f t="shared" si="296"/>
        <v>0</v>
      </c>
      <c r="AG301" s="12">
        <f t="shared" si="297"/>
        <v>0</v>
      </c>
      <c r="AH301" s="12">
        <f t="shared" si="298"/>
        <v>0</v>
      </c>
      <c r="AI301" s="10" t="s">
        <v>783</v>
      </c>
      <c r="AJ301" s="12">
        <f t="shared" si="299"/>
        <v>0</v>
      </c>
      <c r="AK301" s="12">
        <f t="shared" si="300"/>
        <v>0</v>
      </c>
      <c r="AL301" s="12" t="e">
        <f t="shared" si="301"/>
        <v>#REF!</v>
      </c>
      <c r="AN301" s="12">
        <v>21</v>
      </c>
      <c r="AO301" s="12" t="e">
        <f>H301*0.767472727</f>
        <v>#REF!</v>
      </c>
      <c r="AP301" s="12" t="e">
        <f>H301*(1-0.767472727)</f>
        <v>#REF!</v>
      </c>
      <c r="AQ301" s="49" t="s">
        <v>567</v>
      </c>
      <c r="AV301" s="12" t="e">
        <f t="shared" si="302"/>
        <v>#REF!</v>
      </c>
      <c r="AW301" s="12" t="e">
        <f t="shared" si="303"/>
        <v>#REF!</v>
      </c>
      <c r="AX301" s="12" t="e">
        <f t="shared" si="304"/>
        <v>#REF!</v>
      </c>
      <c r="AY301" s="49" t="s">
        <v>610</v>
      </c>
      <c r="AZ301" s="49" t="s">
        <v>798</v>
      </c>
      <c r="BA301" s="10" t="s">
        <v>786</v>
      </c>
      <c r="BC301" s="12" t="e">
        <f t="shared" si="305"/>
        <v>#REF!</v>
      </c>
      <c r="BD301" s="12" t="e">
        <f t="shared" si="306"/>
        <v>#REF!</v>
      </c>
      <c r="BE301" s="12">
        <v>0</v>
      </c>
      <c r="BF301" s="12" t="e">
        <f t="shared" si="307"/>
        <v>#REF!</v>
      </c>
      <c r="BH301" s="12" t="e">
        <f t="shared" si="308"/>
        <v>#REF!</v>
      </c>
      <c r="BI301" s="12" t="e">
        <f t="shared" si="309"/>
        <v>#REF!</v>
      </c>
      <c r="BJ301" s="12" t="e">
        <f t="shared" si="310"/>
        <v>#REF!</v>
      </c>
      <c r="BK301" s="12"/>
      <c r="BL301" s="12">
        <v>722</v>
      </c>
      <c r="BW301" s="12" t="str">
        <f t="shared" si="311"/>
        <v>21</v>
      </c>
      <c r="BX301" s="3" t="s">
        <v>150</v>
      </c>
    </row>
    <row r="302" spans="1:76">
      <c r="A302" s="1" t="s">
        <v>807</v>
      </c>
      <c r="B302" s="2" t="s">
        <v>783</v>
      </c>
      <c r="C302" s="2" t="s">
        <v>370</v>
      </c>
      <c r="D302" s="349" t="s">
        <v>371</v>
      </c>
      <c r="E302" s="342"/>
      <c r="F302" s="2" t="s">
        <v>68</v>
      </c>
      <c r="G302" s="12" t="e">
        <f>#REF!</f>
        <v>#REF!</v>
      </c>
      <c r="H302" s="12" t="e">
        <f>#REF!</f>
        <v>#REF!</v>
      </c>
      <c r="I302" s="49" t="s">
        <v>554</v>
      </c>
      <c r="J302" s="12" t="e">
        <f t="shared" si="286"/>
        <v>#REF!</v>
      </c>
      <c r="K302" s="12" t="e">
        <f t="shared" si="287"/>
        <v>#REF!</v>
      </c>
      <c r="L302" s="12" t="e">
        <f t="shared" si="288"/>
        <v>#REF!</v>
      </c>
      <c r="M302" s="12" t="e">
        <f t="shared" si="289"/>
        <v>#REF!</v>
      </c>
      <c r="N302" s="12">
        <v>5.1999999999999995E-4</v>
      </c>
      <c r="O302" s="12" t="e">
        <f t="shared" si="290"/>
        <v>#REF!</v>
      </c>
      <c r="P302" s="50" t="s">
        <v>605</v>
      </c>
      <c r="Z302" s="12">
        <f t="shared" si="291"/>
        <v>0</v>
      </c>
      <c r="AB302" s="12">
        <f t="shared" si="292"/>
        <v>0</v>
      </c>
      <c r="AC302" s="12">
        <f t="shared" si="293"/>
        <v>0</v>
      </c>
      <c r="AD302" s="12" t="e">
        <f t="shared" si="294"/>
        <v>#REF!</v>
      </c>
      <c r="AE302" s="12" t="e">
        <f t="shared" si="295"/>
        <v>#REF!</v>
      </c>
      <c r="AF302" s="12">
        <f t="shared" si="296"/>
        <v>0</v>
      </c>
      <c r="AG302" s="12">
        <f t="shared" si="297"/>
        <v>0</v>
      </c>
      <c r="AH302" s="12">
        <f t="shared" si="298"/>
        <v>0</v>
      </c>
      <c r="AI302" s="10" t="s">
        <v>783</v>
      </c>
      <c r="AJ302" s="12">
        <f t="shared" si="299"/>
        <v>0</v>
      </c>
      <c r="AK302" s="12">
        <f t="shared" si="300"/>
        <v>0</v>
      </c>
      <c r="AL302" s="12" t="e">
        <f t="shared" si="301"/>
        <v>#REF!</v>
      </c>
      <c r="AN302" s="12">
        <v>21</v>
      </c>
      <c r="AO302" s="12" t="e">
        <f>H302*0.869366701</f>
        <v>#REF!</v>
      </c>
      <c r="AP302" s="12" t="e">
        <f>H302*(1-0.869366701)</f>
        <v>#REF!</v>
      </c>
      <c r="AQ302" s="49" t="s">
        <v>567</v>
      </c>
      <c r="AV302" s="12" t="e">
        <f t="shared" si="302"/>
        <v>#REF!</v>
      </c>
      <c r="AW302" s="12" t="e">
        <f t="shared" si="303"/>
        <v>#REF!</v>
      </c>
      <c r="AX302" s="12" t="e">
        <f t="shared" si="304"/>
        <v>#REF!</v>
      </c>
      <c r="AY302" s="49" t="s">
        <v>610</v>
      </c>
      <c r="AZ302" s="49" t="s">
        <v>798</v>
      </c>
      <c r="BA302" s="10" t="s">
        <v>786</v>
      </c>
      <c r="BC302" s="12" t="e">
        <f t="shared" si="305"/>
        <v>#REF!</v>
      </c>
      <c r="BD302" s="12" t="e">
        <f t="shared" si="306"/>
        <v>#REF!</v>
      </c>
      <c r="BE302" s="12">
        <v>0</v>
      </c>
      <c r="BF302" s="12" t="e">
        <f t="shared" si="307"/>
        <v>#REF!</v>
      </c>
      <c r="BH302" s="12" t="e">
        <f t="shared" si="308"/>
        <v>#REF!</v>
      </c>
      <c r="BI302" s="12" t="e">
        <f t="shared" si="309"/>
        <v>#REF!</v>
      </c>
      <c r="BJ302" s="12" t="e">
        <f t="shared" si="310"/>
        <v>#REF!</v>
      </c>
      <c r="BK302" s="12"/>
      <c r="BL302" s="12">
        <v>722</v>
      </c>
      <c r="BW302" s="12" t="str">
        <f t="shared" si="311"/>
        <v>21</v>
      </c>
      <c r="BX302" s="3" t="s">
        <v>371</v>
      </c>
    </row>
    <row r="303" spans="1:76">
      <c r="A303" s="1" t="s">
        <v>808</v>
      </c>
      <c r="B303" s="2" t="s">
        <v>783</v>
      </c>
      <c r="C303" s="2" t="s">
        <v>372</v>
      </c>
      <c r="D303" s="349" t="s">
        <v>373</v>
      </c>
      <c r="E303" s="342"/>
      <c r="F303" s="2" t="s">
        <v>68</v>
      </c>
      <c r="G303" s="12" t="e">
        <f>#REF!</f>
        <v>#REF!</v>
      </c>
      <c r="H303" s="12" t="e">
        <f>#REF!</f>
        <v>#REF!</v>
      </c>
      <c r="I303" s="49" t="s">
        <v>554</v>
      </c>
      <c r="J303" s="12" t="e">
        <f t="shared" si="286"/>
        <v>#REF!</v>
      </c>
      <c r="K303" s="12" t="e">
        <f t="shared" si="287"/>
        <v>#REF!</v>
      </c>
      <c r="L303" s="12" t="e">
        <f t="shared" si="288"/>
        <v>#REF!</v>
      </c>
      <c r="M303" s="12" t="e">
        <f t="shared" si="289"/>
        <v>#REF!</v>
      </c>
      <c r="N303" s="12">
        <v>5.0000000000000001E-4</v>
      </c>
      <c r="O303" s="12" t="e">
        <f t="shared" si="290"/>
        <v>#REF!</v>
      </c>
      <c r="P303" s="50" t="s">
        <v>605</v>
      </c>
      <c r="Z303" s="12">
        <f t="shared" si="291"/>
        <v>0</v>
      </c>
      <c r="AB303" s="12">
        <f t="shared" si="292"/>
        <v>0</v>
      </c>
      <c r="AC303" s="12">
        <f t="shared" si="293"/>
        <v>0</v>
      </c>
      <c r="AD303" s="12" t="e">
        <f t="shared" si="294"/>
        <v>#REF!</v>
      </c>
      <c r="AE303" s="12" t="e">
        <f t="shared" si="295"/>
        <v>#REF!</v>
      </c>
      <c r="AF303" s="12">
        <f t="shared" si="296"/>
        <v>0</v>
      </c>
      <c r="AG303" s="12">
        <f t="shared" si="297"/>
        <v>0</v>
      </c>
      <c r="AH303" s="12">
        <f t="shared" si="298"/>
        <v>0</v>
      </c>
      <c r="AI303" s="10" t="s">
        <v>783</v>
      </c>
      <c r="AJ303" s="12">
        <f t="shared" si="299"/>
        <v>0</v>
      </c>
      <c r="AK303" s="12">
        <f t="shared" si="300"/>
        <v>0</v>
      </c>
      <c r="AL303" s="12" t="e">
        <f t="shared" si="301"/>
        <v>#REF!</v>
      </c>
      <c r="AN303" s="12">
        <v>21</v>
      </c>
      <c r="AO303" s="12" t="e">
        <f>H303*0.767894737</f>
        <v>#REF!</v>
      </c>
      <c r="AP303" s="12" t="e">
        <f>H303*(1-0.767894737)</f>
        <v>#REF!</v>
      </c>
      <c r="AQ303" s="49" t="s">
        <v>567</v>
      </c>
      <c r="AV303" s="12" t="e">
        <f t="shared" si="302"/>
        <v>#REF!</v>
      </c>
      <c r="AW303" s="12" t="e">
        <f t="shared" si="303"/>
        <v>#REF!</v>
      </c>
      <c r="AX303" s="12" t="e">
        <f t="shared" si="304"/>
        <v>#REF!</v>
      </c>
      <c r="AY303" s="49" t="s">
        <v>610</v>
      </c>
      <c r="AZ303" s="49" t="s">
        <v>798</v>
      </c>
      <c r="BA303" s="10" t="s">
        <v>786</v>
      </c>
      <c r="BC303" s="12" t="e">
        <f t="shared" si="305"/>
        <v>#REF!</v>
      </c>
      <c r="BD303" s="12" t="e">
        <f t="shared" si="306"/>
        <v>#REF!</v>
      </c>
      <c r="BE303" s="12">
        <v>0</v>
      </c>
      <c r="BF303" s="12" t="e">
        <f t="shared" si="307"/>
        <v>#REF!</v>
      </c>
      <c r="BH303" s="12" t="e">
        <f t="shared" si="308"/>
        <v>#REF!</v>
      </c>
      <c r="BI303" s="12" t="e">
        <f t="shared" si="309"/>
        <v>#REF!</v>
      </c>
      <c r="BJ303" s="12" t="e">
        <f t="shared" si="310"/>
        <v>#REF!</v>
      </c>
      <c r="BK303" s="12"/>
      <c r="BL303" s="12">
        <v>722</v>
      </c>
      <c r="BW303" s="12" t="str">
        <f t="shared" si="311"/>
        <v>21</v>
      </c>
      <c r="BX303" s="3" t="s">
        <v>373</v>
      </c>
    </row>
    <row r="304" spans="1:76">
      <c r="A304" s="1" t="s">
        <v>809</v>
      </c>
      <c r="B304" s="2" t="s">
        <v>783</v>
      </c>
      <c r="C304" s="2" t="s">
        <v>156</v>
      </c>
      <c r="D304" s="349" t="s">
        <v>157</v>
      </c>
      <c r="E304" s="342"/>
      <c r="F304" s="2" t="s">
        <v>68</v>
      </c>
      <c r="G304" s="12" t="e">
        <f>#REF!</f>
        <v>#REF!</v>
      </c>
      <c r="H304" s="12" t="e">
        <f>#REF!</f>
        <v>#REF!</v>
      </c>
      <c r="I304" s="49" t="s">
        <v>554</v>
      </c>
      <c r="J304" s="12" t="e">
        <f t="shared" si="286"/>
        <v>#REF!</v>
      </c>
      <c r="K304" s="12" t="e">
        <f t="shared" si="287"/>
        <v>#REF!</v>
      </c>
      <c r="L304" s="12" t="e">
        <f t="shared" si="288"/>
        <v>#REF!</v>
      </c>
      <c r="M304" s="12" t="e">
        <f t="shared" si="289"/>
        <v>#REF!</v>
      </c>
      <c r="N304" s="12">
        <v>3.6999999999999999E-4</v>
      </c>
      <c r="O304" s="12" t="e">
        <f t="shared" si="290"/>
        <v>#REF!</v>
      </c>
      <c r="P304" s="50" t="s">
        <v>605</v>
      </c>
      <c r="Z304" s="12">
        <f t="shared" si="291"/>
        <v>0</v>
      </c>
      <c r="AB304" s="12">
        <f t="shared" si="292"/>
        <v>0</v>
      </c>
      <c r="AC304" s="12">
        <f t="shared" si="293"/>
        <v>0</v>
      </c>
      <c r="AD304" s="12" t="e">
        <f t="shared" si="294"/>
        <v>#REF!</v>
      </c>
      <c r="AE304" s="12" t="e">
        <f t="shared" si="295"/>
        <v>#REF!</v>
      </c>
      <c r="AF304" s="12">
        <f t="shared" si="296"/>
        <v>0</v>
      </c>
      <c r="AG304" s="12">
        <f t="shared" si="297"/>
        <v>0</v>
      </c>
      <c r="AH304" s="12">
        <f t="shared" si="298"/>
        <v>0</v>
      </c>
      <c r="AI304" s="10" t="s">
        <v>783</v>
      </c>
      <c r="AJ304" s="12">
        <f t="shared" si="299"/>
        <v>0</v>
      </c>
      <c r="AK304" s="12">
        <f t="shared" si="300"/>
        <v>0</v>
      </c>
      <c r="AL304" s="12" t="e">
        <f t="shared" si="301"/>
        <v>#REF!</v>
      </c>
      <c r="AN304" s="12">
        <v>21</v>
      </c>
      <c r="AO304" s="12" t="e">
        <f>H304*0.901698693</f>
        <v>#REF!</v>
      </c>
      <c r="AP304" s="12" t="e">
        <f>H304*(1-0.901698693)</f>
        <v>#REF!</v>
      </c>
      <c r="AQ304" s="49" t="s">
        <v>567</v>
      </c>
      <c r="AV304" s="12" t="e">
        <f t="shared" si="302"/>
        <v>#REF!</v>
      </c>
      <c r="AW304" s="12" t="e">
        <f t="shared" si="303"/>
        <v>#REF!</v>
      </c>
      <c r="AX304" s="12" t="e">
        <f t="shared" si="304"/>
        <v>#REF!</v>
      </c>
      <c r="AY304" s="49" t="s">
        <v>610</v>
      </c>
      <c r="AZ304" s="49" t="s">
        <v>798</v>
      </c>
      <c r="BA304" s="10" t="s">
        <v>786</v>
      </c>
      <c r="BC304" s="12" t="e">
        <f t="shared" si="305"/>
        <v>#REF!</v>
      </c>
      <c r="BD304" s="12" t="e">
        <f t="shared" si="306"/>
        <v>#REF!</v>
      </c>
      <c r="BE304" s="12">
        <v>0</v>
      </c>
      <c r="BF304" s="12" t="e">
        <f t="shared" si="307"/>
        <v>#REF!</v>
      </c>
      <c r="BH304" s="12" t="e">
        <f t="shared" si="308"/>
        <v>#REF!</v>
      </c>
      <c r="BI304" s="12" t="e">
        <f t="shared" si="309"/>
        <v>#REF!</v>
      </c>
      <c r="BJ304" s="12" t="e">
        <f t="shared" si="310"/>
        <v>#REF!</v>
      </c>
      <c r="BK304" s="12"/>
      <c r="BL304" s="12">
        <v>722</v>
      </c>
      <c r="BW304" s="12" t="str">
        <f t="shared" si="311"/>
        <v>21</v>
      </c>
      <c r="BX304" s="3" t="s">
        <v>157</v>
      </c>
    </row>
    <row r="305" spans="1:76">
      <c r="A305" s="1" t="s">
        <v>810</v>
      </c>
      <c r="B305" s="2" t="s">
        <v>783</v>
      </c>
      <c r="C305" s="2" t="s">
        <v>162</v>
      </c>
      <c r="D305" s="349" t="s">
        <v>374</v>
      </c>
      <c r="E305" s="342"/>
      <c r="F305" s="2" t="s">
        <v>68</v>
      </c>
      <c r="G305" s="12" t="e">
        <f>#REF!</f>
        <v>#REF!</v>
      </c>
      <c r="H305" s="12" t="e">
        <f>#REF!</f>
        <v>#REF!</v>
      </c>
      <c r="I305" s="49" t="s">
        <v>554</v>
      </c>
      <c r="J305" s="12" t="e">
        <f t="shared" si="286"/>
        <v>#REF!</v>
      </c>
      <c r="K305" s="12" t="e">
        <f t="shared" si="287"/>
        <v>#REF!</v>
      </c>
      <c r="L305" s="12" t="e">
        <f t="shared" si="288"/>
        <v>#REF!</v>
      </c>
      <c r="M305" s="12" t="e">
        <f t="shared" si="289"/>
        <v>#REF!</v>
      </c>
      <c r="N305" s="12">
        <v>0</v>
      </c>
      <c r="O305" s="12" t="e">
        <f t="shared" si="290"/>
        <v>#REF!</v>
      </c>
      <c r="P305" s="50" t="s">
        <v>21</v>
      </c>
      <c r="Z305" s="12">
        <f t="shared" si="291"/>
        <v>0</v>
      </c>
      <c r="AB305" s="12">
        <f t="shared" si="292"/>
        <v>0</v>
      </c>
      <c r="AC305" s="12">
        <f t="shared" si="293"/>
        <v>0</v>
      </c>
      <c r="AD305" s="12" t="e">
        <f t="shared" si="294"/>
        <v>#REF!</v>
      </c>
      <c r="AE305" s="12" t="e">
        <f t="shared" si="295"/>
        <v>#REF!</v>
      </c>
      <c r="AF305" s="12">
        <f t="shared" si="296"/>
        <v>0</v>
      </c>
      <c r="AG305" s="12">
        <f t="shared" si="297"/>
        <v>0</v>
      </c>
      <c r="AH305" s="12">
        <f t="shared" si="298"/>
        <v>0</v>
      </c>
      <c r="AI305" s="10" t="s">
        <v>783</v>
      </c>
      <c r="AJ305" s="12">
        <f t="shared" si="299"/>
        <v>0</v>
      </c>
      <c r="AK305" s="12">
        <f t="shared" si="300"/>
        <v>0</v>
      </c>
      <c r="AL305" s="12" t="e">
        <f t="shared" si="301"/>
        <v>#REF!</v>
      </c>
      <c r="AN305" s="12">
        <v>21</v>
      </c>
      <c r="AO305" s="12" t="e">
        <f>H305*0.930503731</f>
        <v>#REF!</v>
      </c>
      <c r="AP305" s="12" t="e">
        <f>H305*(1-0.930503731)</f>
        <v>#REF!</v>
      </c>
      <c r="AQ305" s="49" t="s">
        <v>567</v>
      </c>
      <c r="AV305" s="12" t="e">
        <f t="shared" si="302"/>
        <v>#REF!</v>
      </c>
      <c r="AW305" s="12" t="e">
        <f t="shared" si="303"/>
        <v>#REF!</v>
      </c>
      <c r="AX305" s="12" t="e">
        <f t="shared" si="304"/>
        <v>#REF!</v>
      </c>
      <c r="AY305" s="49" t="s">
        <v>610</v>
      </c>
      <c r="AZ305" s="49" t="s">
        <v>798</v>
      </c>
      <c r="BA305" s="10" t="s">
        <v>786</v>
      </c>
      <c r="BC305" s="12" t="e">
        <f t="shared" si="305"/>
        <v>#REF!</v>
      </c>
      <c r="BD305" s="12" t="e">
        <f t="shared" si="306"/>
        <v>#REF!</v>
      </c>
      <c r="BE305" s="12">
        <v>0</v>
      </c>
      <c r="BF305" s="12" t="e">
        <f t="shared" si="307"/>
        <v>#REF!</v>
      </c>
      <c r="BH305" s="12" t="e">
        <f t="shared" si="308"/>
        <v>#REF!</v>
      </c>
      <c r="BI305" s="12" t="e">
        <f t="shared" si="309"/>
        <v>#REF!</v>
      </c>
      <c r="BJ305" s="12" t="e">
        <f t="shared" si="310"/>
        <v>#REF!</v>
      </c>
      <c r="BK305" s="12"/>
      <c r="BL305" s="12">
        <v>722</v>
      </c>
      <c r="BW305" s="12" t="str">
        <f t="shared" si="311"/>
        <v>21</v>
      </c>
      <c r="BX305" s="3" t="s">
        <v>374</v>
      </c>
    </row>
    <row r="306" spans="1:76">
      <c r="A306" s="1" t="s">
        <v>811</v>
      </c>
      <c r="B306" s="2" t="s">
        <v>783</v>
      </c>
      <c r="C306" s="2" t="s">
        <v>375</v>
      </c>
      <c r="D306" s="349" t="s">
        <v>445</v>
      </c>
      <c r="E306" s="342"/>
      <c r="F306" s="2" t="s">
        <v>68</v>
      </c>
      <c r="G306" s="12" t="e">
        <f>#REF!</f>
        <v>#REF!</v>
      </c>
      <c r="H306" s="12" t="e">
        <f>#REF!</f>
        <v>#REF!</v>
      </c>
      <c r="I306" s="49" t="s">
        <v>554</v>
      </c>
      <c r="J306" s="12" t="e">
        <f t="shared" si="286"/>
        <v>#REF!</v>
      </c>
      <c r="K306" s="12" t="e">
        <f t="shared" si="287"/>
        <v>#REF!</v>
      </c>
      <c r="L306" s="12" t="e">
        <f t="shared" si="288"/>
        <v>#REF!</v>
      </c>
      <c r="M306" s="12" t="e">
        <f t="shared" si="289"/>
        <v>#REF!</v>
      </c>
      <c r="N306" s="12">
        <v>0.04</v>
      </c>
      <c r="O306" s="12" t="e">
        <f t="shared" si="290"/>
        <v>#REF!</v>
      </c>
      <c r="P306" s="50" t="s">
        <v>605</v>
      </c>
      <c r="Z306" s="12">
        <f t="shared" si="291"/>
        <v>0</v>
      </c>
      <c r="AB306" s="12">
        <f t="shared" si="292"/>
        <v>0</v>
      </c>
      <c r="AC306" s="12">
        <f t="shared" si="293"/>
        <v>0</v>
      </c>
      <c r="AD306" s="12" t="e">
        <f t="shared" si="294"/>
        <v>#REF!</v>
      </c>
      <c r="AE306" s="12" t="e">
        <f t="shared" si="295"/>
        <v>#REF!</v>
      </c>
      <c r="AF306" s="12">
        <f t="shared" si="296"/>
        <v>0</v>
      </c>
      <c r="AG306" s="12">
        <f t="shared" si="297"/>
        <v>0</v>
      </c>
      <c r="AH306" s="12">
        <f t="shared" si="298"/>
        <v>0</v>
      </c>
      <c r="AI306" s="10" t="s">
        <v>783</v>
      </c>
      <c r="AJ306" s="12">
        <f t="shared" si="299"/>
        <v>0</v>
      </c>
      <c r="AK306" s="12">
        <f t="shared" si="300"/>
        <v>0</v>
      </c>
      <c r="AL306" s="12" t="e">
        <f t="shared" si="301"/>
        <v>#REF!</v>
      </c>
      <c r="AN306" s="12">
        <v>21</v>
      </c>
      <c r="AO306" s="12" t="e">
        <f>H306*1</f>
        <v>#REF!</v>
      </c>
      <c r="AP306" s="12" t="e">
        <f>H306*(1-1)</f>
        <v>#REF!</v>
      </c>
      <c r="AQ306" s="49" t="s">
        <v>567</v>
      </c>
      <c r="AV306" s="12" t="e">
        <f t="shared" si="302"/>
        <v>#REF!</v>
      </c>
      <c r="AW306" s="12" t="e">
        <f t="shared" si="303"/>
        <v>#REF!</v>
      </c>
      <c r="AX306" s="12" t="e">
        <f t="shared" si="304"/>
        <v>#REF!</v>
      </c>
      <c r="AY306" s="49" t="s">
        <v>610</v>
      </c>
      <c r="AZ306" s="49" t="s">
        <v>798</v>
      </c>
      <c r="BA306" s="10" t="s">
        <v>786</v>
      </c>
      <c r="BC306" s="12" t="e">
        <f t="shared" si="305"/>
        <v>#REF!</v>
      </c>
      <c r="BD306" s="12" t="e">
        <f t="shared" si="306"/>
        <v>#REF!</v>
      </c>
      <c r="BE306" s="12">
        <v>0</v>
      </c>
      <c r="BF306" s="12" t="e">
        <f t="shared" si="307"/>
        <v>#REF!</v>
      </c>
      <c r="BH306" s="12" t="e">
        <f t="shared" si="308"/>
        <v>#REF!</v>
      </c>
      <c r="BI306" s="12" t="e">
        <f t="shared" si="309"/>
        <v>#REF!</v>
      </c>
      <c r="BJ306" s="12" t="e">
        <f t="shared" si="310"/>
        <v>#REF!</v>
      </c>
      <c r="BK306" s="12"/>
      <c r="BL306" s="12">
        <v>722</v>
      </c>
      <c r="BW306" s="12" t="str">
        <f t="shared" si="311"/>
        <v>21</v>
      </c>
      <c r="BX306" s="3" t="s">
        <v>445</v>
      </c>
    </row>
    <row r="307" spans="1:76">
      <c r="A307" s="46" t="s">
        <v>21</v>
      </c>
      <c r="B307" s="9" t="s">
        <v>783</v>
      </c>
      <c r="C307" s="9" t="s">
        <v>380</v>
      </c>
      <c r="D307" s="359" t="s">
        <v>381</v>
      </c>
      <c r="E307" s="360"/>
      <c r="F307" s="47" t="s">
        <v>20</v>
      </c>
      <c r="G307" s="47" t="s">
        <v>20</v>
      </c>
      <c r="H307" s="47" t="s">
        <v>20</v>
      </c>
      <c r="I307" s="47" t="s">
        <v>20</v>
      </c>
      <c r="J307" s="11" t="e">
        <f>SUM(J308:J308)</f>
        <v>#REF!</v>
      </c>
      <c r="K307" s="11" t="e">
        <f>SUM(K308:K308)</f>
        <v>#REF!</v>
      </c>
      <c r="L307" s="11" t="e">
        <f>SUM(L308:L308)</f>
        <v>#REF!</v>
      </c>
      <c r="M307" s="11" t="e">
        <f>SUM(M308:M308)</f>
        <v>#REF!</v>
      </c>
      <c r="N307" s="10" t="s">
        <v>21</v>
      </c>
      <c r="O307" s="11" t="e">
        <f>SUM(O308:O308)</f>
        <v>#REF!</v>
      </c>
      <c r="P307" s="48" t="s">
        <v>21</v>
      </c>
      <c r="AI307" s="10" t="s">
        <v>783</v>
      </c>
      <c r="AS307" s="11">
        <f>SUM(AJ308:AJ308)</f>
        <v>0</v>
      </c>
      <c r="AT307" s="11">
        <f>SUM(AK308:AK308)</f>
        <v>0</v>
      </c>
      <c r="AU307" s="11" t="e">
        <f>SUM(AL308:AL308)</f>
        <v>#REF!</v>
      </c>
    </row>
    <row r="308" spans="1:76">
      <c r="A308" s="1" t="s">
        <v>812</v>
      </c>
      <c r="B308" s="2" t="s">
        <v>783</v>
      </c>
      <c r="C308" s="2" t="s">
        <v>83</v>
      </c>
      <c r="D308" s="349" t="s">
        <v>255</v>
      </c>
      <c r="E308" s="342"/>
      <c r="F308" s="2" t="s">
        <v>58</v>
      </c>
      <c r="G308" s="12" t="e">
        <f>#REF!</f>
        <v>#REF!</v>
      </c>
      <c r="H308" s="12" t="e">
        <f>#REF!</f>
        <v>#REF!</v>
      </c>
      <c r="I308" s="49" t="s">
        <v>554</v>
      </c>
      <c r="J308" s="12" t="e">
        <f>G308*AO308</f>
        <v>#REF!</v>
      </c>
      <c r="K308" s="12" t="e">
        <f>G308*AP308</f>
        <v>#REF!</v>
      </c>
      <c r="L308" s="12" t="e">
        <f>G308*H308</f>
        <v>#REF!</v>
      </c>
      <c r="M308" s="12" t="e">
        <f>L308*(1+BW308/100)</f>
        <v>#REF!</v>
      </c>
      <c r="N308" s="12">
        <v>0</v>
      </c>
      <c r="O308" s="12" t="e">
        <f>G308*N308</f>
        <v>#REF!</v>
      </c>
      <c r="P308" s="50" t="s">
        <v>21</v>
      </c>
      <c r="Z308" s="12">
        <f>IF(AQ308="5",BJ308,0)</f>
        <v>0</v>
      </c>
      <c r="AB308" s="12">
        <f>IF(AQ308="1",BH308,0)</f>
        <v>0</v>
      </c>
      <c r="AC308" s="12">
        <f>IF(AQ308="1",BI308,0)</f>
        <v>0</v>
      </c>
      <c r="AD308" s="12" t="e">
        <f>IF(AQ308="7",BH308,0)</f>
        <v>#REF!</v>
      </c>
      <c r="AE308" s="12" t="e">
        <f>IF(AQ308="7",BI308,0)</f>
        <v>#REF!</v>
      </c>
      <c r="AF308" s="12">
        <f>IF(AQ308="2",BH308,0)</f>
        <v>0</v>
      </c>
      <c r="AG308" s="12">
        <f>IF(AQ308="2",BI308,0)</f>
        <v>0</v>
      </c>
      <c r="AH308" s="12">
        <f>IF(AQ308="0",BJ308,0)</f>
        <v>0</v>
      </c>
      <c r="AI308" s="10" t="s">
        <v>783</v>
      </c>
      <c r="AJ308" s="12">
        <f>IF(AN308=0,L308,0)</f>
        <v>0</v>
      </c>
      <c r="AK308" s="12">
        <f>IF(AN308=12,L308,0)</f>
        <v>0</v>
      </c>
      <c r="AL308" s="12" t="e">
        <f>IF(AN308=21,L308,0)</f>
        <v>#REF!</v>
      </c>
      <c r="AN308" s="12">
        <v>21</v>
      </c>
      <c r="AO308" s="12" t="e">
        <f>H308*0.346020761</f>
        <v>#REF!</v>
      </c>
      <c r="AP308" s="12" t="e">
        <f>H308*(1-0.346020761)</f>
        <v>#REF!</v>
      </c>
      <c r="AQ308" s="49" t="s">
        <v>567</v>
      </c>
      <c r="AV308" s="12" t="e">
        <f>AW308+AX308</f>
        <v>#REF!</v>
      </c>
      <c r="AW308" s="12" t="e">
        <f>G308*AO308</f>
        <v>#REF!</v>
      </c>
      <c r="AX308" s="12" t="e">
        <f>G308*AP308</f>
        <v>#REF!</v>
      </c>
      <c r="AY308" s="49" t="s">
        <v>745</v>
      </c>
      <c r="AZ308" s="49" t="s">
        <v>813</v>
      </c>
      <c r="BA308" s="10" t="s">
        <v>786</v>
      </c>
      <c r="BC308" s="12" t="e">
        <f>AW308+AX308</f>
        <v>#REF!</v>
      </c>
      <c r="BD308" s="12" t="e">
        <f>H308/(100-BE308)*100</f>
        <v>#REF!</v>
      </c>
      <c r="BE308" s="12">
        <v>0</v>
      </c>
      <c r="BF308" s="12" t="e">
        <f>O308</f>
        <v>#REF!</v>
      </c>
      <c r="BH308" s="12" t="e">
        <f>G308*AO308</f>
        <v>#REF!</v>
      </c>
      <c r="BI308" s="12" t="e">
        <f>G308*AP308</f>
        <v>#REF!</v>
      </c>
      <c r="BJ308" s="12" t="e">
        <f>G308*H308</f>
        <v>#REF!</v>
      </c>
      <c r="BK308" s="12"/>
      <c r="BL308" s="12">
        <v>73</v>
      </c>
      <c r="BW308" s="12" t="str">
        <f>I308</f>
        <v>21</v>
      </c>
      <c r="BX308" s="3" t="s">
        <v>255</v>
      </c>
    </row>
    <row r="309" spans="1:76">
      <c r="A309" s="46" t="s">
        <v>21</v>
      </c>
      <c r="B309" s="9" t="s">
        <v>783</v>
      </c>
      <c r="C309" s="9" t="s">
        <v>64</v>
      </c>
      <c r="D309" s="359" t="s">
        <v>65</v>
      </c>
      <c r="E309" s="360"/>
      <c r="F309" s="47" t="s">
        <v>20</v>
      </c>
      <c r="G309" s="47" t="s">
        <v>20</v>
      </c>
      <c r="H309" s="47" t="s">
        <v>20</v>
      </c>
      <c r="I309" s="47" t="s">
        <v>20</v>
      </c>
      <c r="J309" s="11" t="e">
        <f>SUM(J310:J316)</f>
        <v>#REF!</v>
      </c>
      <c r="K309" s="11" t="e">
        <f>SUM(K310:K316)</f>
        <v>#REF!</v>
      </c>
      <c r="L309" s="11" t="e">
        <f>SUM(L310:L316)</f>
        <v>#REF!</v>
      </c>
      <c r="M309" s="11" t="e">
        <f>SUM(M310:M316)</f>
        <v>#REF!</v>
      </c>
      <c r="N309" s="10" t="s">
        <v>21</v>
      </c>
      <c r="O309" s="11" t="e">
        <f>SUM(O310:O316)</f>
        <v>#REF!</v>
      </c>
      <c r="P309" s="48" t="s">
        <v>21</v>
      </c>
      <c r="AI309" s="10" t="s">
        <v>783</v>
      </c>
      <c r="AS309" s="11">
        <f>SUM(AJ310:AJ316)</f>
        <v>0</v>
      </c>
      <c r="AT309" s="11">
        <f>SUM(AK310:AK316)</f>
        <v>0</v>
      </c>
      <c r="AU309" s="11" t="e">
        <f>SUM(AL310:AL316)</f>
        <v>#REF!</v>
      </c>
    </row>
    <row r="310" spans="1:76">
      <c r="A310" s="1" t="s">
        <v>814</v>
      </c>
      <c r="B310" s="2" t="s">
        <v>783</v>
      </c>
      <c r="C310" s="2" t="s">
        <v>382</v>
      </c>
      <c r="D310" s="349" t="s">
        <v>114</v>
      </c>
      <c r="E310" s="342"/>
      <c r="F310" s="2" t="s">
        <v>58</v>
      </c>
      <c r="G310" s="12" t="e">
        <f>#REF!</f>
        <v>#REF!</v>
      </c>
      <c r="H310" s="12" t="e">
        <f>#REF!</f>
        <v>#REF!</v>
      </c>
      <c r="I310" s="49" t="s">
        <v>554</v>
      </c>
      <c r="J310" s="12" t="e">
        <f t="shared" ref="J310:J316" si="312">G310*AO310</f>
        <v>#REF!</v>
      </c>
      <c r="K310" s="12" t="e">
        <f t="shared" ref="K310:K316" si="313">G310*AP310</f>
        <v>#REF!</v>
      </c>
      <c r="L310" s="12" t="e">
        <f t="shared" ref="L310:L316" si="314">G310*H310</f>
        <v>#REF!</v>
      </c>
      <c r="M310" s="12" t="e">
        <f t="shared" ref="M310:M316" si="315">L310*(1+BW310/100)</f>
        <v>#REF!</v>
      </c>
      <c r="N310" s="12">
        <v>1.1299999999999999E-3</v>
      </c>
      <c r="O310" s="12" t="e">
        <f t="shared" ref="O310:O316" si="316">G310*N310</f>
        <v>#REF!</v>
      </c>
      <c r="P310" s="50" t="s">
        <v>577</v>
      </c>
      <c r="Z310" s="12">
        <f t="shared" ref="Z310:Z316" si="317">IF(AQ310="5",BJ310,0)</f>
        <v>0</v>
      </c>
      <c r="AB310" s="12">
        <f t="shared" ref="AB310:AB316" si="318">IF(AQ310="1",BH310,0)</f>
        <v>0</v>
      </c>
      <c r="AC310" s="12">
        <f t="shared" ref="AC310:AC316" si="319">IF(AQ310="1",BI310,0)</f>
        <v>0</v>
      </c>
      <c r="AD310" s="12" t="e">
        <f t="shared" ref="AD310:AD316" si="320">IF(AQ310="7",BH310,0)</f>
        <v>#REF!</v>
      </c>
      <c r="AE310" s="12" t="e">
        <f t="shared" ref="AE310:AE316" si="321">IF(AQ310="7",BI310,0)</f>
        <v>#REF!</v>
      </c>
      <c r="AF310" s="12">
        <f t="shared" ref="AF310:AF316" si="322">IF(AQ310="2",BH310,0)</f>
        <v>0</v>
      </c>
      <c r="AG310" s="12">
        <f t="shared" ref="AG310:AG316" si="323">IF(AQ310="2",BI310,0)</f>
        <v>0</v>
      </c>
      <c r="AH310" s="12">
        <f t="shared" ref="AH310:AH316" si="324">IF(AQ310="0",BJ310,0)</f>
        <v>0</v>
      </c>
      <c r="AI310" s="10" t="s">
        <v>783</v>
      </c>
      <c r="AJ310" s="12">
        <f t="shared" ref="AJ310:AJ316" si="325">IF(AN310=0,L310,0)</f>
        <v>0</v>
      </c>
      <c r="AK310" s="12">
        <f t="shared" ref="AK310:AK316" si="326">IF(AN310=12,L310,0)</f>
        <v>0</v>
      </c>
      <c r="AL310" s="12" t="e">
        <f t="shared" ref="AL310:AL316" si="327">IF(AN310=21,L310,0)</f>
        <v>#REF!</v>
      </c>
      <c r="AN310" s="12">
        <v>21</v>
      </c>
      <c r="AO310" s="12" t="e">
        <f>H310*0.628766234</f>
        <v>#REF!</v>
      </c>
      <c r="AP310" s="12" t="e">
        <f>H310*(1-0.628766234)</f>
        <v>#REF!</v>
      </c>
      <c r="AQ310" s="49" t="s">
        <v>567</v>
      </c>
      <c r="AV310" s="12" t="e">
        <f t="shared" ref="AV310:AV316" si="328">AW310+AX310</f>
        <v>#REF!</v>
      </c>
      <c r="AW310" s="12" t="e">
        <f t="shared" ref="AW310:AW316" si="329">G310*AO310</f>
        <v>#REF!</v>
      </c>
      <c r="AX310" s="12" t="e">
        <f t="shared" ref="AX310:AX316" si="330">G310*AP310</f>
        <v>#REF!</v>
      </c>
      <c r="AY310" s="49" t="s">
        <v>580</v>
      </c>
      <c r="AZ310" s="49" t="s">
        <v>813</v>
      </c>
      <c r="BA310" s="10" t="s">
        <v>786</v>
      </c>
      <c r="BC310" s="12" t="e">
        <f t="shared" ref="BC310:BC316" si="331">AW310+AX310</f>
        <v>#REF!</v>
      </c>
      <c r="BD310" s="12" t="e">
        <f t="shared" ref="BD310:BD316" si="332">H310/(100-BE310)*100</f>
        <v>#REF!</v>
      </c>
      <c r="BE310" s="12">
        <v>0</v>
      </c>
      <c r="BF310" s="12" t="e">
        <f t="shared" ref="BF310:BF316" si="333">O310</f>
        <v>#REF!</v>
      </c>
      <c r="BH310" s="12" t="e">
        <f t="shared" ref="BH310:BH316" si="334">G310*AO310</f>
        <v>#REF!</v>
      </c>
      <c r="BI310" s="12" t="e">
        <f t="shared" ref="BI310:BI316" si="335">G310*AP310</f>
        <v>#REF!</v>
      </c>
      <c r="BJ310" s="12" t="e">
        <f t="shared" ref="BJ310:BJ316" si="336">G310*H310</f>
        <v>#REF!</v>
      </c>
      <c r="BK310" s="12"/>
      <c r="BL310" s="12">
        <v>732</v>
      </c>
      <c r="BW310" s="12" t="str">
        <f t="shared" ref="BW310:BW316" si="337">I310</f>
        <v>21</v>
      </c>
      <c r="BX310" s="3" t="s">
        <v>114</v>
      </c>
    </row>
    <row r="311" spans="1:76">
      <c r="A311" s="1" t="s">
        <v>815</v>
      </c>
      <c r="B311" s="2" t="s">
        <v>783</v>
      </c>
      <c r="C311" s="2" t="s">
        <v>383</v>
      </c>
      <c r="D311" s="349" t="s">
        <v>384</v>
      </c>
      <c r="E311" s="342"/>
      <c r="F311" s="2" t="s">
        <v>63</v>
      </c>
      <c r="G311" s="12" t="e">
        <f>#REF!</f>
        <v>#REF!</v>
      </c>
      <c r="H311" s="12" t="e">
        <f>#REF!</f>
        <v>#REF!</v>
      </c>
      <c r="I311" s="49" t="s">
        <v>554</v>
      </c>
      <c r="J311" s="12" t="e">
        <f t="shared" si="312"/>
        <v>#REF!</v>
      </c>
      <c r="K311" s="12" t="e">
        <f t="shared" si="313"/>
        <v>#REF!</v>
      </c>
      <c r="L311" s="12" t="e">
        <f t="shared" si="314"/>
        <v>#REF!</v>
      </c>
      <c r="M311" s="12" t="e">
        <f t="shared" si="315"/>
        <v>#REF!</v>
      </c>
      <c r="N311" s="12">
        <v>7.7420000000000003E-2</v>
      </c>
      <c r="O311" s="12" t="e">
        <f t="shared" si="316"/>
        <v>#REF!</v>
      </c>
      <c r="P311" s="50" t="s">
        <v>577</v>
      </c>
      <c r="Z311" s="12">
        <f t="shared" si="317"/>
        <v>0</v>
      </c>
      <c r="AB311" s="12">
        <f t="shared" si="318"/>
        <v>0</v>
      </c>
      <c r="AC311" s="12">
        <f t="shared" si="319"/>
        <v>0</v>
      </c>
      <c r="AD311" s="12" t="e">
        <f t="shared" si="320"/>
        <v>#REF!</v>
      </c>
      <c r="AE311" s="12" t="e">
        <f t="shared" si="321"/>
        <v>#REF!</v>
      </c>
      <c r="AF311" s="12">
        <f t="shared" si="322"/>
        <v>0</v>
      </c>
      <c r="AG311" s="12">
        <f t="shared" si="323"/>
        <v>0</v>
      </c>
      <c r="AH311" s="12">
        <f t="shared" si="324"/>
        <v>0</v>
      </c>
      <c r="AI311" s="10" t="s">
        <v>783</v>
      </c>
      <c r="AJ311" s="12">
        <f t="shared" si="325"/>
        <v>0</v>
      </c>
      <c r="AK311" s="12">
        <f t="shared" si="326"/>
        <v>0</v>
      </c>
      <c r="AL311" s="12" t="e">
        <f t="shared" si="327"/>
        <v>#REF!</v>
      </c>
      <c r="AN311" s="12">
        <v>21</v>
      </c>
      <c r="AO311" s="12" t="e">
        <f>H311*0</f>
        <v>#REF!</v>
      </c>
      <c r="AP311" s="12" t="e">
        <f>H311*(1-0)</f>
        <v>#REF!</v>
      </c>
      <c r="AQ311" s="49" t="s">
        <v>567</v>
      </c>
      <c r="AV311" s="12" t="e">
        <f t="shared" si="328"/>
        <v>#REF!</v>
      </c>
      <c r="AW311" s="12" t="e">
        <f t="shared" si="329"/>
        <v>#REF!</v>
      </c>
      <c r="AX311" s="12" t="e">
        <f t="shared" si="330"/>
        <v>#REF!</v>
      </c>
      <c r="AY311" s="49" t="s">
        <v>580</v>
      </c>
      <c r="AZ311" s="49" t="s">
        <v>813</v>
      </c>
      <c r="BA311" s="10" t="s">
        <v>786</v>
      </c>
      <c r="BC311" s="12" t="e">
        <f t="shared" si="331"/>
        <v>#REF!</v>
      </c>
      <c r="BD311" s="12" t="e">
        <f t="shared" si="332"/>
        <v>#REF!</v>
      </c>
      <c r="BE311" s="12">
        <v>0</v>
      </c>
      <c r="BF311" s="12" t="e">
        <f t="shared" si="333"/>
        <v>#REF!</v>
      </c>
      <c r="BH311" s="12" t="e">
        <f t="shared" si="334"/>
        <v>#REF!</v>
      </c>
      <c r="BI311" s="12" t="e">
        <f t="shared" si="335"/>
        <v>#REF!</v>
      </c>
      <c r="BJ311" s="12" t="e">
        <f t="shared" si="336"/>
        <v>#REF!</v>
      </c>
      <c r="BK311" s="12"/>
      <c r="BL311" s="12">
        <v>732</v>
      </c>
      <c r="BW311" s="12" t="str">
        <f t="shared" si="337"/>
        <v>21</v>
      </c>
      <c r="BX311" s="3" t="s">
        <v>384</v>
      </c>
    </row>
    <row r="312" spans="1:76">
      <c r="A312" s="1" t="s">
        <v>816</v>
      </c>
      <c r="B312" s="2" t="s">
        <v>783</v>
      </c>
      <c r="C312" s="2" t="s">
        <v>385</v>
      </c>
      <c r="D312" s="349" t="s">
        <v>386</v>
      </c>
      <c r="E312" s="342"/>
      <c r="F312" s="2" t="s">
        <v>68</v>
      </c>
      <c r="G312" s="12" t="e">
        <f>#REF!</f>
        <v>#REF!</v>
      </c>
      <c r="H312" s="12" t="e">
        <f>#REF!</f>
        <v>#REF!</v>
      </c>
      <c r="I312" s="49" t="s">
        <v>554</v>
      </c>
      <c r="J312" s="12" t="e">
        <f t="shared" si="312"/>
        <v>#REF!</v>
      </c>
      <c r="K312" s="12" t="e">
        <f t="shared" si="313"/>
        <v>#REF!</v>
      </c>
      <c r="L312" s="12" t="e">
        <f t="shared" si="314"/>
        <v>#REF!</v>
      </c>
      <c r="M312" s="12" t="e">
        <f t="shared" si="315"/>
        <v>#REF!</v>
      </c>
      <c r="N312" s="12">
        <v>6.5329999999999999E-2</v>
      </c>
      <c r="O312" s="12" t="e">
        <f t="shared" si="316"/>
        <v>#REF!</v>
      </c>
      <c r="P312" s="50" t="s">
        <v>605</v>
      </c>
      <c r="Z312" s="12">
        <f t="shared" si="317"/>
        <v>0</v>
      </c>
      <c r="AB312" s="12">
        <f t="shared" si="318"/>
        <v>0</v>
      </c>
      <c r="AC312" s="12">
        <f t="shared" si="319"/>
        <v>0</v>
      </c>
      <c r="AD312" s="12" t="e">
        <f t="shared" si="320"/>
        <v>#REF!</v>
      </c>
      <c r="AE312" s="12" t="e">
        <f t="shared" si="321"/>
        <v>#REF!</v>
      </c>
      <c r="AF312" s="12">
        <f t="shared" si="322"/>
        <v>0</v>
      </c>
      <c r="AG312" s="12">
        <f t="shared" si="323"/>
        <v>0</v>
      </c>
      <c r="AH312" s="12">
        <f t="shared" si="324"/>
        <v>0</v>
      </c>
      <c r="AI312" s="10" t="s">
        <v>783</v>
      </c>
      <c r="AJ312" s="12">
        <f t="shared" si="325"/>
        <v>0</v>
      </c>
      <c r="AK312" s="12">
        <f t="shared" si="326"/>
        <v>0</v>
      </c>
      <c r="AL312" s="12" t="e">
        <f t="shared" si="327"/>
        <v>#REF!</v>
      </c>
      <c r="AN312" s="12">
        <v>21</v>
      </c>
      <c r="AO312" s="12" t="e">
        <f>H312*0.674383346</f>
        <v>#REF!</v>
      </c>
      <c r="AP312" s="12" t="e">
        <f>H312*(1-0.674383346)</f>
        <v>#REF!</v>
      </c>
      <c r="AQ312" s="49" t="s">
        <v>567</v>
      </c>
      <c r="AV312" s="12" t="e">
        <f t="shared" si="328"/>
        <v>#REF!</v>
      </c>
      <c r="AW312" s="12" t="e">
        <f t="shared" si="329"/>
        <v>#REF!</v>
      </c>
      <c r="AX312" s="12" t="e">
        <f t="shared" si="330"/>
        <v>#REF!</v>
      </c>
      <c r="AY312" s="49" t="s">
        <v>580</v>
      </c>
      <c r="AZ312" s="49" t="s">
        <v>813</v>
      </c>
      <c r="BA312" s="10" t="s">
        <v>786</v>
      </c>
      <c r="BC312" s="12" t="e">
        <f t="shared" si="331"/>
        <v>#REF!</v>
      </c>
      <c r="BD312" s="12" t="e">
        <f t="shared" si="332"/>
        <v>#REF!</v>
      </c>
      <c r="BE312" s="12">
        <v>0</v>
      </c>
      <c r="BF312" s="12" t="e">
        <f t="shared" si="333"/>
        <v>#REF!</v>
      </c>
      <c r="BH312" s="12" t="e">
        <f t="shared" si="334"/>
        <v>#REF!</v>
      </c>
      <c r="BI312" s="12" t="e">
        <f t="shared" si="335"/>
        <v>#REF!</v>
      </c>
      <c r="BJ312" s="12" t="e">
        <f t="shared" si="336"/>
        <v>#REF!</v>
      </c>
      <c r="BK312" s="12"/>
      <c r="BL312" s="12">
        <v>732</v>
      </c>
      <c r="BW312" s="12" t="str">
        <f t="shared" si="337"/>
        <v>21</v>
      </c>
      <c r="BX312" s="3" t="s">
        <v>386</v>
      </c>
    </row>
    <row r="313" spans="1:76">
      <c r="A313" s="1" t="s">
        <v>817</v>
      </c>
      <c r="B313" s="2" t="s">
        <v>783</v>
      </c>
      <c r="C313" s="2" t="s">
        <v>387</v>
      </c>
      <c r="D313" s="349" t="s">
        <v>388</v>
      </c>
      <c r="E313" s="342"/>
      <c r="F313" s="2" t="s">
        <v>68</v>
      </c>
      <c r="G313" s="12" t="e">
        <f>#REF!</f>
        <v>#REF!</v>
      </c>
      <c r="H313" s="12" t="e">
        <f>#REF!</f>
        <v>#REF!</v>
      </c>
      <c r="I313" s="49" t="s">
        <v>554</v>
      </c>
      <c r="J313" s="12" t="e">
        <f t="shared" si="312"/>
        <v>#REF!</v>
      </c>
      <c r="K313" s="12" t="e">
        <f t="shared" si="313"/>
        <v>#REF!</v>
      </c>
      <c r="L313" s="12" t="e">
        <f t="shared" si="314"/>
        <v>#REF!</v>
      </c>
      <c r="M313" s="12" t="e">
        <f t="shared" si="315"/>
        <v>#REF!</v>
      </c>
      <c r="N313" s="12">
        <v>7.417E-2</v>
      </c>
      <c r="O313" s="12" t="e">
        <f t="shared" si="316"/>
        <v>#REF!</v>
      </c>
      <c r="P313" s="50" t="s">
        <v>577</v>
      </c>
      <c r="Z313" s="12">
        <f t="shared" si="317"/>
        <v>0</v>
      </c>
      <c r="AB313" s="12">
        <f t="shared" si="318"/>
        <v>0</v>
      </c>
      <c r="AC313" s="12">
        <f t="shared" si="319"/>
        <v>0</v>
      </c>
      <c r="AD313" s="12" t="e">
        <f t="shared" si="320"/>
        <v>#REF!</v>
      </c>
      <c r="AE313" s="12" t="e">
        <f t="shared" si="321"/>
        <v>#REF!</v>
      </c>
      <c r="AF313" s="12">
        <f t="shared" si="322"/>
        <v>0</v>
      </c>
      <c r="AG313" s="12">
        <f t="shared" si="323"/>
        <v>0</v>
      </c>
      <c r="AH313" s="12">
        <f t="shared" si="324"/>
        <v>0</v>
      </c>
      <c r="AI313" s="10" t="s">
        <v>783</v>
      </c>
      <c r="AJ313" s="12">
        <f t="shared" si="325"/>
        <v>0</v>
      </c>
      <c r="AK313" s="12">
        <f t="shared" si="326"/>
        <v>0</v>
      </c>
      <c r="AL313" s="12" t="e">
        <f t="shared" si="327"/>
        <v>#REF!</v>
      </c>
      <c r="AN313" s="12">
        <v>21</v>
      </c>
      <c r="AO313" s="12" t="e">
        <f>H313*0.47508805</f>
        <v>#REF!</v>
      </c>
      <c r="AP313" s="12" t="e">
        <f>H313*(1-0.47508805)</f>
        <v>#REF!</v>
      </c>
      <c r="AQ313" s="49" t="s">
        <v>567</v>
      </c>
      <c r="AV313" s="12" t="e">
        <f t="shared" si="328"/>
        <v>#REF!</v>
      </c>
      <c r="AW313" s="12" t="e">
        <f t="shared" si="329"/>
        <v>#REF!</v>
      </c>
      <c r="AX313" s="12" t="e">
        <f t="shared" si="330"/>
        <v>#REF!</v>
      </c>
      <c r="AY313" s="49" t="s">
        <v>580</v>
      </c>
      <c r="AZ313" s="49" t="s">
        <v>813</v>
      </c>
      <c r="BA313" s="10" t="s">
        <v>786</v>
      </c>
      <c r="BC313" s="12" t="e">
        <f t="shared" si="331"/>
        <v>#REF!</v>
      </c>
      <c r="BD313" s="12" t="e">
        <f t="shared" si="332"/>
        <v>#REF!</v>
      </c>
      <c r="BE313" s="12">
        <v>0</v>
      </c>
      <c r="BF313" s="12" t="e">
        <f t="shared" si="333"/>
        <v>#REF!</v>
      </c>
      <c r="BH313" s="12" t="e">
        <f t="shared" si="334"/>
        <v>#REF!</v>
      </c>
      <c r="BI313" s="12" t="e">
        <f t="shared" si="335"/>
        <v>#REF!</v>
      </c>
      <c r="BJ313" s="12" t="e">
        <f t="shared" si="336"/>
        <v>#REF!</v>
      </c>
      <c r="BK313" s="12"/>
      <c r="BL313" s="12">
        <v>732</v>
      </c>
      <c r="BW313" s="12" t="str">
        <f t="shared" si="337"/>
        <v>21</v>
      </c>
      <c r="BX313" s="3" t="s">
        <v>388</v>
      </c>
    </row>
    <row r="314" spans="1:76">
      <c r="A314" s="1" t="s">
        <v>818</v>
      </c>
      <c r="B314" s="2" t="s">
        <v>783</v>
      </c>
      <c r="C314" s="2" t="s">
        <v>179</v>
      </c>
      <c r="D314" s="349" t="s">
        <v>389</v>
      </c>
      <c r="E314" s="342"/>
      <c r="F314" s="2" t="s">
        <v>21</v>
      </c>
      <c r="G314" s="12" t="e">
        <f>#REF!</f>
        <v>#REF!</v>
      </c>
      <c r="H314" s="12" t="e">
        <f>#REF!</f>
        <v>#REF!</v>
      </c>
      <c r="I314" s="49" t="s">
        <v>554</v>
      </c>
      <c r="J314" s="12" t="e">
        <f t="shared" si="312"/>
        <v>#REF!</v>
      </c>
      <c r="K314" s="12" t="e">
        <f t="shared" si="313"/>
        <v>#REF!</v>
      </c>
      <c r="L314" s="12" t="e">
        <f t="shared" si="314"/>
        <v>#REF!</v>
      </c>
      <c r="M314" s="12" t="e">
        <f t="shared" si="315"/>
        <v>#REF!</v>
      </c>
      <c r="N314" s="12">
        <v>0</v>
      </c>
      <c r="O314" s="12" t="e">
        <f t="shared" si="316"/>
        <v>#REF!</v>
      </c>
      <c r="P314" s="50" t="s">
        <v>21</v>
      </c>
      <c r="Z314" s="12">
        <f t="shared" si="317"/>
        <v>0</v>
      </c>
      <c r="AB314" s="12">
        <f t="shared" si="318"/>
        <v>0</v>
      </c>
      <c r="AC314" s="12">
        <f t="shared" si="319"/>
        <v>0</v>
      </c>
      <c r="AD314" s="12" t="e">
        <f t="shared" si="320"/>
        <v>#REF!</v>
      </c>
      <c r="AE314" s="12" t="e">
        <f t="shared" si="321"/>
        <v>#REF!</v>
      </c>
      <c r="AF314" s="12">
        <f t="shared" si="322"/>
        <v>0</v>
      </c>
      <c r="AG314" s="12">
        <f t="shared" si="323"/>
        <v>0</v>
      </c>
      <c r="AH314" s="12">
        <f t="shared" si="324"/>
        <v>0</v>
      </c>
      <c r="AI314" s="10" t="s">
        <v>783</v>
      </c>
      <c r="AJ314" s="12">
        <f t="shared" si="325"/>
        <v>0</v>
      </c>
      <c r="AK314" s="12">
        <f t="shared" si="326"/>
        <v>0</v>
      </c>
      <c r="AL314" s="12" t="e">
        <f t="shared" si="327"/>
        <v>#REF!</v>
      </c>
      <c r="AN314" s="12">
        <v>21</v>
      </c>
      <c r="AO314" s="12" t="e">
        <f>H314*0.974240082</f>
        <v>#REF!</v>
      </c>
      <c r="AP314" s="12" t="e">
        <f>H314*(1-0.974240082)</f>
        <v>#REF!</v>
      </c>
      <c r="AQ314" s="49" t="s">
        <v>567</v>
      </c>
      <c r="AV314" s="12" t="e">
        <f t="shared" si="328"/>
        <v>#REF!</v>
      </c>
      <c r="AW314" s="12" t="e">
        <f t="shared" si="329"/>
        <v>#REF!</v>
      </c>
      <c r="AX314" s="12" t="e">
        <f t="shared" si="330"/>
        <v>#REF!</v>
      </c>
      <c r="AY314" s="49" t="s">
        <v>580</v>
      </c>
      <c r="AZ314" s="49" t="s">
        <v>813</v>
      </c>
      <c r="BA314" s="10" t="s">
        <v>786</v>
      </c>
      <c r="BC314" s="12" t="e">
        <f t="shared" si="331"/>
        <v>#REF!</v>
      </c>
      <c r="BD314" s="12" t="e">
        <f t="shared" si="332"/>
        <v>#REF!</v>
      </c>
      <c r="BE314" s="12">
        <v>0</v>
      </c>
      <c r="BF314" s="12" t="e">
        <f t="shared" si="333"/>
        <v>#REF!</v>
      </c>
      <c r="BH314" s="12" t="e">
        <f t="shared" si="334"/>
        <v>#REF!</v>
      </c>
      <c r="BI314" s="12" t="e">
        <f t="shared" si="335"/>
        <v>#REF!</v>
      </c>
      <c r="BJ314" s="12" t="e">
        <f t="shared" si="336"/>
        <v>#REF!</v>
      </c>
      <c r="BK314" s="12"/>
      <c r="BL314" s="12">
        <v>732</v>
      </c>
      <c r="BW314" s="12" t="str">
        <f t="shared" si="337"/>
        <v>21</v>
      </c>
      <c r="BX314" s="3" t="s">
        <v>389</v>
      </c>
    </row>
    <row r="315" spans="1:76">
      <c r="A315" s="1" t="s">
        <v>819</v>
      </c>
      <c r="B315" s="2" t="s">
        <v>783</v>
      </c>
      <c r="C315" s="2" t="s">
        <v>390</v>
      </c>
      <c r="D315" s="349" t="s">
        <v>391</v>
      </c>
      <c r="E315" s="342"/>
      <c r="F315" s="2" t="s">
        <v>58</v>
      </c>
      <c r="G315" s="12" t="e">
        <f>#REF!</f>
        <v>#REF!</v>
      </c>
      <c r="H315" s="12" t="e">
        <f>#REF!</f>
        <v>#REF!</v>
      </c>
      <c r="I315" s="49" t="s">
        <v>554</v>
      </c>
      <c r="J315" s="12" t="e">
        <f t="shared" si="312"/>
        <v>#REF!</v>
      </c>
      <c r="K315" s="12" t="e">
        <f t="shared" si="313"/>
        <v>#REF!</v>
      </c>
      <c r="L315" s="12" t="e">
        <f t="shared" si="314"/>
        <v>#REF!</v>
      </c>
      <c r="M315" s="12" t="e">
        <f t="shared" si="315"/>
        <v>#REF!</v>
      </c>
      <c r="N315" s="12">
        <v>1.9820000000000001E-2</v>
      </c>
      <c r="O315" s="12" t="e">
        <f t="shared" si="316"/>
        <v>#REF!</v>
      </c>
      <c r="P315" s="50" t="s">
        <v>605</v>
      </c>
      <c r="Z315" s="12">
        <f t="shared" si="317"/>
        <v>0</v>
      </c>
      <c r="AB315" s="12">
        <f t="shared" si="318"/>
        <v>0</v>
      </c>
      <c r="AC315" s="12">
        <f t="shared" si="319"/>
        <v>0</v>
      </c>
      <c r="AD315" s="12" t="e">
        <f t="shared" si="320"/>
        <v>#REF!</v>
      </c>
      <c r="AE315" s="12" t="e">
        <f t="shared" si="321"/>
        <v>#REF!</v>
      </c>
      <c r="AF315" s="12">
        <f t="shared" si="322"/>
        <v>0</v>
      </c>
      <c r="AG315" s="12">
        <f t="shared" si="323"/>
        <v>0</v>
      </c>
      <c r="AH315" s="12">
        <f t="shared" si="324"/>
        <v>0</v>
      </c>
      <c r="AI315" s="10" t="s">
        <v>783</v>
      </c>
      <c r="AJ315" s="12">
        <f t="shared" si="325"/>
        <v>0</v>
      </c>
      <c r="AK315" s="12">
        <f t="shared" si="326"/>
        <v>0</v>
      </c>
      <c r="AL315" s="12" t="e">
        <f t="shared" si="327"/>
        <v>#REF!</v>
      </c>
      <c r="AN315" s="12">
        <v>21</v>
      </c>
      <c r="AO315" s="12" t="e">
        <f>H315*0.642985042</f>
        <v>#REF!</v>
      </c>
      <c r="AP315" s="12" t="e">
        <f>H315*(1-0.642985042)</f>
        <v>#REF!</v>
      </c>
      <c r="AQ315" s="49" t="s">
        <v>567</v>
      </c>
      <c r="AV315" s="12" t="e">
        <f t="shared" si="328"/>
        <v>#REF!</v>
      </c>
      <c r="AW315" s="12" t="e">
        <f t="shared" si="329"/>
        <v>#REF!</v>
      </c>
      <c r="AX315" s="12" t="e">
        <f t="shared" si="330"/>
        <v>#REF!</v>
      </c>
      <c r="AY315" s="49" t="s">
        <v>580</v>
      </c>
      <c r="AZ315" s="49" t="s">
        <v>813</v>
      </c>
      <c r="BA315" s="10" t="s">
        <v>786</v>
      </c>
      <c r="BC315" s="12" t="e">
        <f t="shared" si="331"/>
        <v>#REF!</v>
      </c>
      <c r="BD315" s="12" t="e">
        <f t="shared" si="332"/>
        <v>#REF!</v>
      </c>
      <c r="BE315" s="12">
        <v>0</v>
      </c>
      <c r="BF315" s="12" t="e">
        <f t="shared" si="333"/>
        <v>#REF!</v>
      </c>
      <c r="BH315" s="12" t="e">
        <f t="shared" si="334"/>
        <v>#REF!</v>
      </c>
      <c r="BI315" s="12" t="e">
        <f t="shared" si="335"/>
        <v>#REF!</v>
      </c>
      <c r="BJ315" s="12" t="e">
        <f t="shared" si="336"/>
        <v>#REF!</v>
      </c>
      <c r="BK315" s="12"/>
      <c r="BL315" s="12">
        <v>732</v>
      </c>
      <c r="BW315" s="12" t="str">
        <f t="shared" si="337"/>
        <v>21</v>
      </c>
      <c r="BX315" s="3" t="s">
        <v>391</v>
      </c>
    </row>
    <row r="316" spans="1:76" ht="25.5">
      <c r="A316" s="1" t="s">
        <v>820</v>
      </c>
      <c r="B316" s="2" t="s">
        <v>783</v>
      </c>
      <c r="C316" s="2" t="s">
        <v>392</v>
      </c>
      <c r="D316" s="349" t="s">
        <v>446</v>
      </c>
      <c r="E316" s="342"/>
      <c r="F316" s="2" t="s">
        <v>68</v>
      </c>
      <c r="G316" s="12" t="e">
        <f>#REF!</f>
        <v>#REF!</v>
      </c>
      <c r="H316" s="12" t="e">
        <f>#REF!</f>
        <v>#REF!</v>
      </c>
      <c r="I316" s="49" t="s">
        <v>554</v>
      </c>
      <c r="J316" s="12" t="e">
        <f t="shared" si="312"/>
        <v>#REF!</v>
      </c>
      <c r="K316" s="12" t="e">
        <f t="shared" si="313"/>
        <v>#REF!</v>
      </c>
      <c r="L316" s="12" t="e">
        <f t="shared" si="314"/>
        <v>#REF!</v>
      </c>
      <c r="M316" s="12" t="e">
        <f t="shared" si="315"/>
        <v>#REF!</v>
      </c>
      <c r="N316" s="12">
        <v>1.9E-3</v>
      </c>
      <c r="O316" s="12" t="e">
        <f t="shared" si="316"/>
        <v>#REF!</v>
      </c>
      <c r="P316" s="50" t="s">
        <v>605</v>
      </c>
      <c r="Z316" s="12">
        <f t="shared" si="317"/>
        <v>0</v>
      </c>
      <c r="AB316" s="12">
        <f t="shared" si="318"/>
        <v>0</v>
      </c>
      <c r="AC316" s="12">
        <f t="shared" si="319"/>
        <v>0</v>
      </c>
      <c r="AD316" s="12" t="e">
        <f t="shared" si="320"/>
        <v>#REF!</v>
      </c>
      <c r="AE316" s="12" t="e">
        <f t="shared" si="321"/>
        <v>#REF!</v>
      </c>
      <c r="AF316" s="12">
        <f t="shared" si="322"/>
        <v>0</v>
      </c>
      <c r="AG316" s="12">
        <f t="shared" si="323"/>
        <v>0</v>
      </c>
      <c r="AH316" s="12">
        <f t="shared" si="324"/>
        <v>0</v>
      </c>
      <c r="AI316" s="10" t="s">
        <v>783</v>
      </c>
      <c r="AJ316" s="12">
        <f t="shared" si="325"/>
        <v>0</v>
      </c>
      <c r="AK316" s="12">
        <f t="shared" si="326"/>
        <v>0</v>
      </c>
      <c r="AL316" s="12" t="e">
        <f t="shared" si="327"/>
        <v>#REF!</v>
      </c>
      <c r="AN316" s="12">
        <v>21</v>
      </c>
      <c r="AO316" s="12" t="e">
        <f>H316*1</f>
        <v>#REF!</v>
      </c>
      <c r="AP316" s="12" t="e">
        <f>H316*(1-1)</f>
        <v>#REF!</v>
      </c>
      <c r="AQ316" s="49" t="s">
        <v>567</v>
      </c>
      <c r="AV316" s="12" t="e">
        <f t="shared" si="328"/>
        <v>#REF!</v>
      </c>
      <c r="AW316" s="12" t="e">
        <f t="shared" si="329"/>
        <v>#REF!</v>
      </c>
      <c r="AX316" s="12" t="e">
        <f t="shared" si="330"/>
        <v>#REF!</v>
      </c>
      <c r="AY316" s="49" t="s">
        <v>580</v>
      </c>
      <c r="AZ316" s="49" t="s">
        <v>813</v>
      </c>
      <c r="BA316" s="10" t="s">
        <v>786</v>
      </c>
      <c r="BC316" s="12" t="e">
        <f t="shared" si="331"/>
        <v>#REF!</v>
      </c>
      <c r="BD316" s="12" t="e">
        <f t="shared" si="332"/>
        <v>#REF!</v>
      </c>
      <c r="BE316" s="12">
        <v>0</v>
      </c>
      <c r="BF316" s="12" t="e">
        <f t="shared" si="333"/>
        <v>#REF!</v>
      </c>
      <c r="BH316" s="12" t="e">
        <f t="shared" si="334"/>
        <v>#REF!</v>
      </c>
      <c r="BI316" s="12" t="e">
        <f t="shared" si="335"/>
        <v>#REF!</v>
      </c>
      <c r="BJ316" s="12" t="e">
        <f t="shared" si="336"/>
        <v>#REF!</v>
      </c>
      <c r="BK316" s="12"/>
      <c r="BL316" s="12">
        <v>732</v>
      </c>
      <c r="BW316" s="12" t="str">
        <f t="shared" si="337"/>
        <v>21</v>
      </c>
      <c r="BX316" s="3" t="s">
        <v>446</v>
      </c>
    </row>
    <row r="317" spans="1:76">
      <c r="A317" s="46" t="s">
        <v>21</v>
      </c>
      <c r="B317" s="9" t="s">
        <v>783</v>
      </c>
      <c r="C317" s="9" t="s">
        <v>85</v>
      </c>
      <c r="D317" s="359" t="s">
        <v>86</v>
      </c>
      <c r="E317" s="360"/>
      <c r="F317" s="47" t="s">
        <v>20</v>
      </c>
      <c r="G317" s="47" t="s">
        <v>20</v>
      </c>
      <c r="H317" s="47" t="s">
        <v>20</v>
      </c>
      <c r="I317" s="47" t="s">
        <v>20</v>
      </c>
      <c r="J317" s="11" t="e">
        <f>SUM(J318:J328)</f>
        <v>#REF!</v>
      </c>
      <c r="K317" s="11" t="e">
        <f>SUM(K318:K328)</f>
        <v>#REF!</v>
      </c>
      <c r="L317" s="11" t="e">
        <f>SUM(L318:L328)</f>
        <v>#REF!</v>
      </c>
      <c r="M317" s="11" t="e">
        <f>SUM(M318:M328)</f>
        <v>#REF!</v>
      </c>
      <c r="N317" s="10" t="s">
        <v>21</v>
      </c>
      <c r="O317" s="11" t="e">
        <f>SUM(O318:O328)</f>
        <v>#REF!</v>
      </c>
      <c r="P317" s="48" t="s">
        <v>21</v>
      </c>
      <c r="AI317" s="10" t="s">
        <v>783</v>
      </c>
      <c r="AS317" s="11">
        <f>SUM(AJ318:AJ328)</f>
        <v>0</v>
      </c>
      <c r="AT317" s="11">
        <f>SUM(AK318:AK328)</f>
        <v>0</v>
      </c>
      <c r="AU317" s="11" t="e">
        <f>SUM(AL318:AL328)</f>
        <v>#REF!</v>
      </c>
    </row>
    <row r="318" spans="1:76">
      <c r="A318" s="1" t="s">
        <v>821</v>
      </c>
      <c r="B318" s="2" t="s">
        <v>783</v>
      </c>
      <c r="C318" s="2" t="s">
        <v>394</v>
      </c>
      <c r="D318" s="349" t="s">
        <v>395</v>
      </c>
      <c r="E318" s="342"/>
      <c r="F318" s="2" t="s">
        <v>68</v>
      </c>
      <c r="G318" s="12" t="e">
        <f>#REF!</f>
        <v>#REF!</v>
      </c>
      <c r="H318" s="12" t="e">
        <f>#REF!</f>
        <v>#REF!</v>
      </c>
      <c r="I318" s="49" t="s">
        <v>554</v>
      </c>
      <c r="J318" s="12" t="e">
        <f t="shared" ref="J318:J328" si="338">G318*AO318</f>
        <v>#REF!</v>
      </c>
      <c r="K318" s="12" t="e">
        <f t="shared" ref="K318:K328" si="339">G318*AP318</f>
        <v>#REF!</v>
      </c>
      <c r="L318" s="12" t="e">
        <f t="shared" ref="L318:L328" si="340">G318*H318</f>
        <v>#REF!</v>
      </c>
      <c r="M318" s="12" t="e">
        <f t="shared" ref="M318:M328" si="341">L318*(1+BW318/100)</f>
        <v>#REF!</v>
      </c>
      <c r="N318" s="12">
        <v>2.1700000000000001E-3</v>
      </c>
      <c r="O318" s="12" t="e">
        <f t="shared" ref="O318:O328" si="342">G318*N318</f>
        <v>#REF!</v>
      </c>
      <c r="P318" s="50" t="s">
        <v>577</v>
      </c>
      <c r="Z318" s="12">
        <f t="shared" ref="Z318:Z328" si="343">IF(AQ318="5",BJ318,0)</f>
        <v>0</v>
      </c>
      <c r="AB318" s="12">
        <f t="shared" ref="AB318:AB328" si="344">IF(AQ318="1",BH318,0)</f>
        <v>0</v>
      </c>
      <c r="AC318" s="12">
        <f t="shared" ref="AC318:AC328" si="345">IF(AQ318="1",BI318,0)</f>
        <v>0</v>
      </c>
      <c r="AD318" s="12" t="e">
        <f t="shared" ref="AD318:AD328" si="346">IF(AQ318="7",BH318,0)</f>
        <v>#REF!</v>
      </c>
      <c r="AE318" s="12" t="e">
        <f t="shared" ref="AE318:AE328" si="347">IF(AQ318="7",BI318,0)</f>
        <v>#REF!</v>
      </c>
      <c r="AF318" s="12">
        <f t="shared" ref="AF318:AF328" si="348">IF(AQ318="2",BH318,0)</f>
        <v>0</v>
      </c>
      <c r="AG318" s="12">
        <f t="shared" ref="AG318:AG328" si="349">IF(AQ318="2",BI318,0)</f>
        <v>0</v>
      </c>
      <c r="AH318" s="12">
        <f t="shared" ref="AH318:AH328" si="350">IF(AQ318="0",BJ318,0)</f>
        <v>0</v>
      </c>
      <c r="AI318" s="10" t="s">
        <v>783</v>
      </c>
      <c r="AJ318" s="12">
        <f t="shared" ref="AJ318:AJ328" si="351">IF(AN318=0,L318,0)</f>
        <v>0</v>
      </c>
      <c r="AK318" s="12">
        <f t="shared" ref="AK318:AK328" si="352">IF(AN318=12,L318,0)</f>
        <v>0</v>
      </c>
      <c r="AL318" s="12" t="e">
        <f t="shared" ref="AL318:AL328" si="353">IF(AN318=21,L318,0)</f>
        <v>#REF!</v>
      </c>
      <c r="AN318" s="12">
        <v>21</v>
      </c>
      <c r="AO318" s="12" t="e">
        <f>H318*0.593006993</f>
        <v>#REF!</v>
      </c>
      <c r="AP318" s="12" t="e">
        <f>H318*(1-0.593006993)</f>
        <v>#REF!</v>
      </c>
      <c r="AQ318" s="49" t="s">
        <v>567</v>
      </c>
      <c r="AV318" s="12" t="e">
        <f t="shared" ref="AV318:AV328" si="354">AW318+AX318</f>
        <v>#REF!</v>
      </c>
      <c r="AW318" s="12" t="e">
        <f t="shared" ref="AW318:AW328" si="355">G318*AO318</f>
        <v>#REF!</v>
      </c>
      <c r="AX318" s="12" t="e">
        <f t="shared" ref="AX318:AX328" si="356">G318*AP318</f>
        <v>#REF!</v>
      </c>
      <c r="AY318" s="49" t="s">
        <v>588</v>
      </c>
      <c r="AZ318" s="49" t="s">
        <v>813</v>
      </c>
      <c r="BA318" s="10" t="s">
        <v>786</v>
      </c>
      <c r="BC318" s="12" t="e">
        <f t="shared" ref="BC318:BC328" si="357">AW318+AX318</f>
        <v>#REF!</v>
      </c>
      <c r="BD318" s="12" t="e">
        <f t="shared" ref="BD318:BD328" si="358">H318/(100-BE318)*100</f>
        <v>#REF!</v>
      </c>
      <c r="BE318" s="12">
        <v>0</v>
      </c>
      <c r="BF318" s="12" t="e">
        <f t="shared" ref="BF318:BF328" si="359">O318</f>
        <v>#REF!</v>
      </c>
      <c r="BH318" s="12" t="e">
        <f t="shared" ref="BH318:BH328" si="360">G318*AO318</f>
        <v>#REF!</v>
      </c>
      <c r="BI318" s="12" t="e">
        <f t="shared" ref="BI318:BI328" si="361">G318*AP318</f>
        <v>#REF!</v>
      </c>
      <c r="BJ318" s="12" t="e">
        <f t="shared" ref="BJ318:BJ328" si="362">G318*H318</f>
        <v>#REF!</v>
      </c>
      <c r="BK318" s="12"/>
      <c r="BL318" s="12">
        <v>733</v>
      </c>
      <c r="BW318" s="12" t="str">
        <f t="shared" ref="BW318:BW328" si="363">I318</f>
        <v>21</v>
      </c>
      <c r="BX318" s="3" t="s">
        <v>395</v>
      </c>
    </row>
    <row r="319" spans="1:76">
      <c r="A319" s="1" t="s">
        <v>822</v>
      </c>
      <c r="B319" s="2" t="s">
        <v>783</v>
      </c>
      <c r="C319" s="2" t="s">
        <v>396</v>
      </c>
      <c r="D319" s="349" t="s">
        <v>397</v>
      </c>
      <c r="E319" s="342"/>
      <c r="F319" s="2" t="s">
        <v>68</v>
      </c>
      <c r="G319" s="12" t="e">
        <f>#REF!</f>
        <v>#REF!</v>
      </c>
      <c r="H319" s="12" t="e">
        <f>#REF!</f>
        <v>#REF!</v>
      </c>
      <c r="I319" s="49" t="s">
        <v>554</v>
      </c>
      <c r="J319" s="12" t="e">
        <f t="shared" si="338"/>
        <v>#REF!</v>
      </c>
      <c r="K319" s="12" t="e">
        <f t="shared" si="339"/>
        <v>#REF!</v>
      </c>
      <c r="L319" s="12" t="e">
        <f t="shared" si="340"/>
        <v>#REF!</v>
      </c>
      <c r="M319" s="12" t="e">
        <f t="shared" si="341"/>
        <v>#REF!</v>
      </c>
      <c r="N319" s="12">
        <v>2.1000000000000001E-4</v>
      </c>
      <c r="O319" s="12" t="e">
        <f t="shared" si="342"/>
        <v>#REF!</v>
      </c>
      <c r="P319" s="50" t="s">
        <v>577</v>
      </c>
      <c r="Z319" s="12">
        <f t="shared" si="343"/>
        <v>0</v>
      </c>
      <c r="AB319" s="12">
        <f t="shared" si="344"/>
        <v>0</v>
      </c>
      <c r="AC319" s="12">
        <f t="shared" si="345"/>
        <v>0</v>
      </c>
      <c r="AD319" s="12" t="e">
        <f t="shared" si="346"/>
        <v>#REF!</v>
      </c>
      <c r="AE319" s="12" t="e">
        <f t="shared" si="347"/>
        <v>#REF!</v>
      </c>
      <c r="AF319" s="12">
        <f t="shared" si="348"/>
        <v>0</v>
      </c>
      <c r="AG319" s="12">
        <f t="shared" si="349"/>
        <v>0</v>
      </c>
      <c r="AH319" s="12">
        <f t="shared" si="350"/>
        <v>0</v>
      </c>
      <c r="AI319" s="10" t="s">
        <v>783</v>
      </c>
      <c r="AJ319" s="12">
        <f t="shared" si="351"/>
        <v>0</v>
      </c>
      <c r="AK319" s="12">
        <f t="shared" si="352"/>
        <v>0</v>
      </c>
      <c r="AL319" s="12" t="e">
        <f t="shared" si="353"/>
        <v>#REF!</v>
      </c>
      <c r="AN319" s="12">
        <v>21</v>
      </c>
      <c r="AO319" s="12" t="e">
        <f>H319*0.236903409</f>
        <v>#REF!</v>
      </c>
      <c r="AP319" s="12" t="e">
        <f>H319*(1-0.236903409)</f>
        <v>#REF!</v>
      </c>
      <c r="AQ319" s="49" t="s">
        <v>567</v>
      </c>
      <c r="AV319" s="12" t="e">
        <f t="shared" si="354"/>
        <v>#REF!</v>
      </c>
      <c r="AW319" s="12" t="e">
        <f t="shared" si="355"/>
        <v>#REF!</v>
      </c>
      <c r="AX319" s="12" t="e">
        <f t="shared" si="356"/>
        <v>#REF!</v>
      </c>
      <c r="AY319" s="49" t="s">
        <v>588</v>
      </c>
      <c r="AZ319" s="49" t="s">
        <v>813</v>
      </c>
      <c r="BA319" s="10" t="s">
        <v>786</v>
      </c>
      <c r="BC319" s="12" t="e">
        <f t="shared" si="357"/>
        <v>#REF!</v>
      </c>
      <c r="BD319" s="12" t="e">
        <f t="shared" si="358"/>
        <v>#REF!</v>
      </c>
      <c r="BE319" s="12">
        <v>0</v>
      </c>
      <c r="BF319" s="12" t="e">
        <f t="shared" si="359"/>
        <v>#REF!</v>
      </c>
      <c r="BH319" s="12" t="e">
        <f t="shared" si="360"/>
        <v>#REF!</v>
      </c>
      <c r="BI319" s="12" t="e">
        <f t="shared" si="361"/>
        <v>#REF!</v>
      </c>
      <c r="BJ319" s="12" t="e">
        <f t="shared" si="362"/>
        <v>#REF!</v>
      </c>
      <c r="BK319" s="12"/>
      <c r="BL319" s="12">
        <v>733</v>
      </c>
      <c r="BW319" s="12" t="str">
        <f t="shared" si="363"/>
        <v>21</v>
      </c>
      <c r="BX319" s="3" t="s">
        <v>397</v>
      </c>
    </row>
    <row r="320" spans="1:76">
      <c r="A320" s="1" t="s">
        <v>823</v>
      </c>
      <c r="B320" s="2" t="s">
        <v>783</v>
      </c>
      <c r="C320" s="2" t="s">
        <v>398</v>
      </c>
      <c r="D320" s="349" t="s">
        <v>399</v>
      </c>
      <c r="E320" s="342"/>
      <c r="F320" s="2" t="s">
        <v>68</v>
      </c>
      <c r="G320" s="12" t="e">
        <f>#REF!</f>
        <v>#REF!</v>
      </c>
      <c r="H320" s="12" t="e">
        <f>#REF!</f>
        <v>#REF!</v>
      </c>
      <c r="I320" s="49" t="s">
        <v>554</v>
      </c>
      <c r="J320" s="12" t="e">
        <f t="shared" si="338"/>
        <v>#REF!</v>
      </c>
      <c r="K320" s="12" t="e">
        <f t="shared" si="339"/>
        <v>#REF!</v>
      </c>
      <c r="L320" s="12" t="e">
        <f t="shared" si="340"/>
        <v>#REF!</v>
      </c>
      <c r="M320" s="12" t="e">
        <f t="shared" si="341"/>
        <v>#REF!</v>
      </c>
      <c r="N320" s="12">
        <v>1.3999999999999999E-4</v>
      </c>
      <c r="O320" s="12" t="e">
        <f t="shared" si="342"/>
        <v>#REF!</v>
      </c>
      <c r="P320" s="50" t="s">
        <v>605</v>
      </c>
      <c r="Z320" s="12">
        <f t="shared" si="343"/>
        <v>0</v>
      </c>
      <c r="AB320" s="12">
        <f t="shared" si="344"/>
        <v>0</v>
      </c>
      <c r="AC320" s="12">
        <f t="shared" si="345"/>
        <v>0</v>
      </c>
      <c r="AD320" s="12" t="e">
        <f t="shared" si="346"/>
        <v>#REF!</v>
      </c>
      <c r="AE320" s="12" t="e">
        <f t="shared" si="347"/>
        <v>#REF!</v>
      </c>
      <c r="AF320" s="12">
        <f t="shared" si="348"/>
        <v>0</v>
      </c>
      <c r="AG320" s="12">
        <f t="shared" si="349"/>
        <v>0</v>
      </c>
      <c r="AH320" s="12">
        <f t="shared" si="350"/>
        <v>0</v>
      </c>
      <c r="AI320" s="10" t="s">
        <v>783</v>
      </c>
      <c r="AJ320" s="12">
        <f t="shared" si="351"/>
        <v>0</v>
      </c>
      <c r="AK320" s="12">
        <f t="shared" si="352"/>
        <v>0</v>
      </c>
      <c r="AL320" s="12" t="e">
        <f t="shared" si="353"/>
        <v>#REF!</v>
      </c>
      <c r="AN320" s="12">
        <v>21</v>
      </c>
      <c r="AO320" s="12" t="e">
        <f>H320*0.345851429</f>
        <v>#REF!</v>
      </c>
      <c r="AP320" s="12" t="e">
        <f>H320*(1-0.345851429)</f>
        <v>#REF!</v>
      </c>
      <c r="AQ320" s="49" t="s">
        <v>567</v>
      </c>
      <c r="AV320" s="12" t="e">
        <f t="shared" si="354"/>
        <v>#REF!</v>
      </c>
      <c r="AW320" s="12" t="e">
        <f t="shared" si="355"/>
        <v>#REF!</v>
      </c>
      <c r="AX320" s="12" t="e">
        <f t="shared" si="356"/>
        <v>#REF!</v>
      </c>
      <c r="AY320" s="49" t="s">
        <v>588</v>
      </c>
      <c r="AZ320" s="49" t="s">
        <v>813</v>
      </c>
      <c r="BA320" s="10" t="s">
        <v>786</v>
      </c>
      <c r="BC320" s="12" t="e">
        <f t="shared" si="357"/>
        <v>#REF!</v>
      </c>
      <c r="BD320" s="12" t="e">
        <f t="shared" si="358"/>
        <v>#REF!</v>
      </c>
      <c r="BE320" s="12">
        <v>0</v>
      </c>
      <c r="BF320" s="12" t="e">
        <f t="shared" si="359"/>
        <v>#REF!</v>
      </c>
      <c r="BH320" s="12" t="e">
        <f t="shared" si="360"/>
        <v>#REF!</v>
      </c>
      <c r="BI320" s="12" t="e">
        <f t="shared" si="361"/>
        <v>#REF!</v>
      </c>
      <c r="BJ320" s="12" t="e">
        <f t="shared" si="362"/>
        <v>#REF!</v>
      </c>
      <c r="BK320" s="12"/>
      <c r="BL320" s="12">
        <v>733</v>
      </c>
      <c r="BW320" s="12" t="str">
        <f t="shared" si="363"/>
        <v>21</v>
      </c>
      <c r="BX320" s="3" t="s">
        <v>399</v>
      </c>
    </row>
    <row r="321" spans="1:76">
      <c r="A321" s="1" t="s">
        <v>824</v>
      </c>
      <c r="B321" s="2" t="s">
        <v>783</v>
      </c>
      <c r="C321" s="2" t="s">
        <v>400</v>
      </c>
      <c r="D321" s="349" t="s">
        <v>401</v>
      </c>
      <c r="E321" s="342"/>
      <c r="F321" s="2" t="s">
        <v>63</v>
      </c>
      <c r="G321" s="12" t="e">
        <f>#REF!</f>
        <v>#REF!</v>
      </c>
      <c r="H321" s="12" t="e">
        <f>#REF!</f>
        <v>#REF!</v>
      </c>
      <c r="I321" s="49" t="s">
        <v>554</v>
      </c>
      <c r="J321" s="12" t="e">
        <f t="shared" si="338"/>
        <v>#REF!</v>
      </c>
      <c r="K321" s="12" t="e">
        <f t="shared" si="339"/>
        <v>#REF!</v>
      </c>
      <c r="L321" s="12" t="e">
        <f t="shared" si="340"/>
        <v>#REF!</v>
      </c>
      <c r="M321" s="12" t="e">
        <f t="shared" si="341"/>
        <v>#REF!</v>
      </c>
      <c r="N321" s="12">
        <v>8.4700000000000001E-3</v>
      </c>
      <c r="O321" s="12" t="e">
        <f t="shared" si="342"/>
        <v>#REF!</v>
      </c>
      <c r="P321" s="50" t="s">
        <v>577</v>
      </c>
      <c r="Z321" s="12">
        <f t="shared" si="343"/>
        <v>0</v>
      </c>
      <c r="AB321" s="12">
        <f t="shared" si="344"/>
        <v>0</v>
      </c>
      <c r="AC321" s="12">
        <f t="shared" si="345"/>
        <v>0</v>
      </c>
      <c r="AD321" s="12" t="e">
        <f t="shared" si="346"/>
        <v>#REF!</v>
      </c>
      <c r="AE321" s="12" t="e">
        <f t="shared" si="347"/>
        <v>#REF!</v>
      </c>
      <c r="AF321" s="12">
        <f t="shared" si="348"/>
        <v>0</v>
      </c>
      <c r="AG321" s="12">
        <f t="shared" si="349"/>
        <v>0</v>
      </c>
      <c r="AH321" s="12">
        <f t="shared" si="350"/>
        <v>0</v>
      </c>
      <c r="AI321" s="10" t="s">
        <v>783</v>
      </c>
      <c r="AJ321" s="12">
        <f t="shared" si="351"/>
        <v>0</v>
      </c>
      <c r="AK321" s="12">
        <f t="shared" si="352"/>
        <v>0</v>
      </c>
      <c r="AL321" s="12" t="e">
        <f t="shared" si="353"/>
        <v>#REF!</v>
      </c>
      <c r="AN321" s="12">
        <v>21</v>
      </c>
      <c r="AO321" s="12" t="e">
        <f>H321*0.193150786</f>
        <v>#REF!</v>
      </c>
      <c r="AP321" s="12" t="e">
        <f>H321*(1-0.193150786)</f>
        <v>#REF!</v>
      </c>
      <c r="AQ321" s="49" t="s">
        <v>567</v>
      </c>
      <c r="AV321" s="12" t="e">
        <f t="shared" si="354"/>
        <v>#REF!</v>
      </c>
      <c r="AW321" s="12" t="e">
        <f t="shared" si="355"/>
        <v>#REF!</v>
      </c>
      <c r="AX321" s="12" t="e">
        <f t="shared" si="356"/>
        <v>#REF!</v>
      </c>
      <c r="AY321" s="49" t="s">
        <v>588</v>
      </c>
      <c r="AZ321" s="49" t="s">
        <v>813</v>
      </c>
      <c r="BA321" s="10" t="s">
        <v>786</v>
      </c>
      <c r="BC321" s="12" t="e">
        <f t="shared" si="357"/>
        <v>#REF!</v>
      </c>
      <c r="BD321" s="12" t="e">
        <f t="shared" si="358"/>
        <v>#REF!</v>
      </c>
      <c r="BE321" s="12">
        <v>0</v>
      </c>
      <c r="BF321" s="12" t="e">
        <f t="shared" si="359"/>
        <v>#REF!</v>
      </c>
      <c r="BH321" s="12" t="e">
        <f t="shared" si="360"/>
        <v>#REF!</v>
      </c>
      <c r="BI321" s="12" t="e">
        <f t="shared" si="361"/>
        <v>#REF!</v>
      </c>
      <c r="BJ321" s="12" t="e">
        <f t="shared" si="362"/>
        <v>#REF!</v>
      </c>
      <c r="BK321" s="12"/>
      <c r="BL321" s="12">
        <v>733</v>
      </c>
      <c r="BW321" s="12" t="str">
        <f t="shared" si="363"/>
        <v>21</v>
      </c>
      <c r="BX321" s="3" t="s">
        <v>401</v>
      </c>
    </row>
    <row r="322" spans="1:76">
      <c r="A322" s="1" t="s">
        <v>825</v>
      </c>
      <c r="B322" s="2" t="s">
        <v>783</v>
      </c>
      <c r="C322" s="2" t="s">
        <v>402</v>
      </c>
      <c r="D322" s="349" t="s">
        <v>403</v>
      </c>
      <c r="E322" s="342"/>
      <c r="F322" s="2" t="s">
        <v>63</v>
      </c>
      <c r="G322" s="12" t="e">
        <f>#REF!</f>
        <v>#REF!</v>
      </c>
      <c r="H322" s="12" t="e">
        <f>#REF!</f>
        <v>#REF!</v>
      </c>
      <c r="I322" s="49" t="s">
        <v>554</v>
      </c>
      <c r="J322" s="12" t="e">
        <f t="shared" si="338"/>
        <v>#REF!</v>
      </c>
      <c r="K322" s="12" t="e">
        <f t="shared" si="339"/>
        <v>#REF!</v>
      </c>
      <c r="L322" s="12" t="e">
        <f t="shared" si="340"/>
        <v>#REF!</v>
      </c>
      <c r="M322" s="12" t="e">
        <f t="shared" si="341"/>
        <v>#REF!</v>
      </c>
      <c r="N322" s="12">
        <v>7.6E-3</v>
      </c>
      <c r="O322" s="12" t="e">
        <f t="shared" si="342"/>
        <v>#REF!</v>
      </c>
      <c r="P322" s="50" t="s">
        <v>605</v>
      </c>
      <c r="Z322" s="12">
        <f t="shared" si="343"/>
        <v>0</v>
      </c>
      <c r="AB322" s="12">
        <f t="shared" si="344"/>
        <v>0</v>
      </c>
      <c r="AC322" s="12">
        <f t="shared" si="345"/>
        <v>0</v>
      </c>
      <c r="AD322" s="12" t="e">
        <f t="shared" si="346"/>
        <v>#REF!</v>
      </c>
      <c r="AE322" s="12" t="e">
        <f t="shared" si="347"/>
        <v>#REF!</v>
      </c>
      <c r="AF322" s="12">
        <f t="shared" si="348"/>
        <v>0</v>
      </c>
      <c r="AG322" s="12">
        <f t="shared" si="349"/>
        <v>0</v>
      </c>
      <c r="AH322" s="12">
        <f t="shared" si="350"/>
        <v>0</v>
      </c>
      <c r="AI322" s="10" t="s">
        <v>783</v>
      </c>
      <c r="AJ322" s="12">
        <f t="shared" si="351"/>
        <v>0</v>
      </c>
      <c r="AK322" s="12">
        <f t="shared" si="352"/>
        <v>0</v>
      </c>
      <c r="AL322" s="12" t="e">
        <f t="shared" si="353"/>
        <v>#REF!</v>
      </c>
      <c r="AN322" s="12">
        <v>21</v>
      </c>
      <c r="AO322" s="12" t="e">
        <f>H322*0.583448607</f>
        <v>#REF!</v>
      </c>
      <c r="AP322" s="12" t="e">
        <f>H322*(1-0.583448607)</f>
        <v>#REF!</v>
      </c>
      <c r="AQ322" s="49" t="s">
        <v>567</v>
      </c>
      <c r="AV322" s="12" t="e">
        <f t="shared" si="354"/>
        <v>#REF!</v>
      </c>
      <c r="AW322" s="12" t="e">
        <f t="shared" si="355"/>
        <v>#REF!</v>
      </c>
      <c r="AX322" s="12" t="e">
        <f t="shared" si="356"/>
        <v>#REF!</v>
      </c>
      <c r="AY322" s="49" t="s">
        <v>588</v>
      </c>
      <c r="AZ322" s="49" t="s">
        <v>813</v>
      </c>
      <c r="BA322" s="10" t="s">
        <v>786</v>
      </c>
      <c r="BC322" s="12" t="e">
        <f t="shared" si="357"/>
        <v>#REF!</v>
      </c>
      <c r="BD322" s="12" t="e">
        <f t="shared" si="358"/>
        <v>#REF!</v>
      </c>
      <c r="BE322" s="12">
        <v>0</v>
      </c>
      <c r="BF322" s="12" t="e">
        <f t="shared" si="359"/>
        <v>#REF!</v>
      </c>
      <c r="BH322" s="12" t="e">
        <f t="shared" si="360"/>
        <v>#REF!</v>
      </c>
      <c r="BI322" s="12" t="e">
        <f t="shared" si="361"/>
        <v>#REF!</v>
      </c>
      <c r="BJ322" s="12" t="e">
        <f t="shared" si="362"/>
        <v>#REF!</v>
      </c>
      <c r="BK322" s="12"/>
      <c r="BL322" s="12">
        <v>733</v>
      </c>
      <c r="BW322" s="12" t="str">
        <f t="shared" si="363"/>
        <v>21</v>
      </c>
      <c r="BX322" s="3" t="s">
        <v>403</v>
      </c>
    </row>
    <row r="323" spans="1:76">
      <c r="A323" s="1" t="s">
        <v>826</v>
      </c>
      <c r="B323" s="2" t="s">
        <v>783</v>
      </c>
      <c r="C323" s="2" t="s">
        <v>404</v>
      </c>
      <c r="D323" s="349" t="s">
        <v>405</v>
      </c>
      <c r="E323" s="342"/>
      <c r="F323" s="2" t="s">
        <v>63</v>
      </c>
      <c r="G323" s="12" t="e">
        <f>#REF!</f>
        <v>#REF!</v>
      </c>
      <c r="H323" s="12" t="e">
        <f>#REF!</f>
        <v>#REF!</v>
      </c>
      <c r="I323" s="49" t="s">
        <v>554</v>
      </c>
      <c r="J323" s="12" t="e">
        <f t="shared" si="338"/>
        <v>#REF!</v>
      </c>
      <c r="K323" s="12" t="e">
        <f t="shared" si="339"/>
        <v>#REF!</v>
      </c>
      <c r="L323" s="12" t="e">
        <f t="shared" si="340"/>
        <v>#REF!</v>
      </c>
      <c r="M323" s="12" t="e">
        <f t="shared" si="341"/>
        <v>#REF!</v>
      </c>
      <c r="N323" s="12">
        <v>4.8700000000000002E-3</v>
      </c>
      <c r="O323" s="12" t="e">
        <f t="shared" si="342"/>
        <v>#REF!</v>
      </c>
      <c r="P323" s="50" t="s">
        <v>577</v>
      </c>
      <c r="Z323" s="12">
        <f t="shared" si="343"/>
        <v>0</v>
      </c>
      <c r="AB323" s="12">
        <f t="shared" si="344"/>
        <v>0</v>
      </c>
      <c r="AC323" s="12">
        <f t="shared" si="345"/>
        <v>0</v>
      </c>
      <c r="AD323" s="12" t="e">
        <f t="shared" si="346"/>
        <v>#REF!</v>
      </c>
      <c r="AE323" s="12" t="e">
        <f t="shared" si="347"/>
        <v>#REF!</v>
      </c>
      <c r="AF323" s="12">
        <f t="shared" si="348"/>
        <v>0</v>
      </c>
      <c r="AG323" s="12">
        <f t="shared" si="349"/>
        <v>0</v>
      </c>
      <c r="AH323" s="12">
        <f t="shared" si="350"/>
        <v>0</v>
      </c>
      <c r="AI323" s="10" t="s">
        <v>783</v>
      </c>
      <c r="AJ323" s="12">
        <f t="shared" si="351"/>
        <v>0</v>
      </c>
      <c r="AK323" s="12">
        <f t="shared" si="352"/>
        <v>0</v>
      </c>
      <c r="AL323" s="12" t="e">
        <f t="shared" si="353"/>
        <v>#REF!</v>
      </c>
      <c r="AN323" s="12">
        <v>21</v>
      </c>
      <c r="AO323" s="12" t="e">
        <f>H323*0.106027821</f>
        <v>#REF!</v>
      </c>
      <c r="AP323" s="12" t="e">
        <f>H323*(1-0.106027821)</f>
        <v>#REF!</v>
      </c>
      <c r="AQ323" s="49" t="s">
        <v>567</v>
      </c>
      <c r="AV323" s="12" t="e">
        <f t="shared" si="354"/>
        <v>#REF!</v>
      </c>
      <c r="AW323" s="12" t="e">
        <f t="shared" si="355"/>
        <v>#REF!</v>
      </c>
      <c r="AX323" s="12" t="e">
        <f t="shared" si="356"/>
        <v>#REF!</v>
      </c>
      <c r="AY323" s="49" t="s">
        <v>588</v>
      </c>
      <c r="AZ323" s="49" t="s">
        <v>813</v>
      </c>
      <c r="BA323" s="10" t="s">
        <v>786</v>
      </c>
      <c r="BC323" s="12" t="e">
        <f t="shared" si="357"/>
        <v>#REF!</v>
      </c>
      <c r="BD323" s="12" t="e">
        <f t="shared" si="358"/>
        <v>#REF!</v>
      </c>
      <c r="BE323" s="12">
        <v>0</v>
      </c>
      <c r="BF323" s="12" t="e">
        <f t="shared" si="359"/>
        <v>#REF!</v>
      </c>
      <c r="BH323" s="12" t="e">
        <f t="shared" si="360"/>
        <v>#REF!</v>
      </c>
      <c r="BI323" s="12" t="e">
        <f t="shared" si="361"/>
        <v>#REF!</v>
      </c>
      <c r="BJ323" s="12" t="e">
        <f t="shared" si="362"/>
        <v>#REF!</v>
      </c>
      <c r="BK323" s="12"/>
      <c r="BL323" s="12">
        <v>733</v>
      </c>
      <c r="BW323" s="12" t="str">
        <f t="shared" si="363"/>
        <v>21</v>
      </c>
      <c r="BX323" s="3" t="s">
        <v>405</v>
      </c>
    </row>
    <row r="324" spans="1:76">
      <c r="A324" s="1" t="s">
        <v>827</v>
      </c>
      <c r="B324" s="2" t="s">
        <v>783</v>
      </c>
      <c r="C324" s="2" t="s">
        <v>406</v>
      </c>
      <c r="D324" s="349" t="s">
        <v>407</v>
      </c>
      <c r="E324" s="342"/>
      <c r="F324" s="2" t="s">
        <v>63</v>
      </c>
      <c r="G324" s="12" t="e">
        <f>#REF!</f>
        <v>#REF!</v>
      </c>
      <c r="H324" s="12" t="e">
        <f>#REF!</f>
        <v>#REF!</v>
      </c>
      <c r="I324" s="49" t="s">
        <v>554</v>
      </c>
      <c r="J324" s="12" t="e">
        <f t="shared" si="338"/>
        <v>#REF!</v>
      </c>
      <c r="K324" s="12" t="e">
        <f t="shared" si="339"/>
        <v>#REF!</v>
      </c>
      <c r="L324" s="12" t="e">
        <f t="shared" si="340"/>
        <v>#REF!</v>
      </c>
      <c r="M324" s="12" t="e">
        <f t="shared" si="341"/>
        <v>#REF!</v>
      </c>
      <c r="N324" s="12">
        <v>5.8500000000000002E-3</v>
      </c>
      <c r="O324" s="12" t="e">
        <f t="shared" si="342"/>
        <v>#REF!</v>
      </c>
      <c r="P324" s="50" t="s">
        <v>577</v>
      </c>
      <c r="Z324" s="12">
        <f t="shared" si="343"/>
        <v>0</v>
      </c>
      <c r="AB324" s="12">
        <f t="shared" si="344"/>
        <v>0</v>
      </c>
      <c r="AC324" s="12">
        <f t="shared" si="345"/>
        <v>0</v>
      </c>
      <c r="AD324" s="12" t="e">
        <f t="shared" si="346"/>
        <v>#REF!</v>
      </c>
      <c r="AE324" s="12" t="e">
        <f t="shared" si="347"/>
        <v>#REF!</v>
      </c>
      <c r="AF324" s="12">
        <f t="shared" si="348"/>
        <v>0</v>
      </c>
      <c r="AG324" s="12">
        <f t="shared" si="349"/>
        <v>0</v>
      </c>
      <c r="AH324" s="12">
        <f t="shared" si="350"/>
        <v>0</v>
      </c>
      <c r="AI324" s="10" t="s">
        <v>783</v>
      </c>
      <c r="AJ324" s="12">
        <f t="shared" si="351"/>
        <v>0</v>
      </c>
      <c r="AK324" s="12">
        <f t="shared" si="352"/>
        <v>0</v>
      </c>
      <c r="AL324" s="12" t="e">
        <f t="shared" si="353"/>
        <v>#REF!</v>
      </c>
      <c r="AN324" s="12">
        <v>21</v>
      </c>
      <c r="AO324" s="12" t="e">
        <f>H324*0.087066895</f>
        <v>#REF!</v>
      </c>
      <c r="AP324" s="12" t="e">
        <f>H324*(1-0.087066895)</f>
        <v>#REF!</v>
      </c>
      <c r="AQ324" s="49" t="s">
        <v>567</v>
      </c>
      <c r="AV324" s="12" t="e">
        <f t="shared" si="354"/>
        <v>#REF!</v>
      </c>
      <c r="AW324" s="12" t="e">
        <f t="shared" si="355"/>
        <v>#REF!</v>
      </c>
      <c r="AX324" s="12" t="e">
        <f t="shared" si="356"/>
        <v>#REF!</v>
      </c>
      <c r="AY324" s="49" t="s">
        <v>588</v>
      </c>
      <c r="AZ324" s="49" t="s">
        <v>813</v>
      </c>
      <c r="BA324" s="10" t="s">
        <v>786</v>
      </c>
      <c r="BC324" s="12" t="e">
        <f t="shared" si="357"/>
        <v>#REF!</v>
      </c>
      <c r="BD324" s="12" t="e">
        <f t="shared" si="358"/>
        <v>#REF!</v>
      </c>
      <c r="BE324" s="12">
        <v>0</v>
      </c>
      <c r="BF324" s="12" t="e">
        <f t="shared" si="359"/>
        <v>#REF!</v>
      </c>
      <c r="BH324" s="12" t="e">
        <f t="shared" si="360"/>
        <v>#REF!</v>
      </c>
      <c r="BI324" s="12" t="e">
        <f t="shared" si="361"/>
        <v>#REF!</v>
      </c>
      <c r="BJ324" s="12" t="e">
        <f t="shared" si="362"/>
        <v>#REF!</v>
      </c>
      <c r="BK324" s="12"/>
      <c r="BL324" s="12">
        <v>733</v>
      </c>
      <c r="BW324" s="12" t="str">
        <f t="shared" si="363"/>
        <v>21</v>
      </c>
      <c r="BX324" s="3" t="s">
        <v>407</v>
      </c>
    </row>
    <row r="325" spans="1:76">
      <c r="A325" s="1" t="s">
        <v>828</v>
      </c>
      <c r="B325" s="2" t="s">
        <v>783</v>
      </c>
      <c r="C325" s="2" t="s">
        <v>189</v>
      </c>
      <c r="D325" s="349" t="s">
        <v>190</v>
      </c>
      <c r="E325" s="342"/>
      <c r="F325" s="2" t="s">
        <v>63</v>
      </c>
      <c r="G325" s="12" t="e">
        <f>#REF!</f>
        <v>#REF!</v>
      </c>
      <c r="H325" s="12" t="e">
        <f>#REF!</f>
        <v>#REF!</v>
      </c>
      <c r="I325" s="49" t="s">
        <v>554</v>
      </c>
      <c r="J325" s="12" t="e">
        <f t="shared" si="338"/>
        <v>#REF!</v>
      </c>
      <c r="K325" s="12" t="e">
        <f t="shared" si="339"/>
        <v>#REF!</v>
      </c>
      <c r="L325" s="12" t="e">
        <f t="shared" si="340"/>
        <v>#REF!</v>
      </c>
      <c r="M325" s="12" t="e">
        <f t="shared" si="341"/>
        <v>#REF!</v>
      </c>
      <c r="N325" s="12">
        <v>0</v>
      </c>
      <c r="O325" s="12" t="e">
        <f t="shared" si="342"/>
        <v>#REF!</v>
      </c>
      <c r="P325" s="50" t="s">
        <v>21</v>
      </c>
      <c r="Z325" s="12">
        <f t="shared" si="343"/>
        <v>0</v>
      </c>
      <c r="AB325" s="12">
        <f t="shared" si="344"/>
        <v>0</v>
      </c>
      <c r="AC325" s="12">
        <f t="shared" si="345"/>
        <v>0</v>
      </c>
      <c r="AD325" s="12" t="e">
        <f t="shared" si="346"/>
        <v>#REF!</v>
      </c>
      <c r="AE325" s="12" t="e">
        <f t="shared" si="347"/>
        <v>#REF!</v>
      </c>
      <c r="AF325" s="12">
        <f t="shared" si="348"/>
        <v>0</v>
      </c>
      <c r="AG325" s="12">
        <f t="shared" si="349"/>
        <v>0</v>
      </c>
      <c r="AH325" s="12">
        <f t="shared" si="350"/>
        <v>0</v>
      </c>
      <c r="AI325" s="10" t="s">
        <v>783</v>
      </c>
      <c r="AJ325" s="12">
        <f t="shared" si="351"/>
        <v>0</v>
      </c>
      <c r="AK325" s="12">
        <f t="shared" si="352"/>
        <v>0</v>
      </c>
      <c r="AL325" s="12" t="e">
        <f t="shared" si="353"/>
        <v>#REF!</v>
      </c>
      <c r="AN325" s="12">
        <v>21</v>
      </c>
      <c r="AO325" s="12" t="e">
        <f>H325*0</f>
        <v>#REF!</v>
      </c>
      <c r="AP325" s="12" t="e">
        <f>H325*(1-0)</f>
        <v>#REF!</v>
      </c>
      <c r="AQ325" s="49" t="s">
        <v>567</v>
      </c>
      <c r="AV325" s="12" t="e">
        <f t="shared" si="354"/>
        <v>#REF!</v>
      </c>
      <c r="AW325" s="12" t="e">
        <f t="shared" si="355"/>
        <v>#REF!</v>
      </c>
      <c r="AX325" s="12" t="e">
        <f t="shared" si="356"/>
        <v>#REF!</v>
      </c>
      <c r="AY325" s="49" t="s">
        <v>588</v>
      </c>
      <c r="AZ325" s="49" t="s">
        <v>813</v>
      </c>
      <c r="BA325" s="10" t="s">
        <v>786</v>
      </c>
      <c r="BC325" s="12" t="e">
        <f t="shared" si="357"/>
        <v>#REF!</v>
      </c>
      <c r="BD325" s="12" t="e">
        <f t="shared" si="358"/>
        <v>#REF!</v>
      </c>
      <c r="BE325" s="12">
        <v>0</v>
      </c>
      <c r="BF325" s="12" t="e">
        <f t="shared" si="359"/>
        <v>#REF!</v>
      </c>
      <c r="BH325" s="12" t="e">
        <f t="shared" si="360"/>
        <v>#REF!</v>
      </c>
      <c r="BI325" s="12" t="e">
        <f t="shared" si="361"/>
        <v>#REF!</v>
      </c>
      <c r="BJ325" s="12" t="e">
        <f t="shared" si="362"/>
        <v>#REF!</v>
      </c>
      <c r="BK325" s="12"/>
      <c r="BL325" s="12">
        <v>733</v>
      </c>
      <c r="BW325" s="12" t="str">
        <f t="shared" si="363"/>
        <v>21</v>
      </c>
      <c r="BX325" s="3" t="s">
        <v>190</v>
      </c>
    </row>
    <row r="326" spans="1:76">
      <c r="A326" s="1" t="s">
        <v>829</v>
      </c>
      <c r="B326" s="2" t="s">
        <v>783</v>
      </c>
      <c r="C326" s="2" t="s">
        <v>408</v>
      </c>
      <c r="D326" s="349" t="s">
        <v>409</v>
      </c>
      <c r="E326" s="342"/>
      <c r="F326" s="2" t="s">
        <v>63</v>
      </c>
      <c r="G326" s="12" t="e">
        <f>#REF!</f>
        <v>#REF!</v>
      </c>
      <c r="H326" s="12" t="e">
        <f>#REF!</f>
        <v>#REF!</v>
      </c>
      <c r="I326" s="49" t="s">
        <v>554</v>
      </c>
      <c r="J326" s="12" t="e">
        <f t="shared" si="338"/>
        <v>#REF!</v>
      </c>
      <c r="K326" s="12" t="e">
        <f t="shared" si="339"/>
        <v>#REF!</v>
      </c>
      <c r="L326" s="12" t="e">
        <f t="shared" si="340"/>
        <v>#REF!</v>
      </c>
      <c r="M326" s="12" t="e">
        <f t="shared" si="341"/>
        <v>#REF!</v>
      </c>
      <c r="N326" s="12">
        <v>1.23E-3</v>
      </c>
      <c r="O326" s="12" t="e">
        <f t="shared" si="342"/>
        <v>#REF!</v>
      </c>
      <c r="P326" s="50" t="s">
        <v>577</v>
      </c>
      <c r="Z326" s="12">
        <f t="shared" si="343"/>
        <v>0</v>
      </c>
      <c r="AB326" s="12">
        <f t="shared" si="344"/>
        <v>0</v>
      </c>
      <c r="AC326" s="12">
        <f t="shared" si="345"/>
        <v>0</v>
      </c>
      <c r="AD326" s="12" t="e">
        <f t="shared" si="346"/>
        <v>#REF!</v>
      </c>
      <c r="AE326" s="12" t="e">
        <f t="shared" si="347"/>
        <v>#REF!</v>
      </c>
      <c r="AF326" s="12">
        <f t="shared" si="348"/>
        <v>0</v>
      </c>
      <c r="AG326" s="12">
        <f t="shared" si="349"/>
        <v>0</v>
      </c>
      <c r="AH326" s="12">
        <f t="shared" si="350"/>
        <v>0</v>
      </c>
      <c r="AI326" s="10" t="s">
        <v>783</v>
      </c>
      <c r="AJ326" s="12">
        <f t="shared" si="351"/>
        <v>0</v>
      </c>
      <c r="AK326" s="12">
        <f t="shared" si="352"/>
        <v>0</v>
      </c>
      <c r="AL326" s="12" t="e">
        <f t="shared" si="353"/>
        <v>#REF!</v>
      </c>
      <c r="AN326" s="12">
        <v>21</v>
      </c>
      <c r="AO326" s="12" t="e">
        <f>H326*1</f>
        <v>#REF!</v>
      </c>
      <c r="AP326" s="12" t="e">
        <f>H326*(1-1)</f>
        <v>#REF!</v>
      </c>
      <c r="AQ326" s="49" t="s">
        <v>567</v>
      </c>
      <c r="AV326" s="12" t="e">
        <f t="shared" si="354"/>
        <v>#REF!</v>
      </c>
      <c r="AW326" s="12" t="e">
        <f t="shared" si="355"/>
        <v>#REF!</v>
      </c>
      <c r="AX326" s="12" t="e">
        <f t="shared" si="356"/>
        <v>#REF!</v>
      </c>
      <c r="AY326" s="49" t="s">
        <v>588</v>
      </c>
      <c r="AZ326" s="49" t="s">
        <v>813</v>
      </c>
      <c r="BA326" s="10" t="s">
        <v>786</v>
      </c>
      <c r="BC326" s="12" t="e">
        <f t="shared" si="357"/>
        <v>#REF!</v>
      </c>
      <c r="BD326" s="12" t="e">
        <f t="shared" si="358"/>
        <v>#REF!</v>
      </c>
      <c r="BE326" s="12">
        <v>0</v>
      </c>
      <c r="BF326" s="12" t="e">
        <f t="shared" si="359"/>
        <v>#REF!</v>
      </c>
      <c r="BH326" s="12" t="e">
        <f t="shared" si="360"/>
        <v>#REF!</v>
      </c>
      <c r="BI326" s="12" t="e">
        <f t="shared" si="361"/>
        <v>#REF!</v>
      </c>
      <c r="BJ326" s="12" t="e">
        <f t="shared" si="362"/>
        <v>#REF!</v>
      </c>
      <c r="BK326" s="12"/>
      <c r="BL326" s="12">
        <v>733</v>
      </c>
      <c r="BW326" s="12" t="str">
        <f t="shared" si="363"/>
        <v>21</v>
      </c>
      <c r="BX326" s="3" t="s">
        <v>409</v>
      </c>
    </row>
    <row r="327" spans="1:76">
      <c r="A327" s="1" t="s">
        <v>830</v>
      </c>
      <c r="B327" s="2" t="s">
        <v>783</v>
      </c>
      <c r="C327" s="2" t="s">
        <v>410</v>
      </c>
      <c r="D327" s="349" t="s">
        <v>411</v>
      </c>
      <c r="E327" s="342"/>
      <c r="F327" s="2" t="s">
        <v>63</v>
      </c>
      <c r="G327" s="12" t="e">
        <f>#REF!</f>
        <v>#REF!</v>
      </c>
      <c r="H327" s="12" t="e">
        <f>#REF!</f>
        <v>#REF!</v>
      </c>
      <c r="I327" s="49" t="s">
        <v>554</v>
      </c>
      <c r="J327" s="12" t="e">
        <f t="shared" si="338"/>
        <v>#REF!</v>
      </c>
      <c r="K327" s="12" t="e">
        <f t="shared" si="339"/>
        <v>#REF!</v>
      </c>
      <c r="L327" s="12" t="e">
        <f t="shared" si="340"/>
        <v>#REF!</v>
      </c>
      <c r="M327" s="12" t="e">
        <f t="shared" si="341"/>
        <v>#REF!</v>
      </c>
      <c r="N327" s="12">
        <v>3.1E-4</v>
      </c>
      <c r="O327" s="12" t="e">
        <f t="shared" si="342"/>
        <v>#REF!</v>
      </c>
      <c r="P327" s="50" t="s">
        <v>577</v>
      </c>
      <c r="Z327" s="12">
        <f t="shared" si="343"/>
        <v>0</v>
      </c>
      <c r="AB327" s="12">
        <f t="shared" si="344"/>
        <v>0</v>
      </c>
      <c r="AC327" s="12">
        <f t="shared" si="345"/>
        <v>0</v>
      </c>
      <c r="AD327" s="12" t="e">
        <f t="shared" si="346"/>
        <v>#REF!</v>
      </c>
      <c r="AE327" s="12" t="e">
        <f t="shared" si="347"/>
        <v>#REF!</v>
      </c>
      <c r="AF327" s="12">
        <f t="shared" si="348"/>
        <v>0</v>
      </c>
      <c r="AG327" s="12">
        <f t="shared" si="349"/>
        <v>0</v>
      </c>
      <c r="AH327" s="12">
        <f t="shared" si="350"/>
        <v>0</v>
      </c>
      <c r="AI327" s="10" t="s">
        <v>783</v>
      </c>
      <c r="AJ327" s="12">
        <f t="shared" si="351"/>
        <v>0</v>
      </c>
      <c r="AK327" s="12">
        <f t="shared" si="352"/>
        <v>0</v>
      </c>
      <c r="AL327" s="12" t="e">
        <f t="shared" si="353"/>
        <v>#REF!</v>
      </c>
      <c r="AN327" s="12">
        <v>21</v>
      </c>
      <c r="AO327" s="12" t="e">
        <f>H327*1</f>
        <v>#REF!</v>
      </c>
      <c r="AP327" s="12" t="e">
        <f>H327*(1-1)</f>
        <v>#REF!</v>
      </c>
      <c r="AQ327" s="49" t="s">
        <v>567</v>
      </c>
      <c r="AV327" s="12" t="e">
        <f t="shared" si="354"/>
        <v>#REF!</v>
      </c>
      <c r="AW327" s="12" t="e">
        <f t="shared" si="355"/>
        <v>#REF!</v>
      </c>
      <c r="AX327" s="12" t="e">
        <f t="shared" si="356"/>
        <v>#REF!</v>
      </c>
      <c r="AY327" s="49" t="s">
        <v>588</v>
      </c>
      <c r="AZ327" s="49" t="s">
        <v>813</v>
      </c>
      <c r="BA327" s="10" t="s">
        <v>786</v>
      </c>
      <c r="BC327" s="12" t="e">
        <f t="shared" si="357"/>
        <v>#REF!</v>
      </c>
      <c r="BD327" s="12" t="e">
        <f t="shared" si="358"/>
        <v>#REF!</v>
      </c>
      <c r="BE327" s="12">
        <v>0</v>
      </c>
      <c r="BF327" s="12" t="e">
        <f t="shared" si="359"/>
        <v>#REF!</v>
      </c>
      <c r="BH327" s="12" t="e">
        <f t="shared" si="360"/>
        <v>#REF!</v>
      </c>
      <c r="BI327" s="12" t="e">
        <f t="shared" si="361"/>
        <v>#REF!</v>
      </c>
      <c r="BJ327" s="12" t="e">
        <f t="shared" si="362"/>
        <v>#REF!</v>
      </c>
      <c r="BK327" s="12"/>
      <c r="BL327" s="12">
        <v>733</v>
      </c>
      <c r="BW327" s="12" t="str">
        <f t="shared" si="363"/>
        <v>21</v>
      </c>
      <c r="BX327" s="3" t="s">
        <v>411</v>
      </c>
    </row>
    <row r="328" spans="1:76">
      <c r="A328" s="1" t="s">
        <v>831</v>
      </c>
      <c r="B328" s="2" t="s">
        <v>783</v>
      </c>
      <c r="C328" s="2" t="s">
        <v>412</v>
      </c>
      <c r="D328" s="349" t="s">
        <v>413</v>
      </c>
      <c r="E328" s="342"/>
      <c r="F328" s="2" t="s">
        <v>63</v>
      </c>
      <c r="G328" s="12" t="e">
        <f>#REF!</f>
        <v>#REF!</v>
      </c>
      <c r="H328" s="12" t="e">
        <f>#REF!</f>
        <v>#REF!</v>
      </c>
      <c r="I328" s="49" t="s">
        <v>554</v>
      </c>
      <c r="J328" s="12" t="e">
        <f t="shared" si="338"/>
        <v>#REF!</v>
      </c>
      <c r="K328" s="12" t="e">
        <f t="shared" si="339"/>
        <v>#REF!</v>
      </c>
      <c r="L328" s="12" t="e">
        <f t="shared" si="340"/>
        <v>#REF!</v>
      </c>
      <c r="M328" s="12" t="e">
        <f t="shared" si="341"/>
        <v>#REF!</v>
      </c>
      <c r="N328" s="12">
        <v>3.0000000000000001E-5</v>
      </c>
      <c r="O328" s="12" t="e">
        <f t="shared" si="342"/>
        <v>#REF!</v>
      </c>
      <c r="P328" s="50" t="s">
        <v>577</v>
      </c>
      <c r="Z328" s="12">
        <f t="shared" si="343"/>
        <v>0</v>
      </c>
      <c r="AB328" s="12">
        <f t="shared" si="344"/>
        <v>0</v>
      </c>
      <c r="AC328" s="12">
        <f t="shared" si="345"/>
        <v>0</v>
      </c>
      <c r="AD328" s="12" t="e">
        <f t="shared" si="346"/>
        <v>#REF!</v>
      </c>
      <c r="AE328" s="12" t="e">
        <f t="shared" si="347"/>
        <v>#REF!</v>
      </c>
      <c r="AF328" s="12">
        <f t="shared" si="348"/>
        <v>0</v>
      </c>
      <c r="AG328" s="12">
        <f t="shared" si="349"/>
        <v>0</v>
      </c>
      <c r="AH328" s="12">
        <f t="shared" si="350"/>
        <v>0</v>
      </c>
      <c r="AI328" s="10" t="s">
        <v>783</v>
      </c>
      <c r="AJ328" s="12">
        <f t="shared" si="351"/>
        <v>0</v>
      </c>
      <c r="AK328" s="12">
        <f t="shared" si="352"/>
        <v>0</v>
      </c>
      <c r="AL328" s="12" t="e">
        <f t="shared" si="353"/>
        <v>#REF!</v>
      </c>
      <c r="AN328" s="12">
        <v>21</v>
      </c>
      <c r="AO328" s="12" t="e">
        <f>H328*1</f>
        <v>#REF!</v>
      </c>
      <c r="AP328" s="12" t="e">
        <f>H328*(1-1)</f>
        <v>#REF!</v>
      </c>
      <c r="AQ328" s="49" t="s">
        <v>567</v>
      </c>
      <c r="AV328" s="12" t="e">
        <f t="shared" si="354"/>
        <v>#REF!</v>
      </c>
      <c r="AW328" s="12" t="e">
        <f t="shared" si="355"/>
        <v>#REF!</v>
      </c>
      <c r="AX328" s="12" t="e">
        <f t="shared" si="356"/>
        <v>#REF!</v>
      </c>
      <c r="AY328" s="49" t="s">
        <v>588</v>
      </c>
      <c r="AZ328" s="49" t="s">
        <v>813</v>
      </c>
      <c r="BA328" s="10" t="s">
        <v>786</v>
      </c>
      <c r="BC328" s="12" t="e">
        <f t="shared" si="357"/>
        <v>#REF!</v>
      </c>
      <c r="BD328" s="12" t="e">
        <f t="shared" si="358"/>
        <v>#REF!</v>
      </c>
      <c r="BE328" s="12">
        <v>0</v>
      </c>
      <c r="BF328" s="12" t="e">
        <f t="shared" si="359"/>
        <v>#REF!</v>
      </c>
      <c r="BH328" s="12" t="e">
        <f t="shared" si="360"/>
        <v>#REF!</v>
      </c>
      <c r="BI328" s="12" t="e">
        <f t="shared" si="361"/>
        <v>#REF!</v>
      </c>
      <c r="BJ328" s="12" t="e">
        <f t="shared" si="362"/>
        <v>#REF!</v>
      </c>
      <c r="BK328" s="12"/>
      <c r="BL328" s="12">
        <v>733</v>
      </c>
      <c r="BW328" s="12" t="str">
        <f t="shared" si="363"/>
        <v>21</v>
      </c>
      <c r="BX328" s="3" t="s">
        <v>413</v>
      </c>
    </row>
    <row r="329" spans="1:76">
      <c r="A329" s="46" t="s">
        <v>21</v>
      </c>
      <c r="B329" s="9" t="s">
        <v>783</v>
      </c>
      <c r="C329" s="9" t="s">
        <v>95</v>
      </c>
      <c r="D329" s="359" t="s">
        <v>96</v>
      </c>
      <c r="E329" s="360"/>
      <c r="F329" s="47" t="s">
        <v>20</v>
      </c>
      <c r="G329" s="47" t="s">
        <v>20</v>
      </c>
      <c r="H329" s="47" t="s">
        <v>20</v>
      </c>
      <c r="I329" s="47" t="s">
        <v>20</v>
      </c>
      <c r="J329" s="11" t="e">
        <f>SUM(J330:J344)</f>
        <v>#REF!</v>
      </c>
      <c r="K329" s="11" t="e">
        <f>SUM(K330:K344)</f>
        <v>#REF!</v>
      </c>
      <c r="L329" s="11" t="e">
        <f>SUM(L330:L344)</f>
        <v>#REF!</v>
      </c>
      <c r="M329" s="11" t="e">
        <f>SUM(M330:M344)</f>
        <v>#REF!</v>
      </c>
      <c r="N329" s="10" t="s">
        <v>21</v>
      </c>
      <c r="O329" s="11" t="e">
        <f>SUM(O330:O344)</f>
        <v>#REF!</v>
      </c>
      <c r="P329" s="48" t="s">
        <v>21</v>
      </c>
      <c r="AI329" s="10" t="s">
        <v>783</v>
      </c>
      <c r="AS329" s="11">
        <f>SUM(AJ330:AJ344)</f>
        <v>0</v>
      </c>
      <c r="AT329" s="11">
        <f>SUM(AK330:AK344)</f>
        <v>0</v>
      </c>
      <c r="AU329" s="11" t="e">
        <f>SUM(AL330:AL344)</f>
        <v>#REF!</v>
      </c>
    </row>
    <row r="330" spans="1:76">
      <c r="A330" s="1" t="s">
        <v>832</v>
      </c>
      <c r="B330" s="2" t="s">
        <v>783</v>
      </c>
      <c r="C330" s="2" t="s">
        <v>99</v>
      </c>
      <c r="D330" s="349" t="s">
        <v>100</v>
      </c>
      <c r="E330" s="342"/>
      <c r="F330" s="2" t="s">
        <v>68</v>
      </c>
      <c r="G330" s="12" t="e">
        <f>#REF!</f>
        <v>#REF!</v>
      </c>
      <c r="H330" s="12" t="e">
        <f>#REF!</f>
        <v>#REF!</v>
      </c>
      <c r="I330" s="49" t="s">
        <v>554</v>
      </c>
      <c r="J330" s="12" t="e">
        <f t="shared" ref="J330:J344" si="364">G330*AO330</f>
        <v>#REF!</v>
      </c>
      <c r="K330" s="12" t="e">
        <f t="shared" ref="K330:K344" si="365">G330*AP330</f>
        <v>#REF!</v>
      </c>
      <c r="L330" s="12" t="e">
        <f t="shared" ref="L330:L344" si="366">G330*H330</f>
        <v>#REF!</v>
      </c>
      <c r="M330" s="12" t="e">
        <f t="shared" ref="M330:M344" si="367">L330*(1+BW330/100)</f>
        <v>#REF!</v>
      </c>
      <c r="N330" s="12">
        <v>3.7100000000000002E-3</v>
      </c>
      <c r="O330" s="12" t="e">
        <f t="shared" ref="O330:O344" si="368">G330*N330</f>
        <v>#REF!</v>
      </c>
      <c r="P330" s="50" t="s">
        <v>577</v>
      </c>
      <c r="Z330" s="12">
        <f t="shared" ref="Z330:Z344" si="369">IF(AQ330="5",BJ330,0)</f>
        <v>0</v>
      </c>
      <c r="AB330" s="12">
        <f t="shared" ref="AB330:AB344" si="370">IF(AQ330="1",BH330,0)</f>
        <v>0</v>
      </c>
      <c r="AC330" s="12">
        <f t="shared" ref="AC330:AC344" si="371">IF(AQ330="1",BI330,0)</f>
        <v>0</v>
      </c>
      <c r="AD330" s="12" t="e">
        <f t="shared" ref="AD330:AD344" si="372">IF(AQ330="7",BH330,0)</f>
        <v>#REF!</v>
      </c>
      <c r="AE330" s="12" t="e">
        <f t="shared" ref="AE330:AE344" si="373">IF(AQ330="7",BI330,0)</f>
        <v>#REF!</v>
      </c>
      <c r="AF330" s="12">
        <f t="shared" ref="AF330:AF344" si="374">IF(AQ330="2",BH330,0)</f>
        <v>0</v>
      </c>
      <c r="AG330" s="12">
        <f t="shared" ref="AG330:AG344" si="375">IF(AQ330="2",BI330,0)</f>
        <v>0</v>
      </c>
      <c r="AH330" s="12">
        <f t="shared" ref="AH330:AH344" si="376">IF(AQ330="0",BJ330,0)</f>
        <v>0</v>
      </c>
      <c r="AI330" s="10" t="s">
        <v>783</v>
      </c>
      <c r="AJ330" s="12">
        <f t="shared" ref="AJ330:AJ344" si="377">IF(AN330=0,L330,0)</f>
        <v>0</v>
      </c>
      <c r="AK330" s="12">
        <f t="shared" ref="AK330:AK344" si="378">IF(AN330=12,L330,0)</f>
        <v>0</v>
      </c>
      <c r="AL330" s="12" t="e">
        <f t="shared" ref="AL330:AL344" si="379">IF(AN330=21,L330,0)</f>
        <v>#REF!</v>
      </c>
      <c r="AN330" s="12">
        <v>21</v>
      </c>
      <c r="AO330" s="12" t="e">
        <f>H330*0.265479277</f>
        <v>#REF!</v>
      </c>
      <c r="AP330" s="12" t="e">
        <f>H330*(1-0.265479277)</f>
        <v>#REF!</v>
      </c>
      <c r="AQ330" s="49" t="s">
        <v>567</v>
      </c>
      <c r="AV330" s="12" t="e">
        <f t="shared" ref="AV330:AV344" si="380">AW330+AX330</f>
        <v>#REF!</v>
      </c>
      <c r="AW330" s="12" t="e">
        <f t="shared" ref="AW330:AW344" si="381">G330*AO330</f>
        <v>#REF!</v>
      </c>
      <c r="AX330" s="12" t="e">
        <f t="shared" ref="AX330:AX344" si="382">G330*AP330</f>
        <v>#REF!</v>
      </c>
      <c r="AY330" s="49" t="s">
        <v>593</v>
      </c>
      <c r="AZ330" s="49" t="s">
        <v>813</v>
      </c>
      <c r="BA330" s="10" t="s">
        <v>786</v>
      </c>
      <c r="BC330" s="12" t="e">
        <f t="shared" ref="BC330:BC344" si="383">AW330+AX330</f>
        <v>#REF!</v>
      </c>
      <c r="BD330" s="12" t="e">
        <f t="shared" ref="BD330:BD344" si="384">H330/(100-BE330)*100</f>
        <v>#REF!</v>
      </c>
      <c r="BE330" s="12">
        <v>0</v>
      </c>
      <c r="BF330" s="12" t="e">
        <f t="shared" ref="BF330:BF344" si="385">O330</f>
        <v>#REF!</v>
      </c>
      <c r="BH330" s="12" t="e">
        <f t="shared" ref="BH330:BH344" si="386">G330*AO330</f>
        <v>#REF!</v>
      </c>
      <c r="BI330" s="12" t="e">
        <f t="shared" ref="BI330:BI344" si="387">G330*AP330</f>
        <v>#REF!</v>
      </c>
      <c r="BJ330" s="12" t="e">
        <f t="shared" ref="BJ330:BJ344" si="388">G330*H330</f>
        <v>#REF!</v>
      </c>
      <c r="BK330" s="12"/>
      <c r="BL330" s="12">
        <v>734</v>
      </c>
      <c r="BW330" s="12" t="str">
        <f t="shared" ref="BW330:BW344" si="389">I330</f>
        <v>21</v>
      </c>
      <c r="BX330" s="3" t="s">
        <v>100</v>
      </c>
    </row>
    <row r="331" spans="1:76">
      <c r="A331" s="1" t="s">
        <v>833</v>
      </c>
      <c r="B331" s="2" t="s">
        <v>783</v>
      </c>
      <c r="C331" s="2" t="s">
        <v>97</v>
      </c>
      <c r="D331" s="349" t="s">
        <v>98</v>
      </c>
      <c r="E331" s="342"/>
      <c r="F331" s="2" t="s">
        <v>68</v>
      </c>
      <c r="G331" s="12" t="e">
        <f>#REF!</f>
        <v>#REF!</v>
      </c>
      <c r="H331" s="12" t="e">
        <f>#REF!</f>
        <v>#REF!</v>
      </c>
      <c r="I331" s="49" t="s">
        <v>554</v>
      </c>
      <c r="J331" s="12" t="e">
        <f t="shared" si="364"/>
        <v>#REF!</v>
      </c>
      <c r="K331" s="12" t="e">
        <f t="shared" si="365"/>
        <v>#REF!</v>
      </c>
      <c r="L331" s="12" t="e">
        <f t="shared" si="366"/>
        <v>#REF!</v>
      </c>
      <c r="M331" s="12" t="e">
        <f t="shared" si="367"/>
        <v>#REF!</v>
      </c>
      <c r="N331" s="12">
        <v>3.9019999999999999E-2</v>
      </c>
      <c r="O331" s="12" t="e">
        <f t="shared" si="368"/>
        <v>#REF!</v>
      </c>
      <c r="P331" s="50" t="s">
        <v>577</v>
      </c>
      <c r="Z331" s="12">
        <f t="shared" si="369"/>
        <v>0</v>
      </c>
      <c r="AB331" s="12">
        <f t="shared" si="370"/>
        <v>0</v>
      </c>
      <c r="AC331" s="12">
        <f t="shared" si="371"/>
        <v>0</v>
      </c>
      <c r="AD331" s="12" t="e">
        <f t="shared" si="372"/>
        <v>#REF!</v>
      </c>
      <c r="AE331" s="12" t="e">
        <f t="shared" si="373"/>
        <v>#REF!</v>
      </c>
      <c r="AF331" s="12">
        <f t="shared" si="374"/>
        <v>0</v>
      </c>
      <c r="AG331" s="12">
        <f t="shared" si="375"/>
        <v>0</v>
      </c>
      <c r="AH331" s="12">
        <f t="shared" si="376"/>
        <v>0</v>
      </c>
      <c r="AI331" s="10" t="s">
        <v>783</v>
      </c>
      <c r="AJ331" s="12">
        <f t="shared" si="377"/>
        <v>0</v>
      </c>
      <c r="AK331" s="12">
        <f t="shared" si="378"/>
        <v>0</v>
      </c>
      <c r="AL331" s="12" t="e">
        <f t="shared" si="379"/>
        <v>#REF!</v>
      </c>
      <c r="AN331" s="12">
        <v>21</v>
      </c>
      <c r="AO331" s="12" t="e">
        <f>H331*0.004836759</f>
        <v>#REF!</v>
      </c>
      <c r="AP331" s="12" t="e">
        <f>H331*(1-0.004836759)</f>
        <v>#REF!</v>
      </c>
      <c r="AQ331" s="49" t="s">
        <v>567</v>
      </c>
      <c r="AV331" s="12" t="e">
        <f t="shared" si="380"/>
        <v>#REF!</v>
      </c>
      <c r="AW331" s="12" t="e">
        <f t="shared" si="381"/>
        <v>#REF!</v>
      </c>
      <c r="AX331" s="12" t="e">
        <f t="shared" si="382"/>
        <v>#REF!</v>
      </c>
      <c r="AY331" s="49" t="s">
        <v>593</v>
      </c>
      <c r="AZ331" s="49" t="s">
        <v>813</v>
      </c>
      <c r="BA331" s="10" t="s">
        <v>786</v>
      </c>
      <c r="BC331" s="12" t="e">
        <f t="shared" si="383"/>
        <v>#REF!</v>
      </c>
      <c r="BD331" s="12" t="e">
        <f t="shared" si="384"/>
        <v>#REF!</v>
      </c>
      <c r="BE331" s="12">
        <v>0</v>
      </c>
      <c r="BF331" s="12" t="e">
        <f t="shared" si="385"/>
        <v>#REF!</v>
      </c>
      <c r="BH331" s="12" t="e">
        <f t="shared" si="386"/>
        <v>#REF!</v>
      </c>
      <c r="BI331" s="12" t="e">
        <f t="shared" si="387"/>
        <v>#REF!</v>
      </c>
      <c r="BJ331" s="12" t="e">
        <f t="shared" si="388"/>
        <v>#REF!</v>
      </c>
      <c r="BK331" s="12"/>
      <c r="BL331" s="12">
        <v>734</v>
      </c>
      <c r="BW331" s="12" t="str">
        <f t="shared" si="389"/>
        <v>21</v>
      </c>
      <c r="BX331" s="3" t="s">
        <v>98</v>
      </c>
    </row>
    <row r="332" spans="1:76">
      <c r="A332" s="1" t="s">
        <v>834</v>
      </c>
      <c r="B332" s="2" t="s">
        <v>783</v>
      </c>
      <c r="C332" s="2" t="s">
        <v>414</v>
      </c>
      <c r="D332" s="349" t="s">
        <v>415</v>
      </c>
      <c r="E332" s="342"/>
      <c r="F332" s="2" t="s">
        <v>68</v>
      </c>
      <c r="G332" s="12" t="e">
        <f>#REF!</f>
        <v>#REF!</v>
      </c>
      <c r="H332" s="12" t="e">
        <f>#REF!</f>
        <v>#REF!</v>
      </c>
      <c r="I332" s="49" t="s">
        <v>554</v>
      </c>
      <c r="J332" s="12" t="e">
        <f t="shared" si="364"/>
        <v>#REF!</v>
      </c>
      <c r="K332" s="12" t="e">
        <f t="shared" si="365"/>
        <v>#REF!</v>
      </c>
      <c r="L332" s="12" t="e">
        <f t="shared" si="366"/>
        <v>#REF!</v>
      </c>
      <c r="M332" s="12" t="e">
        <f t="shared" si="367"/>
        <v>#REF!</v>
      </c>
      <c r="N332" s="12">
        <v>1.6240000000000001E-2</v>
      </c>
      <c r="O332" s="12" t="e">
        <f t="shared" si="368"/>
        <v>#REF!</v>
      </c>
      <c r="P332" s="50" t="s">
        <v>577</v>
      </c>
      <c r="Z332" s="12">
        <f t="shared" si="369"/>
        <v>0</v>
      </c>
      <c r="AB332" s="12">
        <f t="shared" si="370"/>
        <v>0</v>
      </c>
      <c r="AC332" s="12">
        <f t="shared" si="371"/>
        <v>0</v>
      </c>
      <c r="AD332" s="12" t="e">
        <f t="shared" si="372"/>
        <v>#REF!</v>
      </c>
      <c r="AE332" s="12" t="e">
        <f t="shared" si="373"/>
        <v>#REF!</v>
      </c>
      <c r="AF332" s="12">
        <f t="shared" si="374"/>
        <v>0</v>
      </c>
      <c r="AG332" s="12">
        <f t="shared" si="375"/>
        <v>0</v>
      </c>
      <c r="AH332" s="12">
        <f t="shared" si="376"/>
        <v>0</v>
      </c>
      <c r="AI332" s="10" t="s">
        <v>783</v>
      </c>
      <c r="AJ332" s="12">
        <f t="shared" si="377"/>
        <v>0</v>
      </c>
      <c r="AK332" s="12">
        <f t="shared" si="378"/>
        <v>0</v>
      </c>
      <c r="AL332" s="12" t="e">
        <f t="shared" si="379"/>
        <v>#REF!</v>
      </c>
      <c r="AN332" s="12">
        <v>21</v>
      </c>
      <c r="AO332" s="12" t="e">
        <f>H332*0.917229599</f>
        <v>#REF!</v>
      </c>
      <c r="AP332" s="12" t="e">
        <f>H332*(1-0.917229599)</f>
        <v>#REF!</v>
      </c>
      <c r="AQ332" s="49" t="s">
        <v>567</v>
      </c>
      <c r="AV332" s="12" t="e">
        <f t="shared" si="380"/>
        <v>#REF!</v>
      </c>
      <c r="AW332" s="12" t="e">
        <f t="shared" si="381"/>
        <v>#REF!</v>
      </c>
      <c r="AX332" s="12" t="e">
        <f t="shared" si="382"/>
        <v>#REF!</v>
      </c>
      <c r="AY332" s="49" t="s">
        <v>593</v>
      </c>
      <c r="AZ332" s="49" t="s">
        <v>813</v>
      </c>
      <c r="BA332" s="10" t="s">
        <v>786</v>
      </c>
      <c r="BC332" s="12" t="e">
        <f t="shared" si="383"/>
        <v>#REF!</v>
      </c>
      <c r="BD332" s="12" t="e">
        <f t="shared" si="384"/>
        <v>#REF!</v>
      </c>
      <c r="BE332" s="12">
        <v>0</v>
      </c>
      <c r="BF332" s="12" t="e">
        <f t="shared" si="385"/>
        <v>#REF!</v>
      </c>
      <c r="BH332" s="12" t="e">
        <f t="shared" si="386"/>
        <v>#REF!</v>
      </c>
      <c r="BI332" s="12" t="e">
        <f t="shared" si="387"/>
        <v>#REF!</v>
      </c>
      <c r="BJ332" s="12" t="e">
        <f t="shared" si="388"/>
        <v>#REF!</v>
      </c>
      <c r="BK332" s="12"/>
      <c r="BL332" s="12">
        <v>734</v>
      </c>
      <c r="BW332" s="12" t="str">
        <f t="shared" si="389"/>
        <v>21</v>
      </c>
      <c r="BX332" s="3" t="s">
        <v>415</v>
      </c>
    </row>
    <row r="333" spans="1:76">
      <c r="A333" s="1" t="s">
        <v>835</v>
      </c>
      <c r="B333" s="2" t="s">
        <v>783</v>
      </c>
      <c r="C333" s="2" t="s">
        <v>416</v>
      </c>
      <c r="D333" s="349" t="s">
        <v>417</v>
      </c>
      <c r="E333" s="342"/>
      <c r="F333" s="2" t="s">
        <v>68</v>
      </c>
      <c r="G333" s="12" t="e">
        <f>#REF!</f>
        <v>#REF!</v>
      </c>
      <c r="H333" s="12" t="e">
        <f>#REF!</f>
        <v>#REF!</v>
      </c>
      <c r="I333" s="49" t="s">
        <v>554</v>
      </c>
      <c r="J333" s="12" t="e">
        <f t="shared" si="364"/>
        <v>#REF!</v>
      </c>
      <c r="K333" s="12" t="e">
        <f t="shared" si="365"/>
        <v>#REF!</v>
      </c>
      <c r="L333" s="12" t="e">
        <f t="shared" si="366"/>
        <v>#REF!</v>
      </c>
      <c r="M333" s="12" t="e">
        <f t="shared" si="367"/>
        <v>#REF!</v>
      </c>
      <c r="N333" s="12">
        <v>7.2999999999999996E-4</v>
      </c>
      <c r="O333" s="12" t="e">
        <f t="shared" si="368"/>
        <v>#REF!</v>
      </c>
      <c r="P333" s="50" t="s">
        <v>577</v>
      </c>
      <c r="Z333" s="12">
        <f t="shared" si="369"/>
        <v>0</v>
      </c>
      <c r="AB333" s="12">
        <f t="shared" si="370"/>
        <v>0</v>
      </c>
      <c r="AC333" s="12">
        <f t="shared" si="371"/>
        <v>0</v>
      </c>
      <c r="AD333" s="12" t="e">
        <f t="shared" si="372"/>
        <v>#REF!</v>
      </c>
      <c r="AE333" s="12" t="e">
        <f t="shared" si="373"/>
        <v>#REF!</v>
      </c>
      <c r="AF333" s="12">
        <f t="shared" si="374"/>
        <v>0</v>
      </c>
      <c r="AG333" s="12">
        <f t="shared" si="375"/>
        <v>0</v>
      </c>
      <c r="AH333" s="12">
        <f t="shared" si="376"/>
        <v>0</v>
      </c>
      <c r="AI333" s="10" t="s">
        <v>783</v>
      </c>
      <c r="AJ333" s="12">
        <f t="shared" si="377"/>
        <v>0</v>
      </c>
      <c r="AK333" s="12">
        <f t="shared" si="378"/>
        <v>0</v>
      </c>
      <c r="AL333" s="12" t="e">
        <f t="shared" si="379"/>
        <v>#REF!</v>
      </c>
      <c r="AN333" s="12">
        <v>21</v>
      </c>
      <c r="AO333" s="12" t="e">
        <f>H333*0.690255754</f>
        <v>#REF!</v>
      </c>
      <c r="AP333" s="12" t="e">
        <f>H333*(1-0.690255754)</f>
        <v>#REF!</v>
      </c>
      <c r="AQ333" s="49" t="s">
        <v>567</v>
      </c>
      <c r="AV333" s="12" t="e">
        <f t="shared" si="380"/>
        <v>#REF!</v>
      </c>
      <c r="AW333" s="12" t="e">
        <f t="shared" si="381"/>
        <v>#REF!</v>
      </c>
      <c r="AX333" s="12" t="e">
        <f t="shared" si="382"/>
        <v>#REF!</v>
      </c>
      <c r="AY333" s="49" t="s">
        <v>593</v>
      </c>
      <c r="AZ333" s="49" t="s">
        <v>813</v>
      </c>
      <c r="BA333" s="10" t="s">
        <v>786</v>
      </c>
      <c r="BC333" s="12" t="e">
        <f t="shared" si="383"/>
        <v>#REF!</v>
      </c>
      <c r="BD333" s="12" t="e">
        <f t="shared" si="384"/>
        <v>#REF!</v>
      </c>
      <c r="BE333" s="12">
        <v>0</v>
      </c>
      <c r="BF333" s="12" t="e">
        <f t="shared" si="385"/>
        <v>#REF!</v>
      </c>
      <c r="BH333" s="12" t="e">
        <f t="shared" si="386"/>
        <v>#REF!</v>
      </c>
      <c r="BI333" s="12" t="e">
        <f t="shared" si="387"/>
        <v>#REF!</v>
      </c>
      <c r="BJ333" s="12" t="e">
        <f t="shared" si="388"/>
        <v>#REF!</v>
      </c>
      <c r="BK333" s="12"/>
      <c r="BL333" s="12">
        <v>734</v>
      </c>
      <c r="BW333" s="12" t="str">
        <f t="shared" si="389"/>
        <v>21</v>
      </c>
      <c r="BX333" s="3" t="s">
        <v>417</v>
      </c>
    </row>
    <row r="334" spans="1:76">
      <c r="A334" s="1" t="s">
        <v>836</v>
      </c>
      <c r="B334" s="2" t="s">
        <v>783</v>
      </c>
      <c r="C334" s="2" t="s">
        <v>418</v>
      </c>
      <c r="D334" s="349" t="s">
        <v>419</v>
      </c>
      <c r="E334" s="342"/>
      <c r="F334" s="2" t="s">
        <v>68</v>
      </c>
      <c r="G334" s="12" t="e">
        <f>#REF!</f>
        <v>#REF!</v>
      </c>
      <c r="H334" s="12" t="e">
        <f>#REF!</f>
        <v>#REF!</v>
      </c>
      <c r="I334" s="49" t="s">
        <v>554</v>
      </c>
      <c r="J334" s="12" t="e">
        <f t="shared" si="364"/>
        <v>#REF!</v>
      </c>
      <c r="K334" s="12" t="e">
        <f t="shared" si="365"/>
        <v>#REF!</v>
      </c>
      <c r="L334" s="12" t="e">
        <f t="shared" si="366"/>
        <v>#REF!</v>
      </c>
      <c r="M334" s="12" t="e">
        <f t="shared" si="367"/>
        <v>#REF!</v>
      </c>
      <c r="N334" s="12">
        <v>2.5699999999999998E-3</v>
      </c>
      <c r="O334" s="12" t="e">
        <f t="shared" si="368"/>
        <v>#REF!</v>
      </c>
      <c r="P334" s="50" t="s">
        <v>605</v>
      </c>
      <c r="Z334" s="12">
        <f t="shared" si="369"/>
        <v>0</v>
      </c>
      <c r="AB334" s="12">
        <f t="shared" si="370"/>
        <v>0</v>
      </c>
      <c r="AC334" s="12">
        <f t="shared" si="371"/>
        <v>0</v>
      </c>
      <c r="AD334" s="12" t="e">
        <f t="shared" si="372"/>
        <v>#REF!</v>
      </c>
      <c r="AE334" s="12" t="e">
        <f t="shared" si="373"/>
        <v>#REF!</v>
      </c>
      <c r="AF334" s="12">
        <f t="shared" si="374"/>
        <v>0</v>
      </c>
      <c r="AG334" s="12">
        <f t="shared" si="375"/>
        <v>0</v>
      </c>
      <c r="AH334" s="12">
        <f t="shared" si="376"/>
        <v>0</v>
      </c>
      <c r="AI334" s="10" t="s">
        <v>783</v>
      </c>
      <c r="AJ334" s="12">
        <f t="shared" si="377"/>
        <v>0</v>
      </c>
      <c r="AK334" s="12">
        <f t="shared" si="378"/>
        <v>0</v>
      </c>
      <c r="AL334" s="12" t="e">
        <f t="shared" si="379"/>
        <v>#REF!</v>
      </c>
      <c r="AN334" s="12">
        <v>21</v>
      </c>
      <c r="AO334" s="12" t="e">
        <f>H334*0.893467249</f>
        <v>#REF!</v>
      </c>
      <c r="AP334" s="12" t="e">
        <f>H334*(1-0.893467249)</f>
        <v>#REF!</v>
      </c>
      <c r="AQ334" s="49" t="s">
        <v>567</v>
      </c>
      <c r="AV334" s="12" t="e">
        <f t="shared" si="380"/>
        <v>#REF!</v>
      </c>
      <c r="AW334" s="12" t="e">
        <f t="shared" si="381"/>
        <v>#REF!</v>
      </c>
      <c r="AX334" s="12" t="e">
        <f t="shared" si="382"/>
        <v>#REF!</v>
      </c>
      <c r="AY334" s="49" t="s">
        <v>593</v>
      </c>
      <c r="AZ334" s="49" t="s">
        <v>813</v>
      </c>
      <c r="BA334" s="10" t="s">
        <v>786</v>
      </c>
      <c r="BC334" s="12" t="e">
        <f t="shared" si="383"/>
        <v>#REF!</v>
      </c>
      <c r="BD334" s="12" t="e">
        <f t="shared" si="384"/>
        <v>#REF!</v>
      </c>
      <c r="BE334" s="12">
        <v>0</v>
      </c>
      <c r="BF334" s="12" t="e">
        <f t="shared" si="385"/>
        <v>#REF!</v>
      </c>
      <c r="BH334" s="12" t="e">
        <f t="shared" si="386"/>
        <v>#REF!</v>
      </c>
      <c r="BI334" s="12" t="e">
        <f t="shared" si="387"/>
        <v>#REF!</v>
      </c>
      <c r="BJ334" s="12" t="e">
        <f t="shared" si="388"/>
        <v>#REF!</v>
      </c>
      <c r="BK334" s="12"/>
      <c r="BL334" s="12">
        <v>734</v>
      </c>
      <c r="BW334" s="12" t="str">
        <f t="shared" si="389"/>
        <v>21</v>
      </c>
      <c r="BX334" s="3" t="s">
        <v>419</v>
      </c>
    </row>
    <row r="335" spans="1:76">
      <c r="A335" s="1" t="s">
        <v>837</v>
      </c>
      <c r="B335" s="2" t="s">
        <v>783</v>
      </c>
      <c r="C335" s="2" t="s">
        <v>420</v>
      </c>
      <c r="D335" s="349" t="s">
        <v>421</v>
      </c>
      <c r="E335" s="342"/>
      <c r="F335" s="2" t="s">
        <v>68</v>
      </c>
      <c r="G335" s="12" t="e">
        <f>#REF!</f>
        <v>#REF!</v>
      </c>
      <c r="H335" s="12" t="e">
        <f>#REF!</f>
        <v>#REF!</v>
      </c>
      <c r="I335" s="49" t="s">
        <v>554</v>
      </c>
      <c r="J335" s="12" t="e">
        <f t="shared" si="364"/>
        <v>#REF!</v>
      </c>
      <c r="K335" s="12" t="e">
        <f t="shared" si="365"/>
        <v>#REF!</v>
      </c>
      <c r="L335" s="12" t="e">
        <f t="shared" si="366"/>
        <v>#REF!</v>
      </c>
      <c r="M335" s="12" t="e">
        <f t="shared" si="367"/>
        <v>#REF!</v>
      </c>
      <c r="N335" s="12">
        <v>1.6240000000000001E-2</v>
      </c>
      <c r="O335" s="12" t="e">
        <f t="shared" si="368"/>
        <v>#REF!</v>
      </c>
      <c r="P335" s="50" t="s">
        <v>577</v>
      </c>
      <c r="Z335" s="12">
        <f t="shared" si="369"/>
        <v>0</v>
      </c>
      <c r="AB335" s="12">
        <f t="shared" si="370"/>
        <v>0</v>
      </c>
      <c r="AC335" s="12">
        <f t="shared" si="371"/>
        <v>0</v>
      </c>
      <c r="AD335" s="12" t="e">
        <f t="shared" si="372"/>
        <v>#REF!</v>
      </c>
      <c r="AE335" s="12" t="e">
        <f t="shared" si="373"/>
        <v>#REF!</v>
      </c>
      <c r="AF335" s="12">
        <f t="shared" si="374"/>
        <v>0</v>
      </c>
      <c r="AG335" s="12">
        <f t="shared" si="375"/>
        <v>0</v>
      </c>
      <c r="AH335" s="12">
        <f t="shared" si="376"/>
        <v>0</v>
      </c>
      <c r="AI335" s="10" t="s">
        <v>783</v>
      </c>
      <c r="AJ335" s="12">
        <f t="shared" si="377"/>
        <v>0</v>
      </c>
      <c r="AK335" s="12">
        <f t="shared" si="378"/>
        <v>0</v>
      </c>
      <c r="AL335" s="12" t="e">
        <f t="shared" si="379"/>
        <v>#REF!</v>
      </c>
      <c r="AN335" s="12">
        <v>21</v>
      </c>
      <c r="AO335" s="12" t="e">
        <f>H335*0.93908603</f>
        <v>#REF!</v>
      </c>
      <c r="AP335" s="12" t="e">
        <f>H335*(1-0.93908603)</f>
        <v>#REF!</v>
      </c>
      <c r="AQ335" s="49" t="s">
        <v>567</v>
      </c>
      <c r="AV335" s="12" t="e">
        <f t="shared" si="380"/>
        <v>#REF!</v>
      </c>
      <c r="AW335" s="12" t="e">
        <f t="shared" si="381"/>
        <v>#REF!</v>
      </c>
      <c r="AX335" s="12" t="e">
        <f t="shared" si="382"/>
        <v>#REF!</v>
      </c>
      <c r="AY335" s="49" t="s">
        <v>593</v>
      </c>
      <c r="AZ335" s="49" t="s">
        <v>813</v>
      </c>
      <c r="BA335" s="10" t="s">
        <v>786</v>
      </c>
      <c r="BC335" s="12" t="e">
        <f t="shared" si="383"/>
        <v>#REF!</v>
      </c>
      <c r="BD335" s="12" t="e">
        <f t="shared" si="384"/>
        <v>#REF!</v>
      </c>
      <c r="BE335" s="12">
        <v>0</v>
      </c>
      <c r="BF335" s="12" t="e">
        <f t="shared" si="385"/>
        <v>#REF!</v>
      </c>
      <c r="BH335" s="12" t="e">
        <f t="shared" si="386"/>
        <v>#REF!</v>
      </c>
      <c r="BI335" s="12" t="e">
        <f t="shared" si="387"/>
        <v>#REF!</v>
      </c>
      <c r="BJ335" s="12" t="e">
        <f t="shared" si="388"/>
        <v>#REF!</v>
      </c>
      <c r="BK335" s="12"/>
      <c r="BL335" s="12">
        <v>734</v>
      </c>
      <c r="BW335" s="12" t="str">
        <f t="shared" si="389"/>
        <v>21</v>
      </c>
      <c r="BX335" s="3" t="s">
        <v>421</v>
      </c>
    </row>
    <row r="336" spans="1:76">
      <c r="A336" s="1" t="s">
        <v>838</v>
      </c>
      <c r="B336" s="2" t="s">
        <v>783</v>
      </c>
      <c r="C336" s="2" t="s">
        <v>422</v>
      </c>
      <c r="D336" s="349" t="s">
        <v>423</v>
      </c>
      <c r="E336" s="342"/>
      <c r="F336" s="2" t="s">
        <v>68</v>
      </c>
      <c r="G336" s="12" t="e">
        <f>#REF!</f>
        <v>#REF!</v>
      </c>
      <c r="H336" s="12" t="e">
        <f>#REF!</f>
        <v>#REF!</v>
      </c>
      <c r="I336" s="49" t="s">
        <v>554</v>
      </c>
      <c r="J336" s="12" t="e">
        <f t="shared" si="364"/>
        <v>#REF!</v>
      </c>
      <c r="K336" s="12" t="e">
        <f t="shared" si="365"/>
        <v>#REF!</v>
      </c>
      <c r="L336" s="12" t="e">
        <f t="shared" si="366"/>
        <v>#REF!</v>
      </c>
      <c r="M336" s="12" t="e">
        <f t="shared" si="367"/>
        <v>#REF!</v>
      </c>
      <c r="N336" s="12">
        <v>4.6999999999999999E-4</v>
      </c>
      <c r="O336" s="12" t="e">
        <f t="shared" si="368"/>
        <v>#REF!</v>
      </c>
      <c r="P336" s="50" t="s">
        <v>577</v>
      </c>
      <c r="Z336" s="12">
        <f t="shared" si="369"/>
        <v>0</v>
      </c>
      <c r="AB336" s="12">
        <f t="shared" si="370"/>
        <v>0</v>
      </c>
      <c r="AC336" s="12">
        <f t="shared" si="371"/>
        <v>0</v>
      </c>
      <c r="AD336" s="12" t="e">
        <f t="shared" si="372"/>
        <v>#REF!</v>
      </c>
      <c r="AE336" s="12" t="e">
        <f t="shared" si="373"/>
        <v>#REF!</v>
      </c>
      <c r="AF336" s="12">
        <f t="shared" si="374"/>
        <v>0</v>
      </c>
      <c r="AG336" s="12">
        <f t="shared" si="375"/>
        <v>0</v>
      </c>
      <c r="AH336" s="12">
        <f t="shared" si="376"/>
        <v>0</v>
      </c>
      <c r="AI336" s="10" t="s">
        <v>783</v>
      </c>
      <c r="AJ336" s="12">
        <f t="shared" si="377"/>
        <v>0</v>
      </c>
      <c r="AK336" s="12">
        <f t="shared" si="378"/>
        <v>0</v>
      </c>
      <c r="AL336" s="12" t="e">
        <f t="shared" si="379"/>
        <v>#REF!</v>
      </c>
      <c r="AN336" s="12">
        <v>21</v>
      </c>
      <c r="AO336" s="12" t="e">
        <f>H336*0.903664796</f>
        <v>#REF!</v>
      </c>
      <c r="AP336" s="12" t="e">
        <f>H336*(1-0.903664796)</f>
        <v>#REF!</v>
      </c>
      <c r="AQ336" s="49" t="s">
        <v>567</v>
      </c>
      <c r="AV336" s="12" t="e">
        <f t="shared" si="380"/>
        <v>#REF!</v>
      </c>
      <c r="AW336" s="12" t="e">
        <f t="shared" si="381"/>
        <v>#REF!</v>
      </c>
      <c r="AX336" s="12" t="e">
        <f t="shared" si="382"/>
        <v>#REF!</v>
      </c>
      <c r="AY336" s="49" t="s">
        <v>593</v>
      </c>
      <c r="AZ336" s="49" t="s">
        <v>813</v>
      </c>
      <c r="BA336" s="10" t="s">
        <v>786</v>
      </c>
      <c r="BC336" s="12" t="e">
        <f t="shared" si="383"/>
        <v>#REF!</v>
      </c>
      <c r="BD336" s="12" t="e">
        <f t="shared" si="384"/>
        <v>#REF!</v>
      </c>
      <c r="BE336" s="12">
        <v>0</v>
      </c>
      <c r="BF336" s="12" t="e">
        <f t="shared" si="385"/>
        <v>#REF!</v>
      </c>
      <c r="BH336" s="12" t="e">
        <f t="shared" si="386"/>
        <v>#REF!</v>
      </c>
      <c r="BI336" s="12" t="e">
        <f t="shared" si="387"/>
        <v>#REF!</v>
      </c>
      <c r="BJ336" s="12" t="e">
        <f t="shared" si="388"/>
        <v>#REF!</v>
      </c>
      <c r="BK336" s="12"/>
      <c r="BL336" s="12">
        <v>734</v>
      </c>
      <c r="BW336" s="12" t="str">
        <f t="shared" si="389"/>
        <v>21</v>
      </c>
      <c r="BX336" s="3" t="s">
        <v>423</v>
      </c>
    </row>
    <row r="337" spans="1:76">
      <c r="A337" s="1" t="s">
        <v>839</v>
      </c>
      <c r="B337" s="2" t="s">
        <v>783</v>
      </c>
      <c r="C337" s="2" t="s">
        <v>424</v>
      </c>
      <c r="D337" s="349" t="s">
        <v>425</v>
      </c>
      <c r="E337" s="342"/>
      <c r="F337" s="2" t="s">
        <v>68</v>
      </c>
      <c r="G337" s="12" t="e">
        <f>#REF!</f>
        <v>#REF!</v>
      </c>
      <c r="H337" s="12" t="e">
        <f>#REF!</f>
        <v>#REF!</v>
      </c>
      <c r="I337" s="49" t="s">
        <v>554</v>
      </c>
      <c r="J337" s="12" t="e">
        <f t="shared" si="364"/>
        <v>#REF!</v>
      </c>
      <c r="K337" s="12" t="e">
        <f t="shared" si="365"/>
        <v>#REF!</v>
      </c>
      <c r="L337" s="12" t="e">
        <f t="shared" si="366"/>
        <v>#REF!</v>
      </c>
      <c r="M337" s="12" t="e">
        <f t="shared" si="367"/>
        <v>#REF!</v>
      </c>
      <c r="N337" s="12">
        <v>5.1999999999999995E-4</v>
      </c>
      <c r="O337" s="12" t="e">
        <f t="shared" si="368"/>
        <v>#REF!</v>
      </c>
      <c r="P337" s="50" t="s">
        <v>605</v>
      </c>
      <c r="Z337" s="12">
        <f t="shared" si="369"/>
        <v>0</v>
      </c>
      <c r="AB337" s="12">
        <f t="shared" si="370"/>
        <v>0</v>
      </c>
      <c r="AC337" s="12">
        <f t="shared" si="371"/>
        <v>0</v>
      </c>
      <c r="AD337" s="12" t="e">
        <f t="shared" si="372"/>
        <v>#REF!</v>
      </c>
      <c r="AE337" s="12" t="e">
        <f t="shared" si="373"/>
        <v>#REF!</v>
      </c>
      <c r="AF337" s="12">
        <f t="shared" si="374"/>
        <v>0</v>
      </c>
      <c r="AG337" s="12">
        <f t="shared" si="375"/>
        <v>0</v>
      </c>
      <c r="AH337" s="12">
        <f t="shared" si="376"/>
        <v>0</v>
      </c>
      <c r="AI337" s="10" t="s">
        <v>783</v>
      </c>
      <c r="AJ337" s="12">
        <f t="shared" si="377"/>
        <v>0</v>
      </c>
      <c r="AK337" s="12">
        <f t="shared" si="378"/>
        <v>0</v>
      </c>
      <c r="AL337" s="12" t="e">
        <f t="shared" si="379"/>
        <v>#REF!</v>
      </c>
      <c r="AN337" s="12">
        <v>21</v>
      </c>
      <c r="AO337" s="12" t="e">
        <f>H337*0.869366701</f>
        <v>#REF!</v>
      </c>
      <c r="AP337" s="12" t="e">
        <f>H337*(1-0.869366701)</f>
        <v>#REF!</v>
      </c>
      <c r="AQ337" s="49" t="s">
        <v>567</v>
      </c>
      <c r="AV337" s="12" t="e">
        <f t="shared" si="380"/>
        <v>#REF!</v>
      </c>
      <c r="AW337" s="12" t="e">
        <f t="shared" si="381"/>
        <v>#REF!</v>
      </c>
      <c r="AX337" s="12" t="e">
        <f t="shared" si="382"/>
        <v>#REF!</v>
      </c>
      <c r="AY337" s="49" t="s">
        <v>593</v>
      </c>
      <c r="AZ337" s="49" t="s">
        <v>813</v>
      </c>
      <c r="BA337" s="10" t="s">
        <v>786</v>
      </c>
      <c r="BC337" s="12" t="e">
        <f t="shared" si="383"/>
        <v>#REF!</v>
      </c>
      <c r="BD337" s="12" t="e">
        <f t="shared" si="384"/>
        <v>#REF!</v>
      </c>
      <c r="BE337" s="12">
        <v>0</v>
      </c>
      <c r="BF337" s="12" t="e">
        <f t="shared" si="385"/>
        <v>#REF!</v>
      </c>
      <c r="BH337" s="12" t="e">
        <f t="shared" si="386"/>
        <v>#REF!</v>
      </c>
      <c r="BI337" s="12" t="e">
        <f t="shared" si="387"/>
        <v>#REF!</v>
      </c>
      <c r="BJ337" s="12" t="e">
        <f t="shared" si="388"/>
        <v>#REF!</v>
      </c>
      <c r="BK337" s="12"/>
      <c r="BL337" s="12">
        <v>734</v>
      </c>
      <c r="BW337" s="12" t="str">
        <f t="shared" si="389"/>
        <v>21</v>
      </c>
      <c r="BX337" s="3" t="s">
        <v>425</v>
      </c>
    </row>
    <row r="338" spans="1:76">
      <c r="A338" s="1" t="s">
        <v>840</v>
      </c>
      <c r="B338" s="2" t="s">
        <v>783</v>
      </c>
      <c r="C338" s="2" t="s">
        <v>426</v>
      </c>
      <c r="D338" s="349" t="s">
        <v>427</v>
      </c>
      <c r="E338" s="342"/>
      <c r="F338" s="2" t="s">
        <v>68</v>
      </c>
      <c r="G338" s="12" t="e">
        <f>#REF!</f>
        <v>#REF!</v>
      </c>
      <c r="H338" s="12" t="e">
        <f>#REF!</f>
        <v>#REF!</v>
      </c>
      <c r="I338" s="49" t="s">
        <v>554</v>
      </c>
      <c r="J338" s="12" t="e">
        <f t="shared" si="364"/>
        <v>#REF!</v>
      </c>
      <c r="K338" s="12" t="e">
        <f t="shared" si="365"/>
        <v>#REF!</v>
      </c>
      <c r="L338" s="12" t="e">
        <f t="shared" si="366"/>
        <v>#REF!</v>
      </c>
      <c r="M338" s="12" t="e">
        <f t="shared" si="367"/>
        <v>#REF!</v>
      </c>
      <c r="N338" s="12">
        <v>9.2000000000000003E-4</v>
      </c>
      <c r="O338" s="12" t="e">
        <f t="shared" si="368"/>
        <v>#REF!</v>
      </c>
      <c r="P338" s="50" t="s">
        <v>605</v>
      </c>
      <c r="Z338" s="12">
        <f t="shared" si="369"/>
        <v>0</v>
      </c>
      <c r="AB338" s="12">
        <f t="shared" si="370"/>
        <v>0</v>
      </c>
      <c r="AC338" s="12">
        <f t="shared" si="371"/>
        <v>0</v>
      </c>
      <c r="AD338" s="12" t="e">
        <f t="shared" si="372"/>
        <v>#REF!</v>
      </c>
      <c r="AE338" s="12" t="e">
        <f t="shared" si="373"/>
        <v>#REF!</v>
      </c>
      <c r="AF338" s="12">
        <f t="shared" si="374"/>
        <v>0</v>
      </c>
      <c r="AG338" s="12">
        <f t="shared" si="375"/>
        <v>0</v>
      </c>
      <c r="AH338" s="12">
        <f t="shared" si="376"/>
        <v>0</v>
      </c>
      <c r="AI338" s="10" t="s">
        <v>783</v>
      </c>
      <c r="AJ338" s="12">
        <f t="shared" si="377"/>
        <v>0</v>
      </c>
      <c r="AK338" s="12">
        <f t="shared" si="378"/>
        <v>0</v>
      </c>
      <c r="AL338" s="12" t="e">
        <f t="shared" si="379"/>
        <v>#REF!</v>
      </c>
      <c r="AN338" s="12">
        <v>21</v>
      </c>
      <c r="AO338" s="12" t="e">
        <f>H338*0.929993168</f>
        <v>#REF!</v>
      </c>
      <c r="AP338" s="12" t="e">
        <f>H338*(1-0.929993168)</f>
        <v>#REF!</v>
      </c>
      <c r="AQ338" s="49" t="s">
        <v>567</v>
      </c>
      <c r="AV338" s="12" t="e">
        <f t="shared" si="380"/>
        <v>#REF!</v>
      </c>
      <c r="AW338" s="12" t="e">
        <f t="shared" si="381"/>
        <v>#REF!</v>
      </c>
      <c r="AX338" s="12" t="e">
        <f t="shared" si="382"/>
        <v>#REF!</v>
      </c>
      <c r="AY338" s="49" t="s">
        <v>593</v>
      </c>
      <c r="AZ338" s="49" t="s">
        <v>813</v>
      </c>
      <c r="BA338" s="10" t="s">
        <v>786</v>
      </c>
      <c r="BC338" s="12" t="e">
        <f t="shared" si="383"/>
        <v>#REF!</v>
      </c>
      <c r="BD338" s="12" t="e">
        <f t="shared" si="384"/>
        <v>#REF!</v>
      </c>
      <c r="BE338" s="12">
        <v>0</v>
      </c>
      <c r="BF338" s="12" t="e">
        <f t="shared" si="385"/>
        <v>#REF!</v>
      </c>
      <c r="BH338" s="12" t="e">
        <f t="shared" si="386"/>
        <v>#REF!</v>
      </c>
      <c r="BI338" s="12" t="e">
        <f t="shared" si="387"/>
        <v>#REF!</v>
      </c>
      <c r="BJ338" s="12" t="e">
        <f t="shared" si="388"/>
        <v>#REF!</v>
      </c>
      <c r="BK338" s="12"/>
      <c r="BL338" s="12">
        <v>734</v>
      </c>
      <c r="BW338" s="12" t="str">
        <f t="shared" si="389"/>
        <v>21</v>
      </c>
      <c r="BX338" s="3" t="s">
        <v>427</v>
      </c>
    </row>
    <row r="339" spans="1:76">
      <c r="A339" s="1" t="s">
        <v>841</v>
      </c>
      <c r="B339" s="2" t="s">
        <v>783</v>
      </c>
      <c r="C339" s="2" t="s">
        <v>428</v>
      </c>
      <c r="D339" s="349" t="s">
        <v>429</v>
      </c>
      <c r="E339" s="342"/>
      <c r="F339" s="2" t="s">
        <v>68</v>
      </c>
      <c r="G339" s="12" t="e">
        <f>#REF!</f>
        <v>#REF!</v>
      </c>
      <c r="H339" s="12" t="e">
        <f>#REF!</f>
        <v>#REF!</v>
      </c>
      <c r="I339" s="49" t="s">
        <v>554</v>
      </c>
      <c r="J339" s="12" t="e">
        <f t="shared" si="364"/>
        <v>#REF!</v>
      </c>
      <c r="K339" s="12" t="e">
        <f t="shared" si="365"/>
        <v>#REF!</v>
      </c>
      <c r="L339" s="12" t="e">
        <f t="shared" si="366"/>
        <v>#REF!</v>
      </c>
      <c r="M339" s="12" t="e">
        <f t="shared" si="367"/>
        <v>#REF!</v>
      </c>
      <c r="N339" s="12">
        <v>1.3999999999999999E-4</v>
      </c>
      <c r="O339" s="12" t="e">
        <f t="shared" si="368"/>
        <v>#REF!</v>
      </c>
      <c r="P339" s="50" t="s">
        <v>605</v>
      </c>
      <c r="Z339" s="12">
        <f t="shared" si="369"/>
        <v>0</v>
      </c>
      <c r="AB339" s="12">
        <f t="shared" si="370"/>
        <v>0</v>
      </c>
      <c r="AC339" s="12">
        <f t="shared" si="371"/>
        <v>0</v>
      </c>
      <c r="AD339" s="12" t="e">
        <f t="shared" si="372"/>
        <v>#REF!</v>
      </c>
      <c r="AE339" s="12" t="e">
        <f t="shared" si="373"/>
        <v>#REF!</v>
      </c>
      <c r="AF339" s="12">
        <f t="shared" si="374"/>
        <v>0</v>
      </c>
      <c r="AG339" s="12">
        <f t="shared" si="375"/>
        <v>0</v>
      </c>
      <c r="AH339" s="12">
        <f t="shared" si="376"/>
        <v>0</v>
      </c>
      <c r="AI339" s="10" t="s">
        <v>783</v>
      </c>
      <c r="AJ339" s="12">
        <f t="shared" si="377"/>
        <v>0</v>
      </c>
      <c r="AK339" s="12">
        <f t="shared" si="378"/>
        <v>0</v>
      </c>
      <c r="AL339" s="12" t="e">
        <f t="shared" si="379"/>
        <v>#REF!</v>
      </c>
      <c r="AN339" s="12">
        <v>21</v>
      </c>
      <c r="AO339" s="12" t="e">
        <f>H339*0.76990099</f>
        <v>#REF!</v>
      </c>
      <c r="AP339" s="12" t="e">
        <f>H339*(1-0.76990099)</f>
        <v>#REF!</v>
      </c>
      <c r="AQ339" s="49" t="s">
        <v>567</v>
      </c>
      <c r="AV339" s="12" t="e">
        <f t="shared" si="380"/>
        <v>#REF!</v>
      </c>
      <c r="AW339" s="12" t="e">
        <f t="shared" si="381"/>
        <v>#REF!</v>
      </c>
      <c r="AX339" s="12" t="e">
        <f t="shared" si="382"/>
        <v>#REF!</v>
      </c>
      <c r="AY339" s="49" t="s">
        <v>593</v>
      </c>
      <c r="AZ339" s="49" t="s">
        <v>813</v>
      </c>
      <c r="BA339" s="10" t="s">
        <v>786</v>
      </c>
      <c r="BC339" s="12" t="e">
        <f t="shared" si="383"/>
        <v>#REF!</v>
      </c>
      <c r="BD339" s="12" t="e">
        <f t="shared" si="384"/>
        <v>#REF!</v>
      </c>
      <c r="BE339" s="12">
        <v>0</v>
      </c>
      <c r="BF339" s="12" t="e">
        <f t="shared" si="385"/>
        <v>#REF!</v>
      </c>
      <c r="BH339" s="12" t="e">
        <f t="shared" si="386"/>
        <v>#REF!</v>
      </c>
      <c r="BI339" s="12" t="e">
        <f t="shared" si="387"/>
        <v>#REF!</v>
      </c>
      <c r="BJ339" s="12" t="e">
        <f t="shared" si="388"/>
        <v>#REF!</v>
      </c>
      <c r="BK339" s="12"/>
      <c r="BL339" s="12">
        <v>734</v>
      </c>
      <c r="BW339" s="12" t="str">
        <f t="shared" si="389"/>
        <v>21</v>
      </c>
      <c r="BX339" s="3" t="s">
        <v>429</v>
      </c>
    </row>
    <row r="340" spans="1:76">
      <c r="A340" s="1" t="s">
        <v>842</v>
      </c>
      <c r="B340" s="2" t="s">
        <v>783</v>
      </c>
      <c r="C340" s="2" t="s">
        <v>430</v>
      </c>
      <c r="D340" s="349" t="s">
        <v>431</v>
      </c>
      <c r="E340" s="342"/>
      <c r="F340" s="2" t="s">
        <v>68</v>
      </c>
      <c r="G340" s="12" t="e">
        <f>#REF!</f>
        <v>#REF!</v>
      </c>
      <c r="H340" s="12" t="e">
        <f>#REF!</f>
        <v>#REF!</v>
      </c>
      <c r="I340" s="49" t="s">
        <v>554</v>
      </c>
      <c r="J340" s="12" t="e">
        <f t="shared" si="364"/>
        <v>#REF!</v>
      </c>
      <c r="K340" s="12" t="e">
        <f t="shared" si="365"/>
        <v>#REF!</v>
      </c>
      <c r="L340" s="12" t="e">
        <f t="shared" si="366"/>
        <v>#REF!</v>
      </c>
      <c r="M340" s="12" t="e">
        <f t="shared" si="367"/>
        <v>#REF!</v>
      </c>
      <c r="N340" s="12">
        <v>5.0000000000000001E-4</v>
      </c>
      <c r="O340" s="12" t="e">
        <f t="shared" si="368"/>
        <v>#REF!</v>
      </c>
      <c r="P340" s="50" t="s">
        <v>605</v>
      </c>
      <c r="Z340" s="12">
        <f t="shared" si="369"/>
        <v>0</v>
      </c>
      <c r="AB340" s="12">
        <f t="shared" si="370"/>
        <v>0</v>
      </c>
      <c r="AC340" s="12">
        <f t="shared" si="371"/>
        <v>0</v>
      </c>
      <c r="AD340" s="12" t="e">
        <f t="shared" si="372"/>
        <v>#REF!</v>
      </c>
      <c r="AE340" s="12" t="e">
        <f t="shared" si="373"/>
        <v>#REF!</v>
      </c>
      <c r="AF340" s="12">
        <f t="shared" si="374"/>
        <v>0</v>
      </c>
      <c r="AG340" s="12">
        <f t="shared" si="375"/>
        <v>0</v>
      </c>
      <c r="AH340" s="12">
        <f t="shared" si="376"/>
        <v>0</v>
      </c>
      <c r="AI340" s="10" t="s">
        <v>783</v>
      </c>
      <c r="AJ340" s="12">
        <f t="shared" si="377"/>
        <v>0</v>
      </c>
      <c r="AK340" s="12">
        <f t="shared" si="378"/>
        <v>0</v>
      </c>
      <c r="AL340" s="12" t="e">
        <f t="shared" si="379"/>
        <v>#REF!</v>
      </c>
      <c r="AN340" s="12">
        <v>21</v>
      </c>
      <c r="AO340" s="12" t="e">
        <f>H340*0.872981818</f>
        <v>#REF!</v>
      </c>
      <c r="AP340" s="12" t="e">
        <f>H340*(1-0.872981818)</f>
        <v>#REF!</v>
      </c>
      <c r="AQ340" s="49" t="s">
        <v>567</v>
      </c>
      <c r="AV340" s="12" t="e">
        <f t="shared" si="380"/>
        <v>#REF!</v>
      </c>
      <c r="AW340" s="12" t="e">
        <f t="shared" si="381"/>
        <v>#REF!</v>
      </c>
      <c r="AX340" s="12" t="e">
        <f t="shared" si="382"/>
        <v>#REF!</v>
      </c>
      <c r="AY340" s="49" t="s">
        <v>593</v>
      </c>
      <c r="AZ340" s="49" t="s">
        <v>813</v>
      </c>
      <c r="BA340" s="10" t="s">
        <v>786</v>
      </c>
      <c r="BC340" s="12" t="e">
        <f t="shared" si="383"/>
        <v>#REF!</v>
      </c>
      <c r="BD340" s="12" t="e">
        <f t="shared" si="384"/>
        <v>#REF!</v>
      </c>
      <c r="BE340" s="12">
        <v>0</v>
      </c>
      <c r="BF340" s="12" t="e">
        <f t="shared" si="385"/>
        <v>#REF!</v>
      </c>
      <c r="BH340" s="12" t="e">
        <f t="shared" si="386"/>
        <v>#REF!</v>
      </c>
      <c r="BI340" s="12" t="e">
        <f t="shared" si="387"/>
        <v>#REF!</v>
      </c>
      <c r="BJ340" s="12" t="e">
        <f t="shared" si="388"/>
        <v>#REF!</v>
      </c>
      <c r="BK340" s="12"/>
      <c r="BL340" s="12">
        <v>734</v>
      </c>
      <c r="BW340" s="12" t="str">
        <f t="shared" si="389"/>
        <v>21</v>
      </c>
      <c r="BX340" s="3" t="s">
        <v>431</v>
      </c>
    </row>
    <row r="341" spans="1:76">
      <c r="A341" s="1" t="s">
        <v>843</v>
      </c>
      <c r="B341" s="2" t="s">
        <v>783</v>
      </c>
      <c r="C341" s="2" t="s">
        <v>432</v>
      </c>
      <c r="D341" s="349" t="s">
        <v>433</v>
      </c>
      <c r="E341" s="342"/>
      <c r="F341" s="2" t="s">
        <v>58</v>
      </c>
      <c r="G341" s="12" t="e">
        <f>#REF!</f>
        <v>#REF!</v>
      </c>
      <c r="H341" s="12" t="e">
        <f>#REF!</f>
        <v>#REF!</v>
      </c>
      <c r="I341" s="49" t="s">
        <v>554</v>
      </c>
      <c r="J341" s="12" t="e">
        <f t="shared" si="364"/>
        <v>#REF!</v>
      </c>
      <c r="K341" s="12" t="e">
        <f t="shared" si="365"/>
        <v>#REF!</v>
      </c>
      <c r="L341" s="12" t="e">
        <f t="shared" si="366"/>
        <v>#REF!</v>
      </c>
      <c r="M341" s="12" t="e">
        <f t="shared" si="367"/>
        <v>#REF!</v>
      </c>
      <c r="N341" s="12">
        <v>1.238E-2</v>
      </c>
      <c r="O341" s="12" t="e">
        <f t="shared" si="368"/>
        <v>#REF!</v>
      </c>
      <c r="P341" s="50" t="s">
        <v>577</v>
      </c>
      <c r="Z341" s="12">
        <f t="shared" si="369"/>
        <v>0</v>
      </c>
      <c r="AB341" s="12">
        <f t="shared" si="370"/>
        <v>0</v>
      </c>
      <c r="AC341" s="12">
        <f t="shared" si="371"/>
        <v>0</v>
      </c>
      <c r="AD341" s="12" t="e">
        <f t="shared" si="372"/>
        <v>#REF!</v>
      </c>
      <c r="AE341" s="12" t="e">
        <f t="shared" si="373"/>
        <v>#REF!</v>
      </c>
      <c r="AF341" s="12">
        <f t="shared" si="374"/>
        <v>0</v>
      </c>
      <c r="AG341" s="12">
        <f t="shared" si="375"/>
        <v>0</v>
      </c>
      <c r="AH341" s="12">
        <f t="shared" si="376"/>
        <v>0</v>
      </c>
      <c r="AI341" s="10" t="s">
        <v>783</v>
      </c>
      <c r="AJ341" s="12">
        <f t="shared" si="377"/>
        <v>0</v>
      </c>
      <c r="AK341" s="12">
        <f t="shared" si="378"/>
        <v>0</v>
      </c>
      <c r="AL341" s="12" t="e">
        <f t="shared" si="379"/>
        <v>#REF!</v>
      </c>
      <c r="AN341" s="12">
        <v>21</v>
      </c>
      <c r="AO341" s="12" t="e">
        <f>H341*0.91595369</f>
        <v>#REF!</v>
      </c>
      <c r="AP341" s="12" t="e">
        <f>H341*(1-0.91595369)</f>
        <v>#REF!</v>
      </c>
      <c r="AQ341" s="49" t="s">
        <v>567</v>
      </c>
      <c r="AV341" s="12" t="e">
        <f t="shared" si="380"/>
        <v>#REF!</v>
      </c>
      <c r="AW341" s="12" t="e">
        <f t="shared" si="381"/>
        <v>#REF!</v>
      </c>
      <c r="AX341" s="12" t="e">
        <f t="shared" si="382"/>
        <v>#REF!</v>
      </c>
      <c r="AY341" s="49" t="s">
        <v>593</v>
      </c>
      <c r="AZ341" s="49" t="s">
        <v>813</v>
      </c>
      <c r="BA341" s="10" t="s">
        <v>786</v>
      </c>
      <c r="BC341" s="12" t="e">
        <f t="shared" si="383"/>
        <v>#REF!</v>
      </c>
      <c r="BD341" s="12" t="e">
        <f t="shared" si="384"/>
        <v>#REF!</v>
      </c>
      <c r="BE341" s="12">
        <v>0</v>
      </c>
      <c r="BF341" s="12" t="e">
        <f t="shared" si="385"/>
        <v>#REF!</v>
      </c>
      <c r="BH341" s="12" t="e">
        <f t="shared" si="386"/>
        <v>#REF!</v>
      </c>
      <c r="BI341" s="12" t="e">
        <f t="shared" si="387"/>
        <v>#REF!</v>
      </c>
      <c r="BJ341" s="12" t="e">
        <f t="shared" si="388"/>
        <v>#REF!</v>
      </c>
      <c r="BK341" s="12"/>
      <c r="BL341" s="12">
        <v>734</v>
      </c>
      <c r="BW341" s="12" t="str">
        <f t="shared" si="389"/>
        <v>21</v>
      </c>
      <c r="BX341" s="3" t="s">
        <v>433</v>
      </c>
    </row>
    <row r="342" spans="1:76">
      <c r="A342" s="1" t="s">
        <v>844</v>
      </c>
      <c r="B342" s="2" t="s">
        <v>783</v>
      </c>
      <c r="C342" s="2" t="s">
        <v>434</v>
      </c>
      <c r="D342" s="349" t="s">
        <v>435</v>
      </c>
      <c r="E342" s="342"/>
      <c r="F342" s="2" t="s">
        <v>68</v>
      </c>
      <c r="G342" s="12" t="e">
        <f>#REF!</f>
        <v>#REF!</v>
      </c>
      <c r="H342" s="12" t="e">
        <f>#REF!</f>
        <v>#REF!</v>
      </c>
      <c r="I342" s="49" t="s">
        <v>554</v>
      </c>
      <c r="J342" s="12" t="e">
        <f t="shared" si="364"/>
        <v>#REF!</v>
      </c>
      <c r="K342" s="12" t="e">
        <f t="shared" si="365"/>
        <v>#REF!</v>
      </c>
      <c r="L342" s="12" t="e">
        <f t="shared" si="366"/>
        <v>#REF!</v>
      </c>
      <c r="M342" s="12" t="e">
        <f t="shared" si="367"/>
        <v>#REF!</v>
      </c>
      <c r="N342" s="12">
        <v>1.3999999999999999E-4</v>
      </c>
      <c r="O342" s="12" t="e">
        <f t="shared" si="368"/>
        <v>#REF!</v>
      </c>
      <c r="P342" s="50" t="s">
        <v>577</v>
      </c>
      <c r="Z342" s="12">
        <f t="shared" si="369"/>
        <v>0</v>
      </c>
      <c r="AB342" s="12">
        <f t="shared" si="370"/>
        <v>0</v>
      </c>
      <c r="AC342" s="12">
        <f t="shared" si="371"/>
        <v>0</v>
      </c>
      <c r="AD342" s="12" t="e">
        <f t="shared" si="372"/>
        <v>#REF!</v>
      </c>
      <c r="AE342" s="12" t="e">
        <f t="shared" si="373"/>
        <v>#REF!</v>
      </c>
      <c r="AF342" s="12">
        <f t="shared" si="374"/>
        <v>0</v>
      </c>
      <c r="AG342" s="12">
        <f t="shared" si="375"/>
        <v>0</v>
      </c>
      <c r="AH342" s="12">
        <f t="shared" si="376"/>
        <v>0</v>
      </c>
      <c r="AI342" s="10" t="s">
        <v>783</v>
      </c>
      <c r="AJ342" s="12">
        <f t="shared" si="377"/>
        <v>0</v>
      </c>
      <c r="AK342" s="12">
        <f t="shared" si="378"/>
        <v>0</v>
      </c>
      <c r="AL342" s="12" t="e">
        <f t="shared" si="379"/>
        <v>#REF!</v>
      </c>
      <c r="AN342" s="12">
        <v>21</v>
      </c>
      <c r="AO342" s="12" t="e">
        <f>H342*0.69147929</f>
        <v>#REF!</v>
      </c>
      <c r="AP342" s="12" t="e">
        <f>H342*(1-0.69147929)</f>
        <v>#REF!</v>
      </c>
      <c r="AQ342" s="49" t="s">
        <v>567</v>
      </c>
      <c r="AV342" s="12" t="e">
        <f t="shared" si="380"/>
        <v>#REF!</v>
      </c>
      <c r="AW342" s="12" t="e">
        <f t="shared" si="381"/>
        <v>#REF!</v>
      </c>
      <c r="AX342" s="12" t="e">
        <f t="shared" si="382"/>
        <v>#REF!</v>
      </c>
      <c r="AY342" s="49" t="s">
        <v>593</v>
      </c>
      <c r="AZ342" s="49" t="s">
        <v>813</v>
      </c>
      <c r="BA342" s="10" t="s">
        <v>786</v>
      </c>
      <c r="BC342" s="12" t="e">
        <f t="shared" si="383"/>
        <v>#REF!</v>
      </c>
      <c r="BD342" s="12" t="e">
        <f t="shared" si="384"/>
        <v>#REF!</v>
      </c>
      <c r="BE342" s="12">
        <v>0</v>
      </c>
      <c r="BF342" s="12" t="e">
        <f t="shared" si="385"/>
        <v>#REF!</v>
      </c>
      <c r="BH342" s="12" t="e">
        <f t="shared" si="386"/>
        <v>#REF!</v>
      </c>
      <c r="BI342" s="12" t="e">
        <f t="shared" si="387"/>
        <v>#REF!</v>
      </c>
      <c r="BJ342" s="12" t="e">
        <f t="shared" si="388"/>
        <v>#REF!</v>
      </c>
      <c r="BK342" s="12"/>
      <c r="BL342" s="12">
        <v>734</v>
      </c>
      <c r="BW342" s="12" t="str">
        <f t="shared" si="389"/>
        <v>21</v>
      </c>
      <c r="BX342" s="3" t="s">
        <v>435</v>
      </c>
    </row>
    <row r="343" spans="1:76">
      <c r="A343" s="1" t="s">
        <v>845</v>
      </c>
      <c r="B343" s="2" t="s">
        <v>783</v>
      </c>
      <c r="C343" s="2" t="s">
        <v>436</v>
      </c>
      <c r="D343" s="349" t="s">
        <v>437</v>
      </c>
      <c r="E343" s="342"/>
      <c r="F343" s="2" t="s">
        <v>68</v>
      </c>
      <c r="G343" s="12" t="e">
        <f>#REF!</f>
        <v>#REF!</v>
      </c>
      <c r="H343" s="12" t="e">
        <f>#REF!</f>
        <v>#REF!</v>
      </c>
      <c r="I343" s="49" t="s">
        <v>554</v>
      </c>
      <c r="J343" s="12" t="e">
        <f t="shared" si="364"/>
        <v>#REF!</v>
      </c>
      <c r="K343" s="12" t="e">
        <f t="shared" si="365"/>
        <v>#REF!</v>
      </c>
      <c r="L343" s="12" t="e">
        <f t="shared" si="366"/>
        <v>#REF!</v>
      </c>
      <c r="M343" s="12" t="e">
        <f t="shared" si="367"/>
        <v>#REF!</v>
      </c>
      <c r="N343" s="12">
        <v>2.9999999999999997E-4</v>
      </c>
      <c r="O343" s="12" t="e">
        <f t="shared" si="368"/>
        <v>#REF!</v>
      </c>
      <c r="P343" s="50" t="s">
        <v>605</v>
      </c>
      <c r="Z343" s="12">
        <f t="shared" si="369"/>
        <v>0</v>
      </c>
      <c r="AB343" s="12">
        <f t="shared" si="370"/>
        <v>0</v>
      </c>
      <c r="AC343" s="12">
        <f t="shared" si="371"/>
        <v>0</v>
      </c>
      <c r="AD343" s="12" t="e">
        <f t="shared" si="372"/>
        <v>#REF!</v>
      </c>
      <c r="AE343" s="12" t="e">
        <f t="shared" si="373"/>
        <v>#REF!</v>
      </c>
      <c r="AF343" s="12">
        <f t="shared" si="374"/>
        <v>0</v>
      </c>
      <c r="AG343" s="12">
        <f t="shared" si="375"/>
        <v>0</v>
      </c>
      <c r="AH343" s="12">
        <f t="shared" si="376"/>
        <v>0</v>
      </c>
      <c r="AI343" s="10" t="s">
        <v>783</v>
      </c>
      <c r="AJ343" s="12">
        <f t="shared" si="377"/>
        <v>0</v>
      </c>
      <c r="AK343" s="12">
        <f t="shared" si="378"/>
        <v>0</v>
      </c>
      <c r="AL343" s="12" t="e">
        <f t="shared" si="379"/>
        <v>#REF!</v>
      </c>
      <c r="AN343" s="12">
        <v>21</v>
      </c>
      <c r="AO343" s="12" t="e">
        <f>H343*0.796243845</f>
        <v>#REF!</v>
      </c>
      <c r="AP343" s="12" t="e">
        <f>H343*(1-0.796243845)</f>
        <v>#REF!</v>
      </c>
      <c r="AQ343" s="49" t="s">
        <v>567</v>
      </c>
      <c r="AV343" s="12" t="e">
        <f t="shared" si="380"/>
        <v>#REF!</v>
      </c>
      <c r="AW343" s="12" t="e">
        <f t="shared" si="381"/>
        <v>#REF!</v>
      </c>
      <c r="AX343" s="12" t="e">
        <f t="shared" si="382"/>
        <v>#REF!</v>
      </c>
      <c r="AY343" s="49" t="s">
        <v>593</v>
      </c>
      <c r="AZ343" s="49" t="s">
        <v>813</v>
      </c>
      <c r="BA343" s="10" t="s">
        <v>786</v>
      </c>
      <c r="BC343" s="12" t="e">
        <f t="shared" si="383"/>
        <v>#REF!</v>
      </c>
      <c r="BD343" s="12" t="e">
        <f t="shared" si="384"/>
        <v>#REF!</v>
      </c>
      <c r="BE343" s="12">
        <v>0</v>
      </c>
      <c r="BF343" s="12" t="e">
        <f t="shared" si="385"/>
        <v>#REF!</v>
      </c>
      <c r="BH343" s="12" t="e">
        <f t="shared" si="386"/>
        <v>#REF!</v>
      </c>
      <c r="BI343" s="12" t="e">
        <f t="shared" si="387"/>
        <v>#REF!</v>
      </c>
      <c r="BJ343" s="12" t="e">
        <f t="shared" si="388"/>
        <v>#REF!</v>
      </c>
      <c r="BK343" s="12"/>
      <c r="BL343" s="12">
        <v>734</v>
      </c>
      <c r="BW343" s="12" t="str">
        <f t="shared" si="389"/>
        <v>21</v>
      </c>
      <c r="BX343" s="3" t="s">
        <v>437</v>
      </c>
    </row>
    <row r="344" spans="1:76">
      <c r="A344" s="1" t="s">
        <v>846</v>
      </c>
      <c r="B344" s="2" t="s">
        <v>783</v>
      </c>
      <c r="C344" s="2" t="s">
        <v>438</v>
      </c>
      <c r="D344" s="349" t="s">
        <v>439</v>
      </c>
      <c r="E344" s="342"/>
      <c r="F344" s="2" t="s">
        <v>68</v>
      </c>
      <c r="G344" s="12" t="e">
        <f>#REF!</f>
        <v>#REF!</v>
      </c>
      <c r="H344" s="12" t="e">
        <f>#REF!</f>
        <v>#REF!</v>
      </c>
      <c r="I344" s="49" t="s">
        <v>554</v>
      </c>
      <c r="J344" s="12" t="e">
        <f t="shared" si="364"/>
        <v>#REF!</v>
      </c>
      <c r="K344" s="12" t="e">
        <f t="shared" si="365"/>
        <v>#REF!</v>
      </c>
      <c r="L344" s="12" t="e">
        <f t="shared" si="366"/>
        <v>#REF!</v>
      </c>
      <c r="M344" s="12" t="e">
        <f t="shared" si="367"/>
        <v>#REF!</v>
      </c>
      <c r="N344" s="12">
        <v>1.0399999999999999E-3</v>
      </c>
      <c r="O344" s="12" t="e">
        <f t="shared" si="368"/>
        <v>#REF!</v>
      </c>
      <c r="P344" s="50" t="s">
        <v>605</v>
      </c>
      <c r="Z344" s="12">
        <f t="shared" si="369"/>
        <v>0</v>
      </c>
      <c r="AB344" s="12">
        <f t="shared" si="370"/>
        <v>0</v>
      </c>
      <c r="AC344" s="12">
        <f t="shared" si="371"/>
        <v>0</v>
      </c>
      <c r="AD344" s="12" t="e">
        <f t="shared" si="372"/>
        <v>#REF!</v>
      </c>
      <c r="AE344" s="12" t="e">
        <f t="shared" si="373"/>
        <v>#REF!</v>
      </c>
      <c r="AF344" s="12">
        <f t="shared" si="374"/>
        <v>0</v>
      </c>
      <c r="AG344" s="12">
        <f t="shared" si="375"/>
        <v>0</v>
      </c>
      <c r="AH344" s="12">
        <f t="shared" si="376"/>
        <v>0</v>
      </c>
      <c r="AI344" s="10" t="s">
        <v>783</v>
      </c>
      <c r="AJ344" s="12">
        <f t="shared" si="377"/>
        <v>0</v>
      </c>
      <c r="AK344" s="12">
        <f t="shared" si="378"/>
        <v>0</v>
      </c>
      <c r="AL344" s="12" t="e">
        <f t="shared" si="379"/>
        <v>#REF!</v>
      </c>
      <c r="AN344" s="12">
        <v>21</v>
      </c>
      <c r="AO344" s="12" t="e">
        <f>H344*0.893386019</f>
        <v>#REF!</v>
      </c>
      <c r="AP344" s="12" t="e">
        <f>H344*(1-0.893386019)</f>
        <v>#REF!</v>
      </c>
      <c r="AQ344" s="49" t="s">
        <v>567</v>
      </c>
      <c r="AV344" s="12" t="e">
        <f t="shared" si="380"/>
        <v>#REF!</v>
      </c>
      <c r="AW344" s="12" t="e">
        <f t="shared" si="381"/>
        <v>#REF!</v>
      </c>
      <c r="AX344" s="12" t="e">
        <f t="shared" si="382"/>
        <v>#REF!</v>
      </c>
      <c r="AY344" s="49" t="s">
        <v>593</v>
      </c>
      <c r="AZ344" s="49" t="s">
        <v>813</v>
      </c>
      <c r="BA344" s="10" t="s">
        <v>786</v>
      </c>
      <c r="BC344" s="12" t="e">
        <f t="shared" si="383"/>
        <v>#REF!</v>
      </c>
      <c r="BD344" s="12" t="e">
        <f t="shared" si="384"/>
        <v>#REF!</v>
      </c>
      <c r="BE344" s="12">
        <v>0</v>
      </c>
      <c r="BF344" s="12" t="e">
        <f t="shared" si="385"/>
        <v>#REF!</v>
      </c>
      <c r="BH344" s="12" t="e">
        <f t="shared" si="386"/>
        <v>#REF!</v>
      </c>
      <c r="BI344" s="12" t="e">
        <f t="shared" si="387"/>
        <v>#REF!</v>
      </c>
      <c r="BJ344" s="12" t="e">
        <f t="shared" si="388"/>
        <v>#REF!</v>
      </c>
      <c r="BK344" s="12"/>
      <c r="BL344" s="12">
        <v>734</v>
      </c>
      <c r="BW344" s="12" t="str">
        <f t="shared" si="389"/>
        <v>21</v>
      </c>
      <c r="BX344" s="3" t="s">
        <v>439</v>
      </c>
    </row>
    <row r="345" spans="1:76">
      <c r="A345" s="46" t="s">
        <v>21</v>
      </c>
      <c r="B345" s="9" t="s">
        <v>783</v>
      </c>
      <c r="C345" s="9" t="s">
        <v>101</v>
      </c>
      <c r="D345" s="359" t="s">
        <v>102</v>
      </c>
      <c r="E345" s="360"/>
      <c r="F345" s="47" t="s">
        <v>20</v>
      </c>
      <c r="G345" s="47" t="s">
        <v>20</v>
      </c>
      <c r="H345" s="47" t="s">
        <v>20</v>
      </c>
      <c r="I345" s="47" t="s">
        <v>20</v>
      </c>
      <c r="J345" s="11" t="e">
        <f>SUM(J346:J347)</f>
        <v>#REF!</v>
      </c>
      <c r="K345" s="11" t="e">
        <f>SUM(K346:K347)</f>
        <v>#REF!</v>
      </c>
      <c r="L345" s="11" t="e">
        <f>SUM(L346:L347)</f>
        <v>#REF!</v>
      </c>
      <c r="M345" s="11" t="e">
        <f>SUM(M346:M347)</f>
        <v>#REF!</v>
      </c>
      <c r="N345" s="10" t="s">
        <v>21</v>
      </c>
      <c r="O345" s="11" t="e">
        <f>SUM(O346:O347)</f>
        <v>#REF!</v>
      </c>
      <c r="P345" s="48" t="s">
        <v>21</v>
      </c>
      <c r="AI345" s="10" t="s">
        <v>783</v>
      </c>
      <c r="AS345" s="11">
        <f>SUM(AJ346:AJ347)</f>
        <v>0</v>
      </c>
      <c r="AT345" s="11">
        <f>SUM(AK346:AK347)</f>
        <v>0</v>
      </c>
      <c r="AU345" s="11" t="e">
        <f>SUM(AL346:AL347)</f>
        <v>#REF!</v>
      </c>
    </row>
    <row r="346" spans="1:76">
      <c r="A346" s="1" t="s">
        <v>847</v>
      </c>
      <c r="B346" s="2" t="s">
        <v>783</v>
      </c>
      <c r="C346" s="2" t="s">
        <v>440</v>
      </c>
      <c r="D346" s="349" t="s">
        <v>441</v>
      </c>
      <c r="E346" s="342"/>
      <c r="F346" s="2" t="s">
        <v>105</v>
      </c>
      <c r="G346" s="12" t="e">
        <f>#REF!</f>
        <v>#REF!</v>
      </c>
      <c r="H346" s="12" t="e">
        <f>#REF!</f>
        <v>#REF!</v>
      </c>
      <c r="I346" s="49" t="s">
        <v>554</v>
      </c>
      <c r="J346" s="12" t="e">
        <f>G346*AO346</f>
        <v>#REF!</v>
      </c>
      <c r="K346" s="12" t="e">
        <f>G346*AP346</f>
        <v>#REF!</v>
      </c>
      <c r="L346" s="12" t="e">
        <f>G346*H346</f>
        <v>#REF!</v>
      </c>
      <c r="M346" s="12" t="e">
        <f>L346*(1+BW346/100)</f>
        <v>#REF!</v>
      </c>
      <c r="N346" s="12">
        <v>1.0499999999999999E-3</v>
      </c>
      <c r="O346" s="12" t="e">
        <f>G346*N346</f>
        <v>#REF!</v>
      </c>
      <c r="P346" s="50" t="s">
        <v>577</v>
      </c>
      <c r="Z346" s="12">
        <f>IF(AQ346="5",BJ346,0)</f>
        <v>0</v>
      </c>
      <c r="AB346" s="12">
        <f>IF(AQ346="1",BH346,0)</f>
        <v>0</v>
      </c>
      <c r="AC346" s="12">
        <f>IF(AQ346="1",BI346,0)</f>
        <v>0</v>
      </c>
      <c r="AD346" s="12" t="e">
        <f>IF(AQ346="7",BH346,0)</f>
        <v>#REF!</v>
      </c>
      <c r="AE346" s="12" t="e">
        <f>IF(AQ346="7",BI346,0)</f>
        <v>#REF!</v>
      </c>
      <c r="AF346" s="12">
        <f>IF(AQ346="2",BH346,0)</f>
        <v>0</v>
      </c>
      <c r="AG346" s="12">
        <f>IF(AQ346="2",BI346,0)</f>
        <v>0</v>
      </c>
      <c r="AH346" s="12">
        <f>IF(AQ346="0",BJ346,0)</f>
        <v>0</v>
      </c>
      <c r="AI346" s="10" t="s">
        <v>783</v>
      </c>
      <c r="AJ346" s="12">
        <f>IF(AN346=0,L346,0)</f>
        <v>0</v>
      </c>
      <c r="AK346" s="12">
        <f>IF(AN346=12,L346,0)</f>
        <v>0</v>
      </c>
      <c r="AL346" s="12" t="e">
        <f>IF(AN346=21,L346,0)</f>
        <v>#REF!</v>
      </c>
      <c r="AN346" s="12">
        <v>21</v>
      </c>
      <c r="AO346" s="12" t="e">
        <f>H346*0.15238806</f>
        <v>#REF!</v>
      </c>
      <c r="AP346" s="12" t="e">
        <f>H346*(1-0.15238806)</f>
        <v>#REF!</v>
      </c>
      <c r="AQ346" s="49" t="s">
        <v>567</v>
      </c>
      <c r="AV346" s="12" t="e">
        <f>AW346+AX346</f>
        <v>#REF!</v>
      </c>
      <c r="AW346" s="12" t="e">
        <f>G346*AO346</f>
        <v>#REF!</v>
      </c>
      <c r="AX346" s="12" t="e">
        <f>G346*AP346</f>
        <v>#REF!</v>
      </c>
      <c r="AY346" s="49" t="s">
        <v>596</v>
      </c>
      <c r="AZ346" s="49" t="s">
        <v>848</v>
      </c>
      <c r="BA346" s="10" t="s">
        <v>786</v>
      </c>
      <c r="BC346" s="12" t="e">
        <f>AW346+AX346</f>
        <v>#REF!</v>
      </c>
      <c r="BD346" s="12" t="e">
        <f>H346/(100-BE346)*100</f>
        <v>#REF!</v>
      </c>
      <c r="BE346" s="12">
        <v>0</v>
      </c>
      <c r="BF346" s="12" t="e">
        <f>O346</f>
        <v>#REF!</v>
      </c>
      <c r="BH346" s="12" t="e">
        <f>G346*AO346</f>
        <v>#REF!</v>
      </c>
      <c r="BI346" s="12" t="e">
        <f>G346*AP346</f>
        <v>#REF!</v>
      </c>
      <c r="BJ346" s="12" t="e">
        <f>G346*H346</f>
        <v>#REF!</v>
      </c>
      <c r="BK346" s="12"/>
      <c r="BL346" s="12">
        <v>767</v>
      </c>
      <c r="BW346" s="12" t="str">
        <f>I346</f>
        <v>21</v>
      </c>
      <c r="BX346" s="3" t="s">
        <v>441</v>
      </c>
    </row>
    <row r="347" spans="1:76">
      <c r="A347" s="1" t="s">
        <v>849</v>
      </c>
      <c r="B347" s="2" t="s">
        <v>783</v>
      </c>
      <c r="C347" s="2" t="s">
        <v>442</v>
      </c>
      <c r="D347" s="349" t="s">
        <v>443</v>
      </c>
      <c r="E347" s="342"/>
      <c r="F347" s="2" t="s">
        <v>105</v>
      </c>
      <c r="G347" s="12" t="e">
        <f>#REF!</f>
        <v>#REF!</v>
      </c>
      <c r="H347" s="12" t="e">
        <f>#REF!</f>
        <v>#REF!</v>
      </c>
      <c r="I347" s="49" t="s">
        <v>554</v>
      </c>
      <c r="J347" s="12" t="e">
        <f>G347*AO347</f>
        <v>#REF!</v>
      </c>
      <c r="K347" s="12" t="e">
        <f>G347*AP347</f>
        <v>#REF!</v>
      </c>
      <c r="L347" s="12" t="e">
        <f>G347*H347</f>
        <v>#REF!</v>
      </c>
      <c r="M347" s="12" t="e">
        <f>L347*(1+BW347/100)</f>
        <v>#REF!</v>
      </c>
      <c r="N347" s="12">
        <v>1.06E-3</v>
      </c>
      <c r="O347" s="12" t="e">
        <f>G347*N347</f>
        <v>#REF!</v>
      </c>
      <c r="P347" s="50" t="s">
        <v>577</v>
      </c>
      <c r="Z347" s="12">
        <f>IF(AQ347="5",BJ347,0)</f>
        <v>0</v>
      </c>
      <c r="AB347" s="12">
        <f>IF(AQ347="1",BH347,0)</f>
        <v>0</v>
      </c>
      <c r="AC347" s="12">
        <f>IF(AQ347="1",BI347,0)</f>
        <v>0</v>
      </c>
      <c r="AD347" s="12" t="e">
        <f>IF(AQ347="7",BH347,0)</f>
        <v>#REF!</v>
      </c>
      <c r="AE347" s="12" t="e">
        <f>IF(AQ347="7",BI347,0)</f>
        <v>#REF!</v>
      </c>
      <c r="AF347" s="12">
        <f>IF(AQ347="2",BH347,0)</f>
        <v>0</v>
      </c>
      <c r="AG347" s="12">
        <f>IF(AQ347="2",BI347,0)</f>
        <v>0</v>
      </c>
      <c r="AH347" s="12">
        <f>IF(AQ347="0",BJ347,0)</f>
        <v>0</v>
      </c>
      <c r="AI347" s="10" t="s">
        <v>783</v>
      </c>
      <c r="AJ347" s="12">
        <f>IF(AN347=0,L347,0)</f>
        <v>0</v>
      </c>
      <c r="AK347" s="12">
        <f>IF(AN347=12,L347,0)</f>
        <v>0</v>
      </c>
      <c r="AL347" s="12" t="e">
        <f>IF(AN347=21,L347,0)</f>
        <v>#REF!</v>
      </c>
      <c r="AN347" s="12">
        <v>21</v>
      </c>
      <c r="AO347" s="12" t="e">
        <f>H347*0.303333333</f>
        <v>#REF!</v>
      </c>
      <c r="AP347" s="12" t="e">
        <f>H347*(1-0.303333333)</f>
        <v>#REF!</v>
      </c>
      <c r="AQ347" s="49" t="s">
        <v>567</v>
      </c>
      <c r="AV347" s="12" t="e">
        <f>AW347+AX347</f>
        <v>#REF!</v>
      </c>
      <c r="AW347" s="12" t="e">
        <f>G347*AO347</f>
        <v>#REF!</v>
      </c>
      <c r="AX347" s="12" t="e">
        <f>G347*AP347</f>
        <v>#REF!</v>
      </c>
      <c r="AY347" s="49" t="s">
        <v>596</v>
      </c>
      <c r="AZ347" s="49" t="s">
        <v>848</v>
      </c>
      <c r="BA347" s="10" t="s">
        <v>786</v>
      </c>
      <c r="BC347" s="12" t="e">
        <f>AW347+AX347</f>
        <v>#REF!</v>
      </c>
      <c r="BD347" s="12" t="e">
        <f>H347/(100-BE347)*100</f>
        <v>#REF!</v>
      </c>
      <c r="BE347" s="12">
        <v>0</v>
      </c>
      <c r="BF347" s="12" t="e">
        <f>O347</f>
        <v>#REF!</v>
      </c>
      <c r="BH347" s="12" t="e">
        <f>G347*AO347</f>
        <v>#REF!</v>
      </c>
      <c r="BI347" s="12" t="e">
        <f>G347*AP347</f>
        <v>#REF!</v>
      </c>
      <c r="BJ347" s="12" t="e">
        <f>G347*H347</f>
        <v>#REF!</v>
      </c>
      <c r="BK347" s="12"/>
      <c r="BL347" s="12">
        <v>767</v>
      </c>
      <c r="BW347" s="12" t="str">
        <f>I347</f>
        <v>21</v>
      </c>
      <c r="BX347" s="3" t="s">
        <v>443</v>
      </c>
    </row>
    <row r="348" spans="1:76">
      <c r="A348" s="46" t="s">
        <v>21</v>
      </c>
      <c r="B348" s="9" t="s">
        <v>783</v>
      </c>
      <c r="C348" s="9" t="s">
        <v>23</v>
      </c>
      <c r="D348" s="359" t="s">
        <v>24</v>
      </c>
      <c r="E348" s="360"/>
      <c r="F348" s="47" t="s">
        <v>20</v>
      </c>
      <c r="G348" s="47" t="s">
        <v>20</v>
      </c>
      <c r="H348" s="47" t="s">
        <v>20</v>
      </c>
      <c r="I348" s="47" t="s">
        <v>20</v>
      </c>
      <c r="J348" s="11" t="e">
        <f>J349</f>
        <v>#REF!</v>
      </c>
      <c r="K348" s="11" t="e">
        <f>K349</f>
        <v>#REF!</v>
      </c>
      <c r="L348" s="11" t="e">
        <f>L349</f>
        <v>#REF!</v>
      </c>
      <c r="M348" s="11" t="e">
        <f>M349</f>
        <v>#REF!</v>
      </c>
      <c r="N348" s="10" t="s">
        <v>21</v>
      </c>
      <c r="O348" s="11" t="e">
        <f>O349</f>
        <v>#REF!</v>
      </c>
      <c r="P348" s="48" t="s">
        <v>21</v>
      </c>
      <c r="AI348" s="10" t="s">
        <v>783</v>
      </c>
    </row>
    <row r="349" spans="1:76">
      <c r="A349" s="46" t="s">
        <v>21</v>
      </c>
      <c r="B349" s="9" t="s">
        <v>783</v>
      </c>
      <c r="C349" s="9" t="s">
        <v>348</v>
      </c>
      <c r="D349" s="359" t="s">
        <v>349</v>
      </c>
      <c r="E349" s="360"/>
      <c r="F349" s="47" t="s">
        <v>20</v>
      </c>
      <c r="G349" s="47" t="s">
        <v>20</v>
      </c>
      <c r="H349" s="47" t="s">
        <v>20</v>
      </c>
      <c r="I349" s="47" t="s">
        <v>20</v>
      </c>
      <c r="J349" s="11" t="e">
        <f>SUM(J350:J350)</f>
        <v>#REF!</v>
      </c>
      <c r="K349" s="11" t="e">
        <f>SUM(K350:K350)</f>
        <v>#REF!</v>
      </c>
      <c r="L349" s="11" t="e">
        <f>SUM(L350:L350)</f>
        <v>#REF!</v>
      </c>
      <c r="M349" s="11" t="e">
        <f>SUM(M350:M350)</f>
        <v>#REF!</v>
      </c>
      <c r="N349" s="10" t="s">
        <v>21</v>
      </c>
      <c r="O349" s="11" t="e">
        <f>SUM(O350:O350)</f>
        <v>#REF!</v>
      </c>
      <c r="P349" s="48" t="s">
        <v>21</v>
      </c>
      <c r="AI349" s="10" t="s">
        <v>783</v>
      </c>
      <c r="AS349" s="11">
        <f>SUM(AJ350:AJ350)</f>
        <v>0</v>
      </c>
      <c r="AT349" s="11">
        <f>SUM(AK350:AK350)</f>
        <v>0</v>
      </c>
      <c r="AU349" s="11" t="e">
        <f>SUM(AL350:AL350)</f>
        <v>#REF!</v>
      </c>
    </row>
    <row r="350" spans="1:76">
      <c r="A350" s="1" t="s">
        <v>850</v>
      </c>
      <c r="B350" s="2" t="s">
        <v>783</v>
      </c>
      <c r="C350" s="2" t="s">
        <v>350</v>
      </c>
      <c r="D350" s="349" t="s">
        <v>447</v>
      </c>
      <c r="E350" s="342"/>
      <c r="F350" s="2" t="s">
        <v>29</v>
      </c>
      <c r="G350" s="12" t="e">
        <f>#REF!</f>
        <v>#REF!</v>
      </c>
      <c r="H350" s="12" t="e">
        <f>#REF!</f>
        <v>#REF!</v>
      </c>
      <c r="I350" s="49" t="s">
        <v>554</v>
      </c>
      <c r="J350" s="12" t="e">
        <f>G350*AO350</f>
        <v>#REF!</v>
      </c>
      <c r="K350" s="12" t="e">
        <f>G350*AP350</f>
        <v>#REF!</v>
      </c>
      <c r="L350" s="12" t="e">
        <f>G350*H350</f>
        <v>#REF!</v>
      </c>
      <c r="M350" s="12" t="e">
        <f>L350*(1+BW350/100)</f>
        <v>#REF!</v>
      </c>
      <c r="N350" s="12">
        <v>0</v>
      </c>
      <c r="O350" s="12" t="e">
        <f>G350*N350</f>
        <v>#REF!</v>
      </c>
      <c r="P350" s="50" t="s">
        <v>605</v>
      </c>
      <c r="Z350" s="12">
        <f>IF(AQ350="5",BJ350,0)</f>
        <v>0</v>
      </c>
      <c r="AB350" s="12">
        <f>IF(AQ350="1",BH350,0)</f>
        <v>0</v>
      </c>
      <c r="AC350" s="12">
        <f>IF(AQ350="1",BI350,0)</f>
        <v>0</v>
      </c>
      <c r="AD350" s="12">
        <f>IF(AQ350="7",BH350,0)</f>
        <v>0</v>
      </c>
      <c r="AE350" s="12">
        <f>IF(AQ350="7",BI350,0)</f>
        <v>0</v>
      </c>
      <c r="AF350" s="12">
        <f>IF(AQ350="2",BH350,0)</f>
        <v>0</v>
      </c>
      <c r="AG350" s="12">
        <f>IF(AQ350="2",BI350,0)</f>
        <v>0</v>
      </c>
      <c r="AH350" s="12">
        <f>IF(AQ350="0",BJ350,0)</f>
        <v>0</v>
      </c>
      <c r="AI350" s="10" t="s">
        <v>783</v>
      </c>
      <c r="AJ350" s="12">
        <f>IF(AN350=0,L350,0)</f>
        <v>0</v>
      </c>
      <c r="AK350" s="12">
        <f>IF(AN350=12,L350,0)</f>
        <v>0</v>
      </c>
      <c r="AL350" s="12" t="e">
        <f>IF(AN350=21,L350,0)</f>
        <v>#REF!</v>
      </c>
      <c r="AN350" s="12">
        <v>21</v>
      </c>
      <c r="AO350" s="12" t="e">
        <f>H350*0</f>
        <v>#REF!</v>
      </c>
      <c r="AP350" s="12" t="e">
        <f>H350*(1-0)</f>
        <v>#REF!</v>
      </c>
      <c r="AQ350" s="49" t="s">
        <v>556</v>
      </c>
      <c r="AV350" s="12" t="e">
        <f>AW350+AX350</f>
        <v>#REF!</v>
      </c>
      <c r="AW350" s="12" t="e">
        <f>G350*AO350</f>
        <v>#REF!</v>
      </c>
      <c r="AX350" s="12" t="e">
        <f>G350*AP350</f>
        <v>#REF!</v>
      </c>
      <c r="AY350" s="49" t="s">
        <v>711</v>
      </c>
      <c r="AZ350" s="49" t="s">
        <v>851</v>
      </c>
      <c r="BA350" s="10" t="s">
        <v>786</v>
      </c>
      <c r="BC350" s="12" t="e">
        <f>AW350+AX350</f>
        <v>#REF!</v>
      </c>
      <c r="BD350" s="12" t="e">
        <f>H350/(100-BE350)*100</f>
        <v>#REF!</v>
      </c>
      <c r="BE350" s="12">
        <v>0</v>
      </c>
      <c r="BF350" s="12" t="e">
        <f>O350</f>
        <v>#REF!</v>
      </c>
      <c r="BH350" s="12" t="e">
        <f>G350*AO350</f>
        <v>#REF!</v>
      </c>
      <c r="BI350" s="12" t="e">
        <f>G350*AP350</f>
        <v>#REF!</v>
      </c>
      <c r="BJ350" s="12" t="e">
        <f>G350*H350</f>
        <v>#REF!</v>
      </c>
      <c r="BK350" s="12"/>
      <c r="BL350" s="12"/>
      <c r="BR350" s="12" t="e">
        <f>G350*H350</f>
        <v>#REF!</v>
      </c>
      <c r="BW350" s="12" t="str">
        <f>I350</f>
        <v>21</v>
      </c>
      <c r="BX350" s="3" t="s">
        <v>447</v>
      </c>
    </row>
    <row r="351" spans="1:76">
      <c r="A351" s="46" t="s">
        <v>21</v>
      </c>
      <c r="B351" s="9" t="s">
        <v>852</v>
      </c>
      <c r="C351" s="9" t="s">
        <v>21</v>
      </c>
      <c r="D351" s="359" t="s">
        <v>448</v>
      </c>
      <c r="E351" s="360"/>
      <c r="F351" s="47" t="s">
        <v>20</v>
      </c>
      <c r="G351" s="47" t="s">
        <v>20</v>
      </c>
      <c r="H351" s="47" t="s">
        <v>20</v>
      </c>
      <c r="I351" s="47" t="s">
        <v>20</v>
      </c>
      <c r="J351" s="11" t="e">
        <f>J352+J362+J364+J380+J382+J390+J402+J418+J422</f>
        <v>#REF!</v>
      </c>
      <c r="K351" s="11" t="e">
        <f>K352+K362+K364+K380+K382+K390+K402+K418+K422</f>
        <v>#REF!</v>
      </c>
      <c r="L351" s="11" t="e">
        <f>L352+L362+L364+L380+L382+L390+L402+L418+L422</f>
        <v>#REF!</v>
      </c>
      <c r="M351" s="11" t="e">
        <f>M352+M362+M364+M380+M382+M390+M402+M418+M422</f>
        <v>#REF!</v>
      </c>
      <c r="N351" s="10" t="s">
        <v>21</v>
      </c>
      <c r="O351" s="11" t="e">
        <f>O352+O362+O364+O380+O382+O390+O402+O418+O422</f>
        <v>#REF!</v>
      </c>
      <c r="P351" s="48" t="s">
        <v>21</v>
      </c>
    </row>
    <row r="352" spans="1:76">
      <c r="A352" s="46" t="s">
        <v>21</v>
      </c>
      <c r="B352" s="9" t="s">
        <v>852</v>
      </c>
      <c r="C352" s="9" t="s">
        <v>54</v>
      </c>
      <c r="D352" s="359" t="s">
        <v>55</v>
      </c>
      <c r="E352" s="360"/>
      <c r="F352" s="47" t="s">
        <v>20</v>
      </c>
      <c r="G352" s="47" t="s">
        <v>20</v>
      </c>
      <c r="H352" s="47" t="s">
        <v>20</v>
      </c>
      <c r="I352" s="47" t="s">
        <v>20</v>
      </c>
      <c r="J352" s="11" t="e">
        <f>SUM(J353:J361)</f>
        <v>#REF!</v>
      </c>
      <c r="K352" s="11" t="e">
        <f>SUM(K353:K361)</f>
        <v>#REF!</v>
      </c>
      <c r="L352" s="11" t="e">
        <f>SUM(L353:L361)</f>
        <v>#REF!</v>
      </c>
      <c r="M352" s="11" t="e">
        <f>SUM(M353:M361)</f>
        <v>#REF!</v>
      </c>
      <c r="N352" s="10" t="s">
        <v>21</v>
      </c>
      <c r="O352" s="11" t="e">
        <f>SUM(O353:O361)</f>
        <v>#REF!</v>
      </c>
      <c r="P352" s="48" t="s">
        <v>21</v>
      </c>
      <c r="AI352" s="10" t="s">
        <v>852</v>
      </c>
      <c r="AS352" s="11">
        <f>SUM(AJ353:AJ361)</f>
        <v>0</v>
      </c>
      <c r="AT352" s="11">
        <f>SUM(AK353:AK361)</f>
        <v>0</v>
      </c>
      <c r="AU352" s="11" t="e">
        <f>SUM(AL353:AL361)</f>
        <v>#REF!</v>
      </c>
    </row>
    <row r="353" spans="1:76">
      <c r="A353" s="1" t="s">
        <v>853</v>
      </c>
      <c r="B353" s="2" t="s">
        <v>852</v>
      </c>
      <c r="C353" s="2" t="s">
        <v>69</v>
      </c>
      <c r="D353" s="349" t="s">
        <v>356</v>
      </c>
      <c r="E353" s="342"/>
      <c r="F353" s="2" t="s">
        <v>68</v>
      </c>
      <c r="G353" s="12" t="e">
        <f>#REF!</f>
        <v>#REF!</v>
      </c>
      <c r="H353" s="12" t="e">
        <f>#REF!</f>
        <v>#REF!</v>
      </c>
      <c r="I353" s="49" t="s">
        <v>554</v>
      </c>
      <c r="J353" s="12" t="e">
        <f t="shared" ref="J353:J361" si="390">G353*AO353</f>
        <v>#REF!</v>
      </c>
      <c r="K353" s="12" t="e">
        <f t="shared" ref="K353:K361" si="391">G353*AP353</f>
        <v>#REF!</v>
      </c>
      <c r="L353" s="12" t="e">
        <f t="shared" ref="L353:L361" si="392">G353*H353</f>
        <v>#REF!</v>
      </c>
      <c r="M353" s="12" t="e">
        <f t="shared" ref="M353:M361" si="393">L353*(1+BW353/100)</f>
        <v>#REF!</v>
      </c>
      <c r="N353" s="12">
        <v>0</v>
      </c>
      <c r="O353" s="12" t="e">
        <f t="shared" ref="O353:O361" si="394">G353*N353</f>
        <v>#REF!</v>
      </c>
      <c r="P353" s="50" t="s">
        <v>577</v>
      </c>
      <c r="Z353" s="12">
        <f t="shared" ref="Z353:Z361" si="395">IF(AQ353="5",BJ353,0)</f>
        <v>0</v>
      </c>
      <c r="AB353" s="12" t="e">
        <f t="shared" ref="AB353:AB361" si="396">IF(AQ353="1",BH353,0)</f>
        <v>#REF!</v>
      </c>
      <c r="AC353" s="12" t="e">
        <f t="shared" ref="AC353:AC361" si="397">IF(AQ353="1",BI353,0)</f>
        <v>#REF!</v>
      </c>
      <c r="AD353" s="12">
        <f t="shared" ref="AD353:AD361" si="398">IF(AQ353="7",BH353,0)</f>
        <v>0</v>
      </c>
      <c r="AE353" s="12">
        <f t="shared" ref="AE353:AE361" si="399">IF(AQ353="7",BI353,0)</f>
        <v>0</v>
      </c>
      <c r="AF353" s="12">
        <f t="shared" ref="AF353:AF361" si="400">IF(AQ353="2",BH353,0)</f>
        <v>0</v>
      </c>
      <c r="AG353" s="12">
        <f t="shared" ref="AG353:AG361" si="401">IF(AQ353="2",BI353,0)</f>
        <v>0</v>
      </c>
      <c r="AH353" s="12">
        <f t="shared" ref="AH353:AH361" si="402">IF(AQ353="0",BJ353,0)</f>
        <v>0</v>
      </c>
      <c r="AI353" s="10" t="s">
        <v>852</v>
      </c>
      <c r="AJ353" s="12">
        <f t="shared" ref="AJ353:AJ361" si="403">IF(AN353=0,L353,0)</f>
        <v>0</v>
      </c>
      <c r="AK353" s="12">
        <f t="shared" ref="AK353:AK361" si="404">IF(AN353=12,L353,0)</f>
        <v>0</v>
      </c>
      <c r="AL353" s="12" t="e">
        <f t="shared" ref="AL353:AL361" si="405">IF(AN353=21,L353,0)</f>
        <v>#REF!</v>
      </c>
      <c r="AN353" s="12">
        <v>21</v>
      </c>
      <c r="AO353" s="12" t="e">
        <f>H353*0</f>
        <v>#REF!</v>
      </c>
      <c r="AP353" s="12" t="e">
        <f>H353*(1-0)</f>
        <v>#REF!</v>
      </c>
      <c r="AQ353" s="49" t="s">
        <v>553</v>
      </c>
      <c r="AV353" s="12" t="e">
        <f t="shared" ref="AV353:AV361" si="406">AW353+AX353</f>
        <v>#REF!</v>
      </c>
      <c r="AW353" s="12" t="e">
        <f t="shared" ref="AW353:AW361" si="407">G353*AO353</f>
        <v>#REF!</v>
      </c>
      <c r="AX353" s="12" t="e">
        <f t="shared" ref="AX353:AX361" si="408">G353*AP353</f>
        <v>#REF!</v>
      </c>
      <c r="AY353" s="49" t="s">
        <v>574</v>
      </c>
      <c r="AZ353" s="49" t="s">
        <v>854</v>
      </c>
      <c r="BA353" s="10" t="s">
        <v>855</v>
      </c>
      <c r="BC353" s="12" t="e">
        <f t="shared" ref="BC353:BC361" si="409">AW353+AX353</f>
        <v>#REF!</v>
      </c>
      <c r="BD353" s="12" t="e">
        <f t="shared" ref="BD353:BD361" si="410">H353/(100-BE353)*100</f>
        <v>#REF!</v>
      </c>
      <c r="BE353" s="12">
        <v>0</v>
      </c>
      <c r="BF353" s="12" t="e">
        <f t="shared" ref="BF353:BF361" si="411">O353</f>
        <v>#REF!</v>
      </c>
      <c r="BH353" s="12" t="e">
        <f t="shared" ref="BH353:BH361" si="412">G353*AO353</f>
        <v>#REF!</v>
      </c>
      <c r="BI353" s="12" t="e">
        <f t="shared" ref="BI353:BI361" si="413">G353*AP353</f>
        <v>#REF!</v>
      </c>
      <c r="BJ353" s="12" t="e">
        <f t="shared" ref="BJ353:BJ361" si="414">G353*H353</f>
        <v>#REF!</v>
      </c>
      <c r="BK353" s="12"/>
      <c r="BL353" s="12">
        <v>0</v>
      </c>
      <c r="BW353" s="12" t="str">
        <f t="shared" ref="BW353:BW361" si="415">I353</f>
        <v>21</v>
      </c>
      <c r="BX353" s="3" t="s">
        <v>356</v>
      </c>
    </row>
    <row r="354" spans="1:76">
      <c r="A354" s="1" t="s">
        <v>856</v>
      </c>
      <c r="B354" s="2" t="s">
        <v>852</v>
      </c>
      <c r="C354" s="2" t="s">
        <v>107</v>
      </c>
      <c r="D354" s="349" t="s">
        <v>108</v>
      </c>
      <c r="E354" s="342"/>
      <c r="F354" s="2" t="s">
        <v>109</v>
      </c>
      <c r="G354" s="12" t="e">
        <f>#REF!</f>
        <v>#REF!</v>
      </c>
      <c r="H354" s="12" t="e">
        <f>#REF!</f>
        <v>#REF!</v>
      </c>
      <c r="I354" s="49" t="s">
        <v>554</v>
      </c>
      <c r="J354" s="12" t="e">
        <f t="shared" si="390"/>
        <v>#REF!</v>
      </c>
      <c r="K354" s="12" t="e">
        <f t="shared" si="391"/>
        <v>#REF!</v>
      </c>
      <c r="L354" s="12" t="e">
        <f t="shared" si="392"/>
        <v>#REF!</v>
      </c>
      <c r="M354" s="12" t="e">
        <f t="shared" si="393"/>
        <v>#REF!</v>
      </c>
      <c r="N354" s="12">
        <v>0</v>
      </c>
      <c r="O354" s="12" t="e">
        <f t="shared" si="394"/>
        <v>#REF!</v>
      </c>
      <c r="P354" s="50" t="s">
        <v>21</v>
      </c>
      <c r="Z354" s="12">
        <f t="shared" si="395"/>
        <v>0</v>
      </c>
      <c r="AB354" s="12" t="e">
        <f t="shared" si="396"/>
        <v>#REF!</v>
      </c>
      <c r="AC354" s="12" t="e">
        <f t="shared" si="397"/>
        <v>#REF!</v>
      </c>
      <c r="AD354" s="12">
        <f t="shared" si="398"/>
        <v>0</v>
      </c>
      <c r="AE354" s="12">
        <f t="shared" si="399"/>
        <v>0</v>
      </c>
      <c r="AF354" s="12">
        <f t="shared" si="400"/>
        <v>0</v>
      </c>
      <c r="AG354" s="12">
        <f t="shared" si="401"/>
        <v>0</v>
      </c>
      <c r="AH354" s="12">
        <f t="shared" si="402"/>
        <v>0</v>
      </c>
      <c r="AI354" s="10" t="s">
        <v>852</v>
      </c>
      <c r="AJ354" s="12">
        <f t="shared" si="403"/>
        <v>0</v>
      </c>
      <c r="AK354" s="12">
        <f t="shared" si="404"/>
        <v>0</v>
      </c>
      <c r="AL354" s="12" t="e">
        <f t="shared" si="405"/>
        <v>#REF!</v>
      </c>
      <c r="AN354" s="12">
        <v>21</v>
      </c>
      <c r="AO354" s="12" t="e">
        <f>H354*0</f>
        <v>#REF!</v>
      </c>
      <c r="AP354" s="12" t="e">
        <f>H354*(1-0)</f>
        <v>#REF!</v>
      </c>
      <c r="AQ354" s="49" t="s">
        <v>553</v>
      </c>
      <c r="AV354" s="12" t="e">
        <f t="shared" si="406"/>
        <v>#REF!</v>
      </c>
      <c r="AW354" s="12" t="e">
        <f t="shared" si="407"/>
        <v>#REF!</v>
      </c>
      <c r="AX354" s="12" t="e">
        <f t="shared" si="408"/>
        <v>#REF!</v>
      </c>
      <c r="AY354" s="49" t="s">
        <v>574</v>
      </c>
      <c r="AZ354" s="49" t="s">
        <v>854</v>
      </c>
      <c r="BA354" s="10" t="s">
        <v>855</v>
      </c>
      <c r="BC354" s="12" t="e">
        <f t="shared" si="409"/>
        <v>#REF!</v>
      </c>
      <c r="BD354" s="12" t="e">
        <f t="shared" si="410"/>
        <v>#REF!</v>
      </c>
      <c r="BE354" s="12">
        <v>0</v>
      </c>
      <c r="BF354" s="12" t="e">
        <f t="shared" si="411"/>
        <v>#REF!</v>
      </c>
      <c r="BH354" s="12" t="e">
        <f t="shared" si="412"/>
        <v>#REF!</v>
      </c>
      <c r="BI354" s="12" t="e">
        <f t="shared" si="413"/>
        <v>#REF!</v>
      </c>
      <c r="BJ354" s="12" t="e">
        <f t="shared" si="414"/>
        <v>#REF!</v>
      </c>
      <c r="BK354" s="12"/>
      <c r="BL354" s="12">
        <v>0</v>
      </c>
      <c r="BW354" s="12" t="str">
        <f t="shared" si="415"/>
        <v>21</v>
      </c>
      <c r="BX354" s="3" t="s">
        <v>108</v>
      </c>
    </row>
    <row r="355" spans="1:76" ht="25.5">
      <c r="A355" s="1" t="s">
        <v>857</v>
      </c>
      <c r="B355" s="2" t="s">
        <v>852</v>
      </c>
      <c r="C355" s="2" t="s">
        <v>110</v>
      </c>
      <c r="D355" s="349" t="s">
        <v>111</v>
      </c>
      <c r="E355" s="342"/>
      <c r="F355" s="2" t="s">
        <v>112</v>
      </c>
      <c r="G355" s="12" t="e">
        <f>#REF!</f>
        <v>#REF!</v>
      </c>
      <c r="H355" s="12" t="e">
        <f>#REF!</f>
        <v>#REF!</v>
      </c>
      <c r="I355" s="49" t="s">
        <v>554</v>
      </c>
      <c r="J355" s="12" t="e">
        <f t="shared" si="390"/>
        <v>#REF!</v>
      </c>
      <c r="K355" s="12" t="e">
        <f t="shared" si="391"/>
        <v>#REF!</v>
      </c>
      <c r="L355" s="12" t="e">
        <f t="shared" si="392"/>
        <v>#REF!</v>
      </c>
      <c r="M355" s="12" t="e">
        <f t="shared" si="393"/>
        <v>#REF!</v>
      </c>
      <c r="N355" s="12">
        <v>0</v>
      </c>
      <c r="O355" s="12" t="e">
        <f t="shared" si="394"/>
        <v>#REF!</v>
      </c>
      <c r="P355" s="50" t="s">
        <v>21</v>
      </c>
      <c r="Z355" s="12">
        <f t="shared" si="395"/>
        <v>0</v>
      </c>
      <c r="AB355" s="12" t="e">
        <f t="shared" si="396"/>
        <v>#REF!</v>
      </c>
      <c r="AC355" s="12" t="e">
        <f t="shared" si="397"/>
        <v>#REF!</v>
      </c>
      <c r="AD355" s="12">
        <f t="shared" si="398"/>
        <v>0</v>
      </c>
      <c r="AE355" s="12">
        <f t="shared" si="399"/>
        <v>0</v>
      </c>
      <c r="AF355" s="12">
        <f t="shared" si="400"/>
        <v>0</v>
      </c>
      <c r="AG355" s="12">
        <f t="shared" si="401"/>
        <v>0</v>
      </c>
      <c r="AH355" s="12">
        <f t="shared" si="402"/>
        <v>0</v>
      </c>
      <c r="AI355" s="10" t="s">
        <v>852</v>
      </c>
      <c r="AJ355" s="12">
        <f t="shared" si="403"/>
        <v>0</v>
      </c>
      <c r="AK355" s="12">
        <f t="shared" si="404"/>
        <v>0</v>
      </c>
      <c r="AL355" s="12" t="e">
        <f t="shared" si="405"/>
        <v>#REF!</v>
      </c>
      <c r="AN355" s="12">
        <v>21</v>
      </c>
      <c r="AO355" s="12" t="e">
        <f>H355*0.298352654</f>
        <v>#REF!</v>
      </c>
      <c r="AP355" s="12" t="e">
        <f>H355*(1-0.298352654)</f>
        <v>#REF!</v>
      </c>
      <c r="AQ355" s="49" t="s">
        <v>553</v>
      </c>
      <c r="AV355" s="12" t="e">
        <f t="shared" si="406"/>
        <v>#REF!</v>
      </c>
      <c r="AW355" s="12" t="e">
        <f t="shared" si="407"/>
        <v>#REF!</v>
      </c>
      <c r="AX355" s="12" t="e">
        <f t="shared" si="408"/>
        <v>#REF!</v>
      </c>
      <c r="AY355" s="49" t="s">
        <v>574</v>
      </c>
      <c r="AZ355" s="49" t="s">
        <v>854</v>
      </c>
      <c r="BA355" s="10" t="s">
        <v>855</v>
      </c>
      <c r="BC355" s="12" t="e">
        <f t="shared" si="409"/>
        <v>#REF!</v>
      </c>
      <c r="BD355" s="12" t="e">
        <f t="shared" si="410"/>
        <v>#REF!</v>
      </c>
      <c r="BE355" s="12">
        <v>0</v>
      </c>
      <c r="BF355" s="12" t="e">
        <f t="shared" si="411"/>
        <v>#REF!</v>
      </c>
      <c r="BH355" s="12" t="e">
        <f t="shared" si="412"/>
        <v>#REF!</v>
      </c>
      <c r="BI355" s="12" t="e">
        <f t="shared" si="413"/>
        <v>#REF!</v>
      </c>
      <c r="BJ355" s="12" t="e">
        <f t="shared" si="414"/>
        <v>#REF!</v>
      </c>
      <c r="BK355" s="12"/>
      <c r="BL355" s="12">
        <v>0</v>
      </c>
      <c r="BW355" s="12" t="str">
        <f t="shared" si="415"/>
        <v>21</v>
      </c>
      <c r="BX355" s="3" t="s">
        <v>111</v>
      </c>
    </row>
    <row r="356" spans="1:76">
      <c r="A356" s="1" t="s">
        <v>858</v>
      </c>
      <c r="B356" s="2" t="s">
        <v>852</v>
      </c>
      <c r="C356" s="2" t="s">
        <v>115</v>
      </c>
      <c r="D356" s="349" t="s">
        <v>116</v>
      </c>
      <c r="E356" s="342"/>
      <c r="F356" s="2" t="s">
        <v>58</v>
      </c>
      <c r="G356" s="12" t="e">
        <f>#REF!</f>
        <v>#REF!</v>
      </c>
      <c r="H356" s="12" t="e">
        <f>#REF!</f>
        <v>#REF!</v>
      </c>
      <c r="I356" s="49" t="s">
        <v>554</v>
      </c>
      <c r="J356" s="12" t="e">
        <f t="shared" si="390"/>
        <v>#REF!</v>
      </c>
      <c r="K356" s="12" t="e">
        <f t="shared" si="391"/>
        <v>#REF!</v>
      </c>
      <c r="L356" s="12" t="e">
        <f t="shared" si="392"/>
        <v>#REF!</v>
      </c>
      <c r="M356" s="12" t="e">
        <f t="shared" si="393"/>
        <v>#REF!</v>
      </c>
      <c r="N356" s="12">
        <v>0</v>
      </c>
      <c r="O356" s="12" t="e">
        <f t="shared" si="394"/>
        <v>#REF!</v>
      </c>
      <c r="P356" s="50" t="s">
        <v>605</v>
      </c>
      <c r="Z356" s="12">
        <f t="shared" si="395"/>
        <v>0</v>
      </c>
      <c r="AB356" s="12" t="e">
        <f t="shared" si="396"/>
        <v>#REF!</v>
      </c>
      <c r="AC356" s="12" t="e">
        <f t="shared" si="397"/>
        <v>#REF!</v>
      </c>
      <c r="AD356" s="12">
        <f t="shared" si="398"/>
        <v>0</v>
      </c>
      <c r="AE356" s="12">
        <f t="shared" si="399"/>
        <v>0</v>
      </c>
      <c r="AF356" s="12">
        <f t="shared" si="400"/>
        <v>0</v>
      </c>
      <c r="AG356" s="12">
        <f t="shared" si="401"/>
        <v>0</v>
      </c>
      <c r="AH356" s="12">
        <f t="shared" si="402"/>
        <v>0</v>
      </c>
      <c r="AI356" s="10" t="s">
        <v>852</v>
      </c>
      <c r="AJ356" s="12">
        <f t="shared" si="403"/>
        <v>0</v>
      </c>
      <c r="AK356" s="12">
        <f t="shared" si="404"/>
        <v>0</v>
      </c>
      <c r="AL356" s="12" t="e">
        <f t="shared" si="405"/>
        <v>#REF!</v>
      </c>
      <c r="AN356" s="12">
        <v>21</v>
      </c>
      <c r="AO356" s="12" t="e">
        <f>H356*0</f>
        <v>#REF!</v>
      </c>
      <c r="AP356" s="12" t="e">
        <f>H356*(1-0)</f>
        <v>#REF!</v>
      </c>
      <c r="AQ356" s="49" t="s">
        <v>553</v>
      </c>
      <c r="AV356" s="12" t="e">
        <f t="shared" si="406"/>
        <v>#REF!</v>
      </c>
      <c r="AW356" s="12" t="e">
        <f t="shared" si="407"/>
        <v>#REF!</v>
      </c>
      <c r="AX356" s="12" t="e">
        <f t="shared" si="408"/>
        <v>#REF!</v>
      </c>
      <c r="AY356" s="49" t="s">
        <v>574</v>
      </c>
      <c r="AZ356" s="49" t="s">
        <v>854</v>
      </c>
      <c r="BA356" s="10" t="s">
        <v>855</v>
      </c>
      <c r="BC356" s="12" t="e">
        <f t="shared" si="409"/>
        <v>#REF!</v>
      </c>
      <c r="BD356" s="12" t="e">
        <f t="shared" si="410"/>
        <v>#REF!</v>
      </c>
      <c r="BE356" s="12">
        <v>0</v>
      </c>
      <c r="BF356" s="12" t="e">
        <f t="shared" si="411"/>
        <v>#REF!</v>
      </c>
      <c r="BH356" s="12" t="e">
        <f t="shared" si="412"/>
        <v>#REF!</v>
      </c>
      <c r="BI356" s="12" t="e">
        <f t="shared" si="413"/>
        <v>#REF!</v>
      </c>
      <c r="BJ356" s="12" t="e">
        <f t="shared" si="414"/>
        <v>#REF!</v>
      </c>
      <c r="BK356" s="12"/>
      <c r="BL356" s="12">
        <v>0</v>
      </c>
      <c r="BW356" s="12" t="str">
        <f t="shared" si="415"/>
        <v>21</v>
      </c>
      <c r="BX356" s="3" t="s">
        <v>116</v>
      </c>
    </row>
    <row r="357" spans="1:76">
      <c r="A357" s="1" t="s">
        <v>859</v>
      </c>
      <c r="B357" s="2" t="s">
        <v>852</v>
      </c>
      <c r="C357" s="2" t="s">
        <v>119</v>
      </c>
      <c r="D357" s="349" t="s">
        <v>120</v>
      </c>
      <c r="E357" s="342"/>
      <c r="F357" s="2" t="s">
        <v>58</v>
      </c>
      <c r="G357" s="12" t="e">
        <f>#REF!</f>
        <v>#REF!</v>
      </c>
      <c r="H357" s="12" t="e">
        <f>#REF!</f>
        <v>#REF!</v>
      </c>
      <c r="I357" s="49" t="s">
        <v>554</v>
      </c>
      <c r="J357" s="12" t="e">
        <f t="shared" si="390"/>
        <v>#REF!</v>
      </c>
      <c r="K357" s="12" t="e">
        <f t="shared" si="391"/>
        <v>#REF!</v>
      </c>
      <c r="L357" s="12" t="e">
        <f t="shared" si="392"/>
        <v>#REF!</v>
      </c>
      <c r="M357" s="12" t="e">
        <f t="shared" si="393"/>
        <v>#REF!</v>
      </c>
      <c r="N357" s="12">
        <v>0</v>
      </c>
      <c r="O357" s="12" t="e">
        <f t="shared" si="394"/>
        <v>#REF!</v>
      </c>
      <c r="P357" s="50" t="s">
        <v>605</v>
      </c>
      <c r="Z357" s="12">
        <f t="shared" si="395"/>
        <v>0</v>
      </c>
      <c r="AB357" s="12" t="e">
        <f t="shared" si="396"/>
        <v>#REF!</v>
      </c>
      <c r="AC357" s="12" t="e">
        <f t="shared" si="397"/>
        <v>#REF!</v>
      </c>
      <c r="AD357" s="12">
        <f t="shared" si="398"/>
        <v>0</v>
      </c>
      <c r="AE357" s="12">
        <f t="shared" si="399"/>
        <v>0</v>
      </c>
      <c r="AF357" s="12">
        <f t="shared" si="400"/>
        <v>0</v>
      </c>
      <c r="AG357" s="12">
        <f t="shared" si="401"/>
        <v>0</v>
      </c>
      <c r="AH357" s="12">
        <f t="shared" si="402"/>
        <v>0</v>
      </c>
      <c r="AI357" s="10" t="s">
        <v>852</v>
      </c>
      <c r="AJ357" s="12">
        <f t="shared" si="403"/>
        <v>0</v>
      </c>
      <c r="AK357" s="12">
        <f t="shared" si="404"/>
        <v>0</v>
      </c>
      <c r="AL357" s="12" t="e">
        <f t="shared" si="405"/>
        <v>#REF!</v>
      </c>
      <c r="AN357" s="12">
        <v>21</v>
      </c>
      <c r="AO357" s="12" t="e">
        <f>H357*0</f>
        <v>#REF!</v>
      </c>
      <c r="AP357" s="12" t="e">
        <f>H357*(1-0)</f>
        <v>#REF!</v>
      </c>
      <c r="AQ357" s="49" t="s">
        <v>553</v>
      </c>
      <c r="AV357" s="12" t="e">
        <f t="shared" si="406"/>
        <v>#REF!</v>
      </c>
      <c r="AW357" s="12" t="e">
        <f t="shared" si="407"/>
        <v>#REF!</v>
      </c>
      <c r="AX357" s="12" t="e">
        <f t="shared" si="408"/>
        <v>#REF!</v>
      </c>
      <c r="AY357" s="49" t="s">
        <v>574</v>
      </c>
      <c r="AZ357" s="49" t="s">
        <v>854</v>
      </c>
      <c r="BA357" s="10" t="s">
        <v>855</v>
      </c>
      <c r="BC357" s="12" t="e">
        <f t="shared" si="409"/>
        <v>#REF!</v>
      </c>
      <c r="BD357" s="12" t="e">
        <f t="shared" si="410"/>
        <v>#REF!</v>
      </c>
      <c r="BE357" s="12">
        <v>0</v>
      </c>
      <c r="BF357" s="12" t="e">
        <f t="shared" si="411"/>
        <v>#REF!</v>
      </c>
      <c r="BH357" s="12" t="e">
        <f t="shared" si="412"/>
        <v>#REF!</v>
      </c>
      <c r="BI357" s="12" t="e">
        <f t="shared" si="413"/>
        <v>#REF!</v>
      </c>
      <c r="BJ357" s="12" t="e">
        <f t="shared" si="414"/>
        <v>#REF!</v>
      </c>
      <c r="BK357" s="12"/>
      <c r="BL357" s="12">
        <v>0</v>
      </c>
      <c r="BW357" s="12" t="str">
        <f t="shared" si="415"/>
        <v>21</v>
      </c>
      <c r="BX357" s="3" t="s">
        <v>120</v>
      </c>
    </row>
    <row r="358" spans="1:76">
      <c r="A358" s="1" t="s">
        <v>860</v>
      </c>
      <c r="B358" s="2" t="s">
        <v>852</v>
      </c>
      <c r="C358" s="2" t="s">
        <v>71</v>
      </c>
      <c r="D358" s="349" t="s">
        <v>72</v>
      </c>
      <c r="E358" s="342"/>
      <c r="F358" s="2" t="s">
        <v>58</v>
      </c>
      <c r="G358" s="12" t="e">
        <f>#REF!</f>
        <v>#REF!</v>
      </c>
      <c r="H358" s="12" t="e">
        <f>#REF!</f>
        <v>#REF!</v>
      </c>
      <c r="I358" s="49" t="s">
        <v>554</v>
      </c>
      <c r="J358" s="12" t="e">
        <f t="shared" si="390"/>
        <v>#REF!</v>
      </c>
      <c r="K358" s="12" t="e">
        <f t="shared" si="391"/>
        <v>#REF!</v>
      </c>
      <c r="L358" s="12" t="e">
        <f t="shared" si="392"/>
        <v>#REF!</v>
      </c>
      <c r="M358" s="12" t="e">
        <f t="shared" si="393"/>
        <v>#REF!</v>
      </c>
      <c r="N358" s="12">
        <v>3.8999999999999999E-4</v>
      </c>
      <c r="O358" s="12" t="e">
        <f t="shared" si="394"/>
        <v>#REF!</v>
      </c>
      <c r="P358" s="50" t="s">
        <v>577</v>
      </c>
      <c r="Z358" s="12">
        <f t="shared" si="395"/>
        <v>0</v>
      </c>
      <c r="AB358" s="12" t="e">
        <f t="shared" si="396"/>
        <v>#REF!</v>
      </c>
      <c r="AC358" s="12" t="e">
        <f t="shared" si="397"/>
        <v>#REF!</v>
      </c>
      <c r="AD358" s="12">
        <f t="shared" si="398"/>
        <v>0</v>
      </c>
      <c r="AE358" s="12">
        <f t="shared" si="399"/>
        <v>0</v>
      </c>
      <c r="AF358" s="12">
        <f t="shared" si="400"/>
        <v>0</v>
      </c>
      <c r="AG358" s="12">
        <f t="shared" si="401"/>
        <v>0</v>
      </c>
      <c r="AH358" s="12">
        <f t="shared" si="402"/>
        <v>0</v>
      </c>
      <c r="AI358" s="10" t="s">
        <v>852</v>
      </c>
      <c r="AJ358" s="12">
        <f t="shared" si="403"/>
        <v>0</v>
      </c>
      <c r="AK358" s="12">
        <f t="shared" si="404"/>
        <v>0</v>
      </c>
      <c r="AL358" s="12" t="e">
        <f t="shared" si="405"/>
        <v>#REF!</v>
      </c>
      <c r="AN358" s="12">
        <v>21</v>
      </c>
      <c r="AO358" s="12" t="e">
        <f>H358*0.615509036</f>
        <v>#REF!</v>
      </c>
      <c r="AP358" s="12" t="e">
        <f>H358*(1-0.615509036)</f>
        <v>#REF!</v>
      </c>
      <c r="AQ358" s="49" t="s">
        <v>553</v>
      </c>
      <c r="AV358" s="12" t="e">
        <f t="shared" si="406"/>
        <v>#REF!</v>
      </c>
      <c r="AW358" s="12" t="e">
        <f t="shared" si="407"/>
        <v>#REF!</v>
      </c>
      <c r="AX358" s="12" t="e">
        <f t="shared" si="408"/>
        <v>#REF!</v>
      </c>
      <c r="AY358" s="49" t="s">
        <v>574</v>
      </c>
      <c r="AZ358" s="49" t="s">
        <v>854</v>
      </c>
      <c r="BA358" s="10" t="s">
        <v>855</v>
      </c>
      <c r="BC358" s="12" t="e">
        <f t="shared" si="409"/>
        <v>#REF!</v>
      </c>
      <c r="BD358" s="12" t="e">
        <f t="shared" si="410"/>
        <v>#REF!</v>
      </c>
      <c r="BE358" s="12">
        <v>0</v>
      </c>
      <c r="BF358" s="12" t="e">
        <f t="shared" si="411"/>
        <v>#REF!</v>
      </c>
      <c r="BH358" s="12" t="e">
        <f t="shared" si="412"/>
        <v>#REF!</v>
      </c>
      <c r="BI358" s="12" t="e">
        <f t="shared" si="413"/>
        <v>#REF!</v>
      </c>
      <c r="BJ358" s="12" t="e">
        <f t="shared" si="414"/>
        <v>#REF!</v>
      </c>
      <c r="BK358" s="12"/>
      <c r="BL358" s="12">
        <v>0</v>
      </c>
      <c r="BW358" s="12" t="str">
        <f t="shared" si="415"/>
        <v>21</v>
      </c>
      <c r="BX358" s="3" t="s">
        <v>72</v>
      </c>
    </row>
    <row r="359" spans="1:76">
      <c r="A359" s="1" t="s">
        <v>861</v>
      </c>
      <c r="B359" s="2" t="s">
        <v>852</v>
      </c>
      <c r="C359" s="2" t="s">
        <v>66</v>
      </c>
      <c r="D359" s="349" t="s">
        <v>67</v>
      </c>
      <c r="E359" s="342"/>
      <c r="F359" s="2" t="s">
        <v>68</v>
      </c>
      <c r="G359" s="12" t="e">
        <f>#REF!</f>
        <v>#REF!</v>
      </c>
      <c r="H359" s="12" t="e">
        <f>#REF!</f>
        <v>#REF!</v>
      </c>
      <c r="I359" s="49" t="s">
        <v>554</v>
      </c>
      <c r="J359" s="12" t="e">
        <f t="shared" si="390"/>
        <v>#REF!</v>
      </c>
      <c r="K359" s="12" t="e">
        <f t="shared" si="391"/>
        <v>#REF!</v>
      </c>
      <c r="L359" s="12" t="e">
        <f t="shared" si="392"/>
        <v>#REF!</v>
      </c>
      <c r="M359" s="12" t="e">
        <f t="shared" si="393"/>
        <v>#REF!</v>
      </c>
      <c r="N359" s="12">
        <v>0</v>
      </c>
      <c r="O359" s="12" t="e">
        <f t="shared" si="394"/>
        <v>#REF!</v>
      </c>
      <c r="P359" s="50" t="s">
        <v>577</v>
      </c>
      <c r="Z359" s="12">
        <f t="shared" si="395"/>
        <v>0</v>
      </c>
      <c r="AB359" s="12" t="e">
        <f t="shared" si="396"/>
        <v>#REF!</v>
      </c>
      <c r="AC359" s="12" t="e">
        <f t="shared" si="397"/>
        <v>#REF!</v>
      </c>
      <c r="AD359" s="12">
        <f t="shared" si="398"/>
        <v>0</v>
      </c>
      <c r="AE359" s="12">
        <f t="shared" si="399"/>
        <v>0</v>
      </c>
      <c r="AF359" s="12">
        <f t="shared" si="400"/>
        <v>0</v>
      </c>
      <c r="AG359" s="12">
        <f t="shared" si="401"/>
        <v>0</v>
      </c>
      <c r="AH359" s="12">
        <f t="shared" si="402"/>
        <v>0</v>
      </c>
      <c r="AI359" s="10" t="s">
        <v>852</v>
      </c>
      <c r="AJ359" s="12">
        <f t="shared" si="403"/>
        <v>0</v>
      </c>
      <c r="AK359" s="12">
        <f t="shared" si="404"/>
        <v>0</v>
      </c>
      <c r="AL359" s="12" t="e">
        <f t="shared" si="405"/>
        <v>#REF!</v>
      </c>
      <c r="AN359" s="12">
        <v>21</v>
      </c>
      <c r="AO359" s="12" t="e">
        <f>H359*0</f>
        <v>#REF!</v>
      </c>
      <c r="AP359" s="12" t="e">
        <f>H359*(1-0)</f>
        <v>#REF!</v>
      </c>
      <c r="AQ359" s="49" t="s">
        <v>553</v>
      </c>
      <c r="AV359" s="12" t="e">
        <f t="shared" si="406"/>
        <v>#REF!</v>
      </c>
      <c r="AW359" s="12" t="e">
        <f t="shared" si="407"/>
        <v>#REF!</v>
      </c>
      <c r="AX359" s="12" t="e">
        <f t="shared" si="408"/>
        <v>#REF!</v>
      </c>
      <c r="AY359" s="49" t="s">
        <v>574</v>
      </c>
      <c r="AZ359" s="49" t="s">
        <v>854</v>
      </c>
      <c r="BA359" s="10" t="s">
        <v>855</v>
      </c>
      <c r="BC359" s="12" t="e">
        <f t="shared" si="409"/>
        <v>#REF!</v>
      </c>
      <c r="BD359" s="12" t="e">
        <f t="shared" si="410"/>
        <v>#REF!</v>
      </c>
      <c r="BE359" s="12">
        <v>0</v>
      </c>
      <c r="BF359" s="12" t="e">
        <f t="shared" si="411"/>
        <v>#REF!</v>
      </c>
      <c r="BH359" s="12" t="e">
        <f t="shared" si="412"/>
        <v>#REF!</v>
      </c>
      <c r="BI359" s="12" t="e">
        <f t="shared" si="413"/>
        <v>#REF!</v>
      </c>
      <c r="BJ359" s="12" t="e">
        <f t="shared" si="414"/>
        <v>#REF!</v>
      </c>
      <c r="BK359" s="12"/>
      <c r="BL359" s="12">
        <v>0</v>
      </c>
      <c r="BW359" s="12" t="str">
        <f t="shared" si="415"/>
        <v>21</v>
      </c>
      <c r="BX359" s="3" t="s">
        <v>67</v>
      </c>
    </row>
    <row r="360" spans="1:76">
      <c r="A360" s="1" t="s">
        <v>862</v>
      </c>
      <c r="B360" s="2" t="s">
        <v>852</v>
      </c>
      <c r="C360" s="2" t="s">
        <v>124</v>
      </c>
      <c r="D360" s="349" t="s">
        <v>125</v>
      </c>
      <c r="E360" s="342"/>
      <c r="F360" s="2" t="s">
        <v>123</v>
      </c>
      <c r="G360" s="12" t="e">
        <f>#REF!</f>
        <v>#REF!</v>
      </c>
      <c r="H360" s="12" t="e">
        <f>#REF!</f>
        <v>#REF!</v>
      </c>
      <c r="I360" s="49" t="s">
        <v>554</v>
      </c>
      <c r="J360" s="12" t="e">
        <f t="shared" si="390"/>
        <v>#REF!</v>
      </c>
      <c r="K360" s="12" t="e">
        <f t="shared" si="391"/>
        <v>#REF!</v>
      </c>
      <c r="L360" s="12" t="e">
        <f t="shared" si="392"/>
        <v>#REF!</v>
      </c>
      <c r="M360" s="12" t="e">
        <f t="shared" si="393"/>
        <v>#REF!</v>
      </c>
      <c r="N360" s="12">
        <v>0</v>
      </c>
      <c r="O360" s="12" t="e">
        <f t="shared" si="394"/>
        <v>#REF!</v>
      </c>
      <c r="P360" s="50" t="s">
        <v>577</v>
      </c>
      <c r="Z360" s="12" t="e">
        <f t="shared" si="395"/>
        <v>#REF!</v>
      </c>
      <c r="AB360" s="12">
        <f t="shared" si="396"/>
        <v>0</v>
      </c>
      <c r="AC360" s="12">
        <f t="shared" si="397"/>
        <v>0</v>
      </c>
      <c r="AD360" s="12">
        <f t="shared" si="398"/>
        <v>0</v>
      </c>
      <c r="AE360" s="12">
        <f t="shared" si="399"/>
        <v>0</v>
      </c>
      <c r="AF360" s="12">
        <f t="shared" si="400"/>
        <v>0</v>
      </c>
      <c r="AG360" s="12">
        <f t="shared" si="401"/>
        <v>0</v>
      </c>
      <c r="AH360" s="12">
        <f t="shared" si="402"/>
        <v>0</v>
      </c>
      <c r="AI360" s="10" t="s">
        <v>852</v>
      </c>
      <c r="AJ360" s="12">
        <f t="shared" si="403"/>
        <v>0</v>
      </c>
      <c r="AK360" s="12">
        <f t="shared" si="404"/>
        <v>0</v>
      </c>
      <c r="AL360" s="12" t="e">
        <f t="shared" si="405"/>
        <v>#REF!</v>
      </c>
      <c r="AN360" s="12">
        <v>21</v>
      </c>
      <c r="AO360" s="12" t="e">
        <f>H360*0</f>
        <v>#REF!</v>
      </c>
      <c r="AP360" s="12" t="e">
        <f>H360*(1-0)</f>
        <v>#REF!</v>
      </c>
      <c r="AQ360" s="49" t="s">
        <v>564</v>
      </c>
      <c r="AV360" s="12" t="e">
        <f t="shared" si="406"/>
        <v>#REF!</v>
      </c>
      <c r="AW360" s="12" t="e">
        <f t="shared" si="407"/>
        <v>#REF!</v>
      </c>
      <c r="AX360" s="12" t="e">
        <f t="shared" si="408"/>
        <v>#REF!</v>
      </c>
      <c r="AY360" s="49" t="s">
        <v>574</v>
      </c>
      <c r="AZ360" s="49" t="s">
        <v>854</v>
      </c>
      <c r="BA360" s="10" t="s">
        <v>855</v>
      </c>
      <c r="BC360" s="12" t="e">
        <f t="shared" si="409"/>
        <v>#REF!</v>
      </c>
      <c r="BD360" s="12" t="e">
        <f t="shared" si="410"/>
        <v>#REF!</v>
      </c>
      <c r="BE360" s="12">
        <v>0</v>
      </c>
      <c r="BF360" s="12" t="e">
        <f t="shared" si="411"/>
        <v>#REF!</v>
      </c>
      <c r="BH360" s="12" t="e">
        <f t="shared" si="412"/>
        <v>#REF!</v>
      </c>
      <c r="BI360" s="12" t="e">
        <f t="shared" si="413"/>
        <v>#REF!</v>
      </c>
      <c r="BJ360" s="12" t="e">
        <f t="shared" si="414"/>
        <v>#REF!</v>
      </c>
      <c r="BK360" s="12"/>
      <c r="BL360" s="12">
        <v>0</v>
      </c>
      <c r="BW360" s="12" t="str">
        <f t="shared" si="415"/>
        <v>21</v>
      </c>
      <c r="BX360" s="3" t="s">
        <v>125</v>
      </c>
    </row>
    <row r="361" spans="1:76">
      <c r="A361" s="1" t="s">
        <v>863</v>
      </c>
      <c r="B361" s="2" t="s">
        <v>852</v>
      </c>
      <c r="C361" s="2" t="s">
        <v>121</v>
      </c>
      <c r="D361" s="349" t="s">
        <v>122</v>
      </c>
      <c r="E361" s="342"/>
      <c r="F361" s="2" t="s">
        <v>123</v>
      </c>
      <c r="G361" s="12" t="e">
        <f>#REF!</f>
        <v>#REF!</v>
      </c>
      <c r="H361" s="12" t="e">
        <f>#REF!</f>
        <v>#REF!</v>
      </c>
      <c r="I361" s="49" t="s">
        <v>554</v>
      </c>
      <c r="J361" s="12" t="e">
        <f t="shared" si="390"/>
        <v>#REF!</v>
      </c>
      <c r="K361" s="12" t="e">
        <f t="shared" si="391"/>
        <v>#REF!</v>
      </c>
      <c r="L361" s="12" t="e">
        <f t="shared" si="392"/>
        <v>#REF!</v>
      </c>
      <c r="M361" s="12" t="e">
        <f t="shared" si="393"/>
        <v>#REF!</v>
      </c>
      <c r="N361" s="12">
        <v>0</v>
      </c>
      <c r="O361" s="12" t="e">
        <f t="shared" si="394"/>
        <v>#REF!</v>
      </c>
      <c r="P361" s="50" t="s">
        <v>577</v>
      </c>
      <c r="Z361" s="12" t="e">
        <f t="shared" si="395"/>
        <v>#REF!</v>
      </c>
      <c r="AB361" s="12">
        <f t="shared" si="396"/>
        <v>0</v>
      </c>
      <c r="AC361" s="12">
        <f t="shared" si="397"/>
        <v>0</v>
      </c>
      <c r="AD361" s="12">
        <f t="shared" si="398"/>
        <v>0</v>
      </c>
      <c r="AE361" s="12">
        <f t="shared" si="399"/>
        <v>0</v>
      </c>
      <c r="AF361" s="12">
        <f t="shared" si="400"/>
        <v>0</v>
      </c>
      <c r="AG361" s="12">
        <f t="shared" si="401"/>
        <v>0</v>
      </c>
      <c r="AH361" s="12">
        <f t="shared" si="402"/>
        <v>0</v>
      </c>
      <c r="AI361" s="10" t="s">
        <v>852</v>
      </c>
      <c r="AJ361" s="12">
        <f t="shared" si="403"/>
        <v>0</v>
      </c>
      <c r="AK361" s="12">
        <f t="shared" si="404"/>
        <v>0</v>
      </c>
      <c r="AL361" s="12" t="e">
        <f t="shared" si="405"/>
        <v>#REF!</v>
      </c>
      <c r="AN361" s="12">
        <v>21</v>
      </c>
      <c r="AO361" s="12" t="e">
        <f>H361*0</f>
        <v>#REF!</v>
      </c>
      <c r="AP361" s="12" t="e">
        <f>H361*(1-0)</f>
        <v>#REF!</v>
      </c>
      <c r="AQ361" s="49" t="s">
        <v>564</v>
      </c>
      <c r="AV361" s="12" t="e">
        <f t="shared" si="406"/>
        <v>#REF!</v>
      </c>
      <c r="AW361" s="12" t="e">
        <f t="shared" si="407"/>
        <v>#REF!</v>
      </c>
      <c r="AX361" s="12" t="e">
        <f t="shared" si="408"/>
        <v>#REF!</v>
      </c>
      <c r="AY361" s="49" t="s">
        <v>574</v>
      </c>
      <c r="AZ361" s="49" t="s">
        <v>854</v>
      </c>
      <c r="BA361" s="10" t="s">
        <v>855</v>
      </c>
      <c r="BC361" s="12" t="e">
        <f t="shared" si="409"/>
        <v>#REF!</v>
      </c>
      <c r="BD361" s="12" t="e">
        <f t="shared" si="410"/>
        <v>#REF!</v>
      </c>
      <c r="BE361" s="12">
        <v>0</v>
      </c>
      <c r="BF361" s="12" t="e">
        <f t="shared" si="411"/>
        <v>#REF!</v>
      </c>
      <c r="BH361" s="12" t="e">
        <f t="shared" si="412"/>
        <v>#REF!</v>
      </c>
      <c r="BI361" s="12" t="e">
        <f t="shared" si="413"/>
        <v>#REF!</v>
      </c>
      <c r="BJ361" s="12" t="e">
        <f t="shared" si="414"/>
        <v>#REF!</v>
      </c>
      <c r="BK361" s="12"/>
      <c r="BL361" s="12">
        <v>0</v>
      </c>
      <c r="BW361" s="12" t="str">
        <f t="shared" si="415"/>
        <v>21</v>
      </c>
      <c r="BX361" s="3" t="s">
        <v>122</v>
      </c>
    </row>
    <row r="362" spans="1:76">
      <c r="A362" s="46" t="s">
        <v>21</v>
      </c>
      <c r="B362" s="9" t="s">
        <v>852</v>
      </c>
      <c r="C362" s="9" t="s">
        <v>59</v>
      </c>
      <c r="D362" s="359" t="s">
        <v>60</v>
      </c>
      <c r="E362" s="360"/>
      <c r="F362" s="47" t="s">
        <v>20</v>
      </c>
      <c r="G362" s="47" t="s">
        <v>20</v>
      </c>
      <c r="H362" s="47" t="s">
        <v>20</v>
      </c>
      <c r="I362" s="47" t="s">
        <v>20</v>
      </c>
      <c r="J362" s="11" t="e">
        <f>SUM(J363:J363)</f>
        <v>#REF!</v>
      </c>
      <c r="K362" s="11" t="e">
        <f>SUM(K363:K363)</f>
        <v>#REF!</v>
      </c>
      <c r="L362" s="11" t="e">
        <f>SUM(L363:L363)</f>
        <v>#REF!</v>
      </c>
      <c r="M362" s="11" t="e">
        <f>SUM(M363:M363)</f>
        <v>#REF!</v>
      </c>
      <c r="N362" s="10" t="s">
        <v>21</v>
      </c>
      <c r="O362" s="11" t="e">
        <f>SUM(O363:O363)</f>
        <v>#REF!</v>
      </c>
      <c r="P362" s="48" t="s">
        <v>21</v>
      </c>
      <c r="AI362" s="10" t="s">
        <v>852</v>
      </c>
      <c r="AS362" s="11">
        <f>SUM(AJ363:AJ363)</f>
        <v>0</v>
      </c>
      <c r="AT362" s="11">
        <f>SUM(AK363:AK363)</f>
        <v>0</v>
      </c>
      <c r="AU362" s="11" t="e">
        <f>SUM(AL363:AL363)</f>
        <v>#REF!</v>
      </c>
    </row>
    <row r="363" spans="1:76">
      <c r="A363" s="1" t="s">
        <v>864</v>
      </c>
      <c r="B363" s="2" t="s">
        <v>852</v>
      </c>
      <c r="C363" s="2" t="s">
        <v>61</v>
      </c>
      <c r="D363" s="349" t="s">
        <v>62</v>
      </c>
      <c r="E363" s="342"/>
      <c r="F363" s="2" t="s">
        <v>63</v>
      </c>
      <c r="G363" s="12" t="e">
        <f>#REF!</f>
        <v>#REF!</v>
      </c>
      <c r="H363" s="12" t="e">
        <f>#REF!</f>
        <v>#REF!</v>
      </c>
      <c r="I363" s="49" t="s">
        <v>554</v>
      </c>
      <c r="J363" s="12" t="e">
        <f>G363*AO363</f>
        <v>#REF!</v>
      </c>
      <c r="K363" s="12" t="e">
        <f>G363*AP363</f>
        <v>#REF!</v>
      </c>
      <c r="L363" s="12" t="e">
        <f>G363*H363</f>
        <v>#REF!</v>
      </c>
      <c r="M363" s="12" t="e">
        <f>L363*(1+BW363/100)</f>
        <v>#REF!</v>
      </c>
      <c r="N363" s="12">
        <v>2.0999999999999999E-3</v>
      </c>
      <c r="O363" s="12" t="e">
        <f>G363*N363</f>
        <v>#REF!</v>
      </c>
      <c r="P363" s="50" t="s">
        <v>577</v>
      </c>
      <c r="Z363" s="12">
        <f>IF(AQ363="5",BJ363,0)</f>
        <v>0</v>
      </c>
      <c r="AB363" s="12">
        <f>IF(AQ363="1",BH363,0)</f>
        <v>0</v>
      </c>
      <c r="AC363" s="12">
        <f>IF(AQ363="1",BI363,0)</f>
        <v>0</v>
      </c>
      <c r="AD363" s="12" t="e">
        <f>IF(AQ363="7",BH363,0)</f>
        <v>#REF!</v>
      </c>
      <c r="AE363" s="12" t="e">
        <f>IF(AQ363="7",BI363,0)</f>
        <v>#REF!</v>
      </c>
      <c r="AF363" s="12">
        <f>IF(AQ363="2",BH363,0)</f>
        <v>0</v>
      </c>
      <c r="AG363" s="12">
        <f>IF(AQ363="2",BI363,0)</f>
        <v>0</v>
      </c>
      <c r="AH363" s="12">
        <f>IF(AQ363="0",BJ363,0)</f>
        <v>0</v>
      </c>
      <c r="AI363" s="10" t="s">
        <v>852</v>
      </c>
      <c r="AJ363" s="12">
        <f>IF(AN363=0,L363,0)</f>
        <v>0</v>
      </c>
      <c r="AK363" s="12">
        <f>IF(AN363=12,L363,0)</f>
        <v>0</v>
      </c>
      <c r="AL363" s="12" t="e">
        <f>IF(AN363=21,L363,0)</f>
        <v>#REF!</v>
      </c>
      <c r="AN363" s="12">
        <v>21</v>
      </c>
      <c r="AO363" s="12" t="e">
        <f>H363*0</f>
        <v>#REF!</v>
      </c>
      <c r="AP363" s="12" t="e">
        <f>H363*(1-0)</f>
        <v>#REF!</v>
      </c>
      <c r="AQ363" s="49" t="s">
        <v>567</v>
      </c>
      <c r="AV363" s="12" t="e">
        <f>AW363+AX363</f>
        <v>#REF!</v>
      </c>
      <c r="AW363" s="12" t="e">
        <f>G363*AO363</f>
        <v>#REF!</v>
      </c>
      <c r="AX363" s="12" t="e">
        <f>G363*AP363</f>
        <v>#REF!</v>
      </c>
      <c r="AY363" s="49" t="s">
        <v>578</v>
      </c>
      <c r="AZ363" s="49" t="s">
        <v>865</v>
      </c>
      <c r="BA363" s="10" t="s">
        <v>855</v>
      </c>
      <c r="BC363" s="12" t="e">
        <f>AW363+AX363</f>
        <v>#REF!</v>
      </c>
      <c r="BD363" s="12" t="e">
        <f>H363/(100-BE363)*100</f>
        <v>#REF!</v>
      </c>
      <c r="BE363" s="12">
        <v>0</v>
      </c>
      <c r="BF363" s="12" t="e">
        <f>O363</f>
        <v>#REF!</v>
      </c>
      <c r="BH363" s="12" t="e">
        <f>G363*AO363</f>
        <v>#REF!</v>
      </c>
      <c r="BI363" s="12" t="e">
        <f>G363*AP363</f>
        <v>#REF!</v>
      </c>
      <c r="BJ363" s="12" t="e">
        <f>G363*H363</f>
        <v>#REF!</v>
      </c>
      <c r="BK363" s="12"/>
      <c r="BL363" s="12">
        <v>713</v>
      </c>
      <c r="BW363" s="12" t="str">
        <f>I363</f>
        <v>21</v>
      </c>
      <c r="BX363" s="3" t="s">
        <v>62</v>
      </c>
    </row>
    <row r="364" spans="1:76">
      <c r="A364" s="46" t="s">
        <v>21</v>
      </c>
      <c r="B364" s="9" t="s">
        <v>852</v>
      </c>
      <c r="C364" s="9" t="s">
        <v>126</v>
      </c>
      <c r="D364" s="359" t="s">
        <v>127</v>
      </c>
      <c r="E364" s="360"/>
      <c r="F364" s="47" t="s">
        <v>20</v>
      </c>
      <c r="G364" s="47" t="s">
        <v>20</v>
      </c>
      <c r="H364" s="47" t="s">
        <v>20</v>
      </c>
      <c r="I364" s="47" t="s">
        <v>20</v>
      </c>
      <c r="J364" s="11" t="e">
        <f>SUM(J365:J379)</f>
        <v>#REF!</v>
      </c>
      <c r="K364" s="11" t="e">
        <f>SUM(K365:K379)</f>
        <v>#REF!</v>
      </c>
      <c r="L364" s="11" t="e">
        <f>SUM(L365:L379)</f>
        <v>#REF!</v>
      </c>
      <c r="M364" s="11" t="e">
        <f>SUM(M365:M379)</f>
        <v>#REF!</v>
      </c>
      <c r="N364" s="10" t="s">
        <v>21</v>
      </c>
      <c r="O364" s="11" t="e">
        <f>SUM(O365:O379)</f>
        <v>#REF!</v>
      </c>
      <c r="P364" s="48" t="s">
        <v>21</v>
      </c>
      <c r="AI364" s="10" t="s">
        <v>852</v>
      </c>
      <c r="AS364" s="11">
        <f>SUM(AJ365:AJ379)</f>
        <v>0</v>
      </c>
      <c r="AT364" s="11">
        <f>SUM(AK365:AK379)</f>
        <v>0</v>
      </c>
      <c r="AU364" s="11" t="e">
        <f>SUM(AL365:AL379)</f>
        <v>#REF!</v>
      </c>
    </row>
    <row r="365" spans="1:76">
      <c r="A365" s="1" t="s">
        <v>866</v>
      </c>
      <c r="B365" s="2" t="s">
        <v>852</v>
      </c>
      <c r="C365" s="2" t="s">
        <v>357</v>
      </c>
      <c r="D365" s="349" t="s">
        <v>358</v>
      </c>
      <c r="E365" s="342"/>
      <c r="F365" s="2" t="s">
        <v>68</v>
      </c>
      <c r="G365" s="12" t="e">
        <f>#REF!</f>
        <v>#REF!</v>
      </c>
      <c r="H365" s="12" t="e">
        <f>#REF!</f>
        <v>#REF!</v>
      </c>
      <c r="I365" s="49" t="s">
        <v>554</v>
      </c>
      <c r="J365" s="12" t="e">
        <f>G365*AO365</f>
        <v>#REF!</v>
      </c>
      <c r="K365" s="12" t="e">
        <f>G365*AP365</f>
        <v>#REF!</v>
      </c>
      <c r="L365" s="12" t="e">
        <f>G365*H365</f>
        <v>#REF!</v>
      </c>
      <c r="M365" s="12" t="e">
        <f>L365*(1+BW365/100)</f>
        <v>#REF!</v>
      </c>
      <c r="N365" s="12">
        <v>2.4399999999999999E-3</v>
      </c>
      <c r="O365" s="12" t="e">
        <f>G365*N365</f>
        <v>#REF!</v>
      </c>
      <c r="P365" s="50" t="s">
        <v>577</v>
      </c>
      <c r="Z365" s="12">
        <f>IF(AQ365="5",BJ365,0)</f>
        <v>0</v>
      </c>
      <c r="AB365" s="12">
        <f>IF(AQ365="1",BH365,0)</f>
        <v>0</v>
      </c>
      <c r="AC365" s="12">
        <f>IF(AQ365="1",BI365,0)</f>
        <v>0</v>
      </c>
      <c r="AD365" s="12" t="e">
        <f>IF(AQ365="7",BH365,0)</f>
        <v>#REF!</v>
      </c>
      <c r="AE365" s="12" t="e">
        <f>IF(AQ365="7",BI365,0)</f>
        <v>#REF!</v>
      </c>
      <c r="AF365" s="12">
        <f>IF(AQ365="2",BH365,0)</f>
        <v>0</v>
      </c>
      <c r="AG365" s="12">
        <f>IF(AQ365="2",BI365,0)</f>
        <v>0</v>
      </c>
      <c r="AH365" s="12">
        <f>IF(AQ365="0",BJ365,0)</f>
        <v>0</v>
      </c>
      <c r="AI365" s="10" t="s">
        <v>852</v>
      </c>
      <c r="AJ365" s="12">
        <f>IF(AN365=0,L365,0)</f>
        <v>0</v>
      </c>
      <c r="AK365" s="12">
        <f>IF(AN365=12,L365,0)</f>
        <v>0</v>
      </c>
      <c r="AL365" s="12" t="e">
        <f>IF(AN365=21,L365,0)</f>
        <v>#REF!</v>
      </c>
      <c r="AN365" s="12">
        <v>21</v>
      </c>
      <c r="AO365" s="12" t="e">
        <f>H365*0</f>
        <v>#REF!</v>
      </c>
      <c r="AP365" s="12" t="e">
        <f>H365*(1-0)</f>
        <v>#REF!</v>
      </c>
      <c r="AQ365" s="49" t="s">
        <v>567</v>
      </c>
      <c r="AV365" s="12" t="e">
        <f>AW365+AX365</f>
        <v>#REF!</v>
      </c>
      <c r="AW365" s="12" t="e">
        <f>G365*AO365</f>
        <v>#REF!</v>
      </c>
      <c r="AX365" s="12" t="e">
        <f>G365*AP365</f>
        <v>#REF!</v>
      </c>
      <c r="AY365" s="49" t="s">
        <v>610</v>
      </c>
      <c r="AZ365" s="49" t="s">
        <v>867</v>
      </c>
      <c r="BA365" s="10" t="s">
        <v>855</v>
      </c>
      <c r="BC365" s="12" t="e">
        <f>AW365+AX365</f>
        <v>#REF!</v>
      </c>
      <c r="BD365" s="12" t="e">
        <f>H365/(100-BE365)*100</f>
        <v>#REF!</v>
      </c>
      <c r="BE365" s="12">
        <v>0</v>
      </c>
      <c r="BF365" s="12" t="e">
        <f>O365</f>
        <v>#REF!</v>
      </c>
      <c r="BH365" s="12" t="e">
        <f>G365*AO365</f>
        <v>#REF!</v>
      </c>
      <c r="BI365" s="12" t="e">
        <f>G365*AP365</f>
        <v>#REF!</v>
      </c>
      <c r="BJ365" s="12" t="e">
        <f>G365*H365</f>
        <v>#REF!</v>
      </c>
      <c r="BK365" s="12"/>
      <c r="BL365" s="12">
        <v>722</v>
      </c>
      <c r="BW365" s="12" t="str">
        <f>I365</f>
        <v>21</v>
      </c>
      <c r="BX365" s="3" t="s">
        <v>358</v>
      </c>
    </row>
    <row r="366" spans="1:76">
      <c r="A366" s="1" t="s">
        <v>868</v>
      </c>
      <c r="B366" s="2" t="s">
        <v>852</v>
      </c>
      <c r="C366" s="2" t="s">
        <v>359</v>
      </c>
      <c r="D366" s="349" t="s">
        <v>360</v>
      </c>
      <c r="E366" s="342"/>
      <c r="F366" s="2" t="s">
        <v>63</v>
      </c>
      <c r="G366" s="12" t="e">
        <f>#REF!</f>
        <v>#REF!</v>
      </c>
      <c r="H366" s="12" t="e">
        <f>#REF!</f>
        <v>#REF!</v>
      </c>
      <c r="I366" s="49" t="s">
        <v>554</v>
      </c>
      <c r="J366" s="12" t="e">
        <f>G366*AO366</f>
        <v>#REF!</v>
      </c>
      <c r="K366" s="12" t="e">
        <f>G366*AP366</f>
        <v>#REF!</v>
      </c>
      <c r="L366" s="12" t="e">
        <f>G366*H366</f>
        <v>#REF!</v>
      </c>
      <c r="M366" s="12" t="e">
        <f>L366*(1+BW366/100)</f>
        <v>#REF!</v>
      </c>
      <c r="N366" s="12">
        <v>2.9E-4</v>
      </c>
      <c r="O366" s="12" t="e">
        <f>G366*N366</f>
        <v>#REF!</v>
      </c>
      <c r="P366" s="50" t="s">
        <v>577</v>
      </c>
      <c r="Z366" s="12">
        <f>IF(AQ366="5",BJ366,0)</f>
        <v>0</v>
      </c>
      <c r="AB366" s="12">
        <f>IF(AQ366="1",BH366,0)</f>
        <v>0</v>
      </c>
      <c r="AC366" s="12">
        <f>IF(AQ366="1",BI366,0)</f>
        <v>0</v>
      </c>
      <c r="AD366" s="12" t="e">
        <f>IF(AQ366="7",BH366,0)</f>
        <v>#REF!</v>
      </c>
      <c r="AE366" s="12" t="e">
        <f>IF(AQ366="7",BI366,0)</f>
        <v>#REF!</v>
      </c>
      <c r="AF366" s="12">
        <f>IF(AQ366="2",BH366,0)</f>
        <v>0</v>
      </c>
      <c r="AG366" s="12">
        <f>IF(AQ366="2",BI366,0)</f>
        <v>0</v>
      </c>
      <c r="AH366" s="12">
        <f>IF(AQ366="0",BJ366,0)</f>
        <v>0</v>
      </c>
      <c r="AI366" s="10" t="s">
        <v>852</v>
      </c>
      <c r="AJ366" s="12">
        <f>IF(AN366=0,L366,0)</f>
        <v>0</v>
      </c>
      <c r="AK366" s="12">
        <f>IF(AN366=12,L366,0)</f>
        <v>0</v>
      </c>
      <c r="AL366" s="12" t="e">
        <f>IF(AN366=21,L366,0)</f>
        <v>#REF!</v>
      </c>
      <c r="AN366" s="12">
        <v>21</v>
      </c>
      <c r="AO366" s="12" t="e">
        <f>H366*0</f>
        <v>#REF!</v>
      </c>
      <c r="AP366" s="12" t="e">
        <f>H366*(1-0)</f>
        <v>#REF!</v>
      </c>
      <c r="AQ366" s="49" t="s">
        <v>567</v>
      </c>
      <c r="AV366" s="12" t="e">
        <f>AW366+AX366</f>
        <v>#REF!</v>
      </c>
      <c r="AW366" s="12" t="e">
        <f>G366*AO366</f>
        <v>#REF!</v>
      </c>
      <c r="AX366" s="12" t="e">
        <f>G366*AP366</f>
        <v>#REF!</v>
      </c>
      <c r="AY366" s="49" t="s">
        <v>610</v>
      </c>
      <c r="AZ366" s="49" t="s">
        <v>867</v>
      </c>
      <c r="BA366" s="10" t="s">
        <v>855</v>
      </c>
      <c r="BC366" s="12" t="e">
        <f>AW366+AX366</f>
        <v>#REF!</v>
      </c>
      <c r="BD366" s="12" t="e">
        <f>H366/(100-BE366)*100</f>
        <v>#REF!</v>
      </c>
      <c r="BE366" s="12">
        <v>0</v>
      </c>
      <c r="BF366" s="12" t="e">
        <f>O366</f>
        <v>#REF!</v>
      </c>
      <c r="BH366" s="12" t="e">
        <f>G366*AO366</f>
        <v>#REF!</v>
      </c>
      <c r="BI366" s="12" t="e">
        <f>G366*AP366</f>
        <v>#REF!</v>
      </c>
      <c r="BJ366" s="12" t="e">
        <f>G366*H366</f>
        <v>#REF!</v>
      </c>
      <c r="BK366" s="12"/>
      <c r="BL366" s="12">
        <v>722</v>
      </c>
      <c r="BW366" s="12" t="str">
        <f>I366</f>
        <v>21</v>
      </c>
      <c r="BX366" s="3" t="s">
        <v>360</v>
      </c>
    </row>
    <row r="367" spans="1:76">
      <c r="A367" s="1" t="s">
        <v>869</v>
      </c>
      <c r="B367" s="2" t="s">
        <v>852</v>
      </c>
      <c r="C367" s="2" t="s">
        <v>361</v>
      </c>
      <c r="D367" s="349" t="s">
        <v>362</v>
      </c>
      <c r="E367" s="342"/>
      <c r="F367" s="2" t="s">
        <v>68</v>
      </c>
      <c r="G367" s="12" t="e">
        <f>#REF!</f>
        <v>#REF!</v>
      </c>
      <c r="H367" s="12" t="e">
        <f>#REF!</f>
        <v>#REF!</v>
      </c>
      <c r="I367" s="49" t="s">
        <v>554</v>
      </c>
      <c r="J367" s="12" t="e">
        <f>G367*AO367</f>
        <v>#REF!</v>
      </c>
      <c r="K367" s="12" t="e">
        <f>G367*AP367</f>
        <v>#REF!</v>
      </c>
      <c r="L367" s="12" t="e">
        <f>G367*H367</f>
        <v>#REF!</v>
      </c>
      <c r="M367" s="12" t="e">
        <f>L367*(1+BW367/100)</f>
        <v>#REF!</v>
      </c>
      <c r="N367" s="12">
        <v>6.0200000000000002E-3</v>
      </c>
      <c r="O367" s="12" t="e">
        <f>G367*N367</f>
        <v>#REF!</v>
      </c>
      <c r="P367" s="50" t="s">
        <v>577</v>
      </c>
      <c r="Z367" s="12">
        <f>IF(AQ367="5",BJ367,0)</f>
        <v>0</v>
      </c>
      <c r="AB367" s="12">
        <f>IF(AQ367="1",BH367,0)</f>
        <v>0</v>
      </c>
      <c r="AC367" s="12">
        <f>IF(AQ367="1",BI367,0)</f>
        <v>0</v>
      </c>
      <c r="AD367" s="12" t="e">
        <f>IF(AQ367="7",BH367,0)</f>
        <v>#REF!</v>
      </c>
      <c r="AE367" s="12" t="e">
        <f>IF(AQ367="7",BI367,0)</f>
        <v>#REF!</v>
      </c>
      <c r="AF367" s="12">
        <f>IF(AQ367="2",BH367,0)</f>
        <v>0</v>
      </c>
      <c r="AG367" s="12">
        <f>IF(AQ367="2",BI367,0)</f>
        <v>0</v>
      </c>
      <c r="AH367" s="12">
        <f>IF(AQ367="0",BJ367,0)</f>
        <v>0</v>
      </c>
      <c r="AI367" s="10" t="s">
        <v>852</v>
      </c>
      <c r="AJ367" s="12">
        <f>IF(AN367=0,L367,0)</f>
        <v>0</v>
      </c>
      <c r="AK367" s="12">
        <f>IF(AN367=12,L367,0)</f>
        <v>0</v>
      </c>
      <c r="AL367" s="12" t="e">
        <f>IF(AN367=21,L367,0)</f>
        <v>#REF!</v>
      </c>
      <c r="AN367" s="12">
        <v>21</v>
      </c>
      <c r="AO367" s="12" t="e">
        <f>H367*0.591079336</f>
        <v>#REF!</v>
      </c>
      <c r="AP367" s="12" t="e">
        <f>H367*(1-0.591079336)</f>
        <v>#REF!</v>
      </c>
      <c r="AQ367" s="49" t="s">
        <v>567</v>
      </c>
      <c r="AV367" s="12" t="e">
        <f>AW367+AX367</f>
        <v>#REF!</v>
      </c>
      <c r="AW367" s="12" t="e">
        <f>G367*AO367</f>
        <v>#REF!</v>
      </c>
      <c r="AX367" s="12" t="e">
        <f>G367*AP367</f>
        <v>#REF!</v>
      </c>
      <c r="AY367" s="49" t="s">
        <v>610</v>
      </c>
      <c r="AZ367" s="49" t="s">
        <v>867</v>
      </c>
      <c r="BA367" s="10" t="s">
        <v>855</v>
      </c>
      <c r="BC367" s="12" t="e">
        <f>AW367+AX367</f>
        <v>#REF!</v>
      </c>
      <c r="BD367" s="12" t="e">
        <f>H367/(100-BE367)*100</f>
        <v>#REF!</v>
      </c>
      <c r="BE367" s="12">
        <v>0</v>
      </c>
      <c r="BF367" s="12" t="e">
        <f>O367</f>
        <v>#REF!</v>
      </c>
      <c r="BH367" s="12" t="e">
        <f>G367*AO367</f>
        <v>#REF!</v>
      </c>
      <c r="BI367" s="12" t="e">
        <f>G367*AP367</f>
        <v>#REF!</v>
      </c>
      <c r="BJ367" s="12" t="e">
        <f>G367*H367</f>
        <v>#REF!</v>
      </c>
      <c r="BK367" s="12"/>
      <c r="BL367" s="12">
        <v>722</v>
      </c>
      <c r="BW367" s="12" t="str">
        <f>I367</f>
        <v>21</v>
      </c>
      <c r="BX367" s="3" t="s">
        <v>362</v>
      </c>
    </row>
    <row r="368" spans="1:76">
      <c r="A368" s="1" t="s">
        <v>870</v>
      </c>
      <c r="B368" s="2" t="s">
        <v>852</v>
      </c>
      <c r="C368" s="2" t="s">
        <v>136</v>
      </c>
      <c r="D368" s="349" t="s">
        <v>137</v>
      </c>
      <c r="E368" s="342"/>
      <c r="F368" s="2" t="s">
        <v>63</v>
      </c>
      <c r="G368" s="12" t="e">
        <f>#REF!</f>
        <v>#REF!</v>
      </c>
      <c r="H368" s="12" t="e">
        <f>#REF!</f>
        <v>#REF!</v>
      </c>
      <c r="I368" s="49" t="s">
        <v>554</v>
      </c>
      <c r="J368" s="12" t="e">
        <f>G368*AO368</f>
        <v>#REF!</v>
      </c>
      <c r="K368" s="12" t="e">
        <f>G368*AP368</f>
        <v>#REF!</v>
      </c>
      <c r="L368" s="12" t="e">
        <f>G368*H368</f>
        <v>#REF!</v>
      </c>
      <c r="M368" s="12" t="e">
        <f>L368*(1+BW368/100)</f>
        <v>#REF!</v>
      </c>
      <c r="N368" s="12">
        <v>5.3499999999999997E-3</v>
      </c>
      <c r="O368" s="12" t="e">
        <f>G368*N368</f>
        <v>#REF!</v>
      </c>
      <c r="P368" s="50" t="s">
        <v>577</v>
      </c>
      <c r="Z368" s="12">
        <f>IF(AQ368="5",BJ368,0)</f>
        <v>0</v>
      </c>
      <c r="AB368" s="12">
        <f>IF(AQ368="1",BH368,0)</f>
        <v>0</v>
      </c>
      <c r="AC368" s="12">
        <f>IF(AQ368="1",BI368,0)</f>
        <v>0</v>
      </c>
      <c r="AD368" s="12" t="e">
        <f>IF(AQ368="7",BH368,0)</f>
        <v>#REF!</v>
      </c>
      <c r="AE368" s="12" t="e">
        <f>IF(AQ368="7",BI368,0)</f>
        <v>#REF!</v>
      </c>
      <c r="AF368" s="12">
        <f>IF(AQ368="2",BH368,0)</f>
        <v>0</v>
      </c>
      <c r="AG368" s="12">
        <f>IF(AQ368="2",BI368,0)</f>
        <v>0</v>
      </c>
      <c r="AH368" s="12">
        <f>IF(AQ368="0",BJ368,0)</f>
        <v>0</v>
      </c>
      <c r="AI368" s="10" t="s">
        <v>852</v>
      </c>
      <c r="AJ368" s="12">
        <f>IF(AN368=0,L368,0)</f>
        <v>0</v>
      </c>
      <c r="AK368" s="12">
        <f>IF(AN368=12,L368,0)</f>
        <v>0</v>
      </c>
      <c r="AL368" s="12" t="e">
        <f>IF(AN368=21,L368,0)</f>
        <v>#REF!</v>
      </c>
      <c r="AN368" s="12">
        <v>21</v>
      </c>
      <c r="AO368" s="12" t="e">
        <f>H368*0.334193548</f>
        <v>#REF!</v>
      </c>
      <c r="AP368" s="12" t="e">
        <f>H368*(1-0.334193548)</f>
        <v>#REF!</v>
      </c>
      <c r="AQ368" s="49" t="s">
        <v>567</v>
      </c>
      <c r="AV368" s="12" t="e">
        <f>AW368+AX368</f>
        <v>#REF!</v>
      </c>
      <c r="AW368" s="12" t="e">
        <f>G368*AO368</f>
        <v>#REF!</v>
      </c>
      <c r="AX368" s="12" t="e">
        <f>G368*AP368</f>
        <v>#REF!</v>
      </c>
      <c r="AY368" s="49" t="s">
        <v>610</v>
      </c>
      <c r="AZ368" s="49" t="s">
        <v>867</v>
      </c>
      <c r="BA368" s="10" t="s">
        <v>855</v>
      </c>
      <c r="BC368" s="12" t="e">
        <f>AW368+AX368</f>
        <v>#REF!</v>
      </c>
      <c r="BD368" s="12" t="e">
        <f>H368/(100-BE368)*100</f>
        <v>#REF!</v>
      </c>
      <c r="BE368" s="12">
        <v>0</v>
      </c>
      <c r="BF368" s="12" t="e">
        <f>O368</f>
        <v>#REF!</v>
      </c>
      <c r="BH368" s="12" t="e">
        <f>G368*AO368</f>
        <v>#REF!</v>
      </c>
      <c r="BI368" s="12" t="e">
        <f>G368*AP368</f>
        <v>#REF!</v>
      </c>
      <c r="BJ368" s="12" t="e">
        <f>G368*H368</f>
        <v>#REF!</v>
      </c>
      <c r="BK368" s="12"/>
      <c r="BL368" s="12">
        <v>722</v>
      </c>
      <c r="BW368" s="12" t="str">
        <f>I368</f>
        <v>21</v>
      </c>
      <c r="BX368" s="3" t="s">
        <v>137</v>
      </c>
    </row>
    <row r="369" spans="1:76">
      <c r="A369" s="1" t="s">
        <v>871</v>
      </c>
      <c r="B369" s="2" t="s">
        <v>852</v>
      </c>
      <c r="C369" s="2" t="s">
        <v>143</v>
      </c>
      <c r="D369" s="349" t="s">
        <v>363</v>
      </c>
      <c r="E369" s="342"/>
      <c r="F369" s="2" t="s">
        <v>63</v>
      </c>
      <c r="G369" s="12" t="e">
        <f>#REF!</f>
        <v>#REF!</v>
      </c>
      <c r="H369" s="12" t="e">
        <f>#REF!</f>
        <v>#REF!</v>
      </c>
      <c r="I369" s="49" t="s">
        <v>554</v>
      </c>
      <c r="J369" s="12" t="e">
        <f>G369*AO369</f>
        <v>#REF!</v>
      </c>
      <c r="K369" s="12" t="e">
        <f>G369*AP369</f>
        <v>#REF!</v>
      </c>
      <c r="L369" s="12" t="e">
        <f>G369*H369</f>
        <v>#REF!</v>
      </c>
      <c r="M369" s="12" t="e">
        <f>L369*(1+BW369/100)</f>
        <v>#REF!</v>
      </c>
      <c r="N369" s="12">
        <v>6.9999999999999994E-5</v>
      </c>
      <c r="O369" s="12" t="e">
        <f>G369*N369</f>
        <v>#REF!</v>
      </c>
      <c r="P369" s="50" t="s">
        <v>577</v>
      </c>
      <c r="Z369" s="12">
        <f>IF(AQ369="5",BJ369,0)</f>
        <v>0</v>
      </c>
      <c r="AB369" s="12">
        <f>IF(AQ369="1",BH369,0)</f>
        <v>0</v>
      </c>
      <c r="AC369" s="12">
        <f>IF(AQ369="1",BI369,0)</f>
        <v>0</v>
      </c>
      <c r="AD369" s="12" t="e">
        <f>IF(AQ369="7",BH369,0)</f>
        <v>#REF!</v>
      </c>
      <c r="AE369" s="12" t="e">
        <f>IF(AQ369="7",BI369,0)</f>
        <v>#REF!</v>
      </c>
      <c r="AF369" s="12">
        <f>IF(AQ369="2",BH369,0)</f>
        <v>0</v>
      </c>
      <c r="AG369" s="12">
        <f>IF(AQ369="2",BI369,0)</f>
        <v>0</v>
      </c>
      <c r="AH369" s="12">
        <f>IF(AQ369="0",BJ369,0)</f>
        <v>0</v>
      </c>
      <c r="AI369" s="10" t="s">
        <v>852</v>
      </c>
      <c r="AJ369" s="12">
        <f>IF(AN369=0,L369,0)</f>
        <v>0</v>
      </c>
      <c r="AK369" s="12">
        <f>IF(AN369=12,L369,0)</f>
        <v>0</v>
      </c>
      <c r="AL369" s="12" t="e">
        <f>IF(AN369=21,L369,0)</f>
        <v>#REF!</v>
      </c>
      <c r="AN369" s="12">
        <v>21</v>
      </c>
      <c r="AO369" s="12" t="e">
        <f>H369*0.599757869</f>
        <v>#REF!</v>
      </c>
      <c r="AP369" s="12" t="e">
        <f>H369*(1-0.599757869)</f>
        <v>#REF!</v>
      </c>
      <c r="AQ369" s="49" t="s">
        <v>567</v>
      </c>
      <c r="AV369" s="12" t="e">
        <f>AW369+AX369</f>
        <v>#REF!</v>
      </c>
      <c r="AW369" s="12" t="e">
        <f>G369*AO369</f>
        <v>#REF!</v>
      </c>
      <c r="AX369" s="12" t="e">
        <f>G369*AP369</f>
        <v>#REF!</v>
      </c>
      <c r="AY369" s="49" t="s">
        <v>610</v>
      </c>
      <c r="AZ369" s="49" t="s">
        <v>867</v>
      </c>
      <c r="BA369" s="10" t="s">
        <v>855</v>
      </c>
      <c r="BC369" s="12" t="e">
        <f>AW369+AX369</f>
        <v>#REF!</v>
      </c>
      <c r="BD369" s="12" t="e">
        <f>H369/(100-BE369)*100</f>
        <v>#REF!</v>
      </c>
      <c r="BE369" s="12">
        <v>0</v>
      </c>
      <c r="BF369" s="12" t="e">
        <f>O369</f>
        <v>#REF!</v>
      </c>
      <c r="BH369" s="12" t="e">
        <f>G369*AO369</f>
        <v>#REF!</v>
      </c>
      <c r="BI369" s="12" t="e">
        <f>G369*AP369</f>
        <v>#REF!</v>
      </c>
      <c r="BJ369" s="12" t="e">
        <f>G369*H369</f>
        <v>#REF!</v>
      </c>
      <c r="BK369" s="12"/>
      <c r="BL369" s="12">
        <v>722</v>
      </c>
      <c r="BW369" s="12" t="str">
        <f>I369</f>
        <v>21</v>
      </c>
      <c r="BX369" s="3" t="s">
        <v>363</v>
      </c>
    </row>
    <row r="370" spans="1:76">
      <c r="A370" s="51"/>
      <c r="C370" s="13" t="s">
        <v>117</v>
      </c>
      <c r="D370" s="363" t="s">
        <v>142</v>
      </c>
      <c r="E370" s="364"/>
      <c r="F370" s="364"/>
      <c r="G370" s="364"/>
      <c r="H370" s="364"/>
      <c r="I370" s="364"/>
      <c r="J370" s="364"/>
      <c r="K370" s="364"/>
      <c r="L370" s="364"/>
      <c r="M370" s="364"/>
      <c r="N370" s="364"/>
      <c r="O370" s="364"/>
      <c r="P370" s="365"/>
      <c r="BX370" s="14" t="s">
        <v>142</v>
      </c>
    </row>
    <row r="371" spans="1:76">
      <c r="A371" s="1" t="s">
        <v>872</v>
      </c>
      <c r="B371" s="2" t="s">
        <v>852</v>
      </c>
      <c r="C371" s="2" t="s">
        <v>364</v>
      </c>
      <c r="D371" s="349" t="s">
        <v>365</v>
      </c>
      <c r="E371" s="342"/>
      <c r="F371" s="2" t="s">
        <v>63</v>
      </c>
      <c r="G371" s="12" t="e">
        <f>#REF!</f>
        <v>#REF!</v>
      </c>
      <c r="H371" s="12" t="e">
        <f>#REF!</f>
        <v>#REF!</v>
      </c>
      <c r="I371" s="49" t="s">
        <v>554</v>
      </c>
      <c r="J371" s="12" t="e">
        <f t="shared" ref="J371:J379" si="416">G371*AO371</f>
        <v>#REF!</v>
      </c>
      <c r="K371" s="12" t="e">
        <f t="shared" ref="K371:K379" si="417">G371*AP371</f>
        <v>#REF!</v>
      </c>
      <c r="L371" s="12" t="e">
        <f t="shared" ref="L371:L379" si="418">G371*H371</f>
        <v>#REF!</v>
      </c>
      <c r="M371" s="12" t="e">
        <f t="shared" ref="M371:M379" si="419">L371*(1+BW371/100)</f>
        <v>#REF!</v>
      </c>
      <c r="N371" s="12">
        <v>4.0000000000000003E-5</v>
      </c>
      <c r="O371" s="12" t="e">
        <f t="shared" ref="O371:O379" si="420">G371*N371</f>
        <v>#REF!</v>
      </c>
      <c r="P371" s="50" t="s">
        <v>577</v>
      </c>
      <c r="Z371" s="12">
        <f t="shared" ref="Z371:Z379" si="421">IF(AQ371="5",BJ371,0)</f>
        <v>0</v>
      </c>
      <c r="AB371" s="12">
        <f t="shared" ref="AB371:AB379" si="422">IF(AQ371="1",BH371,0)</f>
        <v>0</v>
      </c>
      <c r="AC371" s="12">
        <f t="shared" ref="AC371:AC379" si="423">IF(AQ371="1",BI371,0)</f>
        <v>0</v>
      </c>
      <c r="AD371" s="12" t="e">
        <f t="shared" ref="AD371:AD379" si="424">IF(AQ371="7",BH371,0)</f>
        <v>#REF!</v>
      </c>
      <c r="AE371" s="12" t="e">
        <f t="shared" ref="AE371:AE379" si="425">IF(AQ371="7",BI371,0)</f>
        <v>#REF!</v>
      </c>
      <c r="AF371" s="12">
        <f t="shared" ref="AF371:AF379" si="426">IF(AQ371="2",BH371,0)</f>
        <v>0</v>
      </c>
      <c r="AG371" s="12">
        <f t="shared" ref="AG371:AG379" si="427">IF(AQ371="2",BI371,0)</f>
        <v>0</v>
      </c>
      <c r="AH371" s="12">
        <f t="shared" ref="AH371:AH379" si="428">IF(AQ371="0",BJ371,0)</f>
        <v>0</v>
      </c>
      <c r="AI371" s="10" t="s">
        <v>852</v>
      </c>
      <c r="AJ371" s="12">
        <f t="shared" ref="AJ371:AJ379" si="429">IF(AN371=0,L371,0)</f>
        <v>0</v>
      </c>
      <c r="AK371" s="12">
        <f t="shared" ref="AK371:AK379" si="430">IF(AN371=12,L371,0)</f>
        <v>0</v>
      </c>
      <c r="AL371" s="12" t="e">
        <f t="shared" ref="AL371:AL379" si="431">IF(AN371=21,L371,0)</f>
        <v>#REF!</v>
      </c>
      <c r="AN371" s="12">
        <v>21</v>
      </c>
      <c r="AO371" s="12" t="e">
        <f>H371*0.347100252</f>
        <v>#REF!</v>
      </c>
      <c r="AP371" s="12" t="e">
        <f>H371*(1-0.347100252)</f>
        <v>#REF!</v>
      </c>
      <c r="AQ371" s="49" t="s">
        <v>567</v>
      </c>
      <c r="AV371" s="12" t="e">
        <f t="shared" ref="AV371:AV379" si="432">AW371+AX371</f>
        <v>#REF!</v>
      </c>
      <c r="AW371" s="12" t="e">
        <f t="shared" ref="AW371:AW379" si="433">G371*AO371</f>
        <v>#REF!</v>
      </c>
      <c r="AX371" s="12" t="e">
        <f t="shared" ref="AX371:AX379" si="434">G371*AP371</f>
        <v>#REF!</v>
      </c>
      <c r="AY371" s="49" t="s">
        <v>610</v>
      </c>
      <c r="AZ371" s="49" t="s">
        <v>867</v>
      </c>
      <c r="BA371" s="10" t="s">
        <v>855</v>
      </c>
      <c r="BC371" s="12" t="e">
        <f t="shared" ref="BC371:BC379" si="435">AW371+AX371</f>
        <v>#REF!</v>
      </c>
      <c r="BD371" s="12" t="e">
        <f t="shared" ref="BD371:BD379" si="436">H371/(100-BE371)*100</f>
        <v>#REF!</v>
      </c>
      <c r="BE371" s="12">
        <v>0</v>
      </c>
      <c r="BF371" s="12" t="e">
        <f t="shared" ref="BF371:BF379" si="437">O371</f>
        <v>#REF!</v>
      </c>
      <c r="BH371" s="12" t="e">
        <f t="shared" ref="BH371:BH379" si="438">G371*AO371</f>
        <v>#REF!</v>
      </c>
      <c r="BI371" s="12" t="e">
        <f t="shared" ref="BI371:BI379" si="439">G371*AP371</f>
        <v>#REF!</v>
      </c>
      <c r="BJ371" s="12" t="e">
        <f t="shared" ref="BJ371:BJ379" si="440">G371*H371</f>
        <v>#REF!</v>
      </c>
      <c r="BK371" s="12"/>
      <c r="BL371" s="12">
        <v>722</v>
      </c>
      <c r="BW371" s="12" t="str">
        <f t="shared" ref="BW371:BW379" si="441">I371</f>
        <v>21</v>
      </c>
      <c r="BX371" s="3" t="s">
        <v>365</v>
      </c>
    </row>
    <row r="372" spans="1:76">
      <c r="A372" s="1" t="s">
        <v>873</v>
      </c>
      <c r="B372" s="2" t="s">
        <v>852</v>
      </c>
      <c r="C372" s="2" t="s">
        <v>366</v>
      </c>
      <c r="D372" s="349" t="s">
        <v>367</v>
      </c>
      <c r="E372" s="342"/>
      <c r="F372" s="2" t="s">
        <v>68</v>
      </c>
      <c r="G372" s="12" t="e">
        <f>#REF!</f>
        <v>#REF!</v>
      </c>
      <c r="H372" s="12" t="e">
        <f>#REF!</f>
        <v>#REF!</v>
      </c>
      <c r="I372" s="49" t="s">
        <v>554</v>
      </c>
      <c r="J372" s="12" t="e">
        <f t="shared" si="416"/>
        <v>#REF!</v>
      </c>
      <c r="K372" s="12" t="e">
        <f t="shared" si="417"/>
        <v>#REF!</v>
      </c>
      <c r="L372" s="12" t="e">
        <f t="shared" si="418"/>
        <v>#REF!</v>
      </c>
      <c r="M372" s="12" t="e">
        <f t="shared" si="419"/>
        <v>#REF!</v>
      </c>
      <c r="N372" s="12">
        <v>1E-3</v>
      </c>
      <c r="O372" s="12" t="e">
        <f t="shared" si="420"/>
        <v>#REF!</v>
      </c>
      <c r="P372" s="50" t="s">
        <v>577</v>
      </c>
      <c r="Z372" s="12">
        <f t="shared" si="421"/>
        <v>0</v>
      </c>
      <c r="AB372" s="12">
        <f t="shared" si="422"/>
        <v>0</v>
      </c>
      <c r="AC372" s="12">
        <f t="shared" si="423"/>
        <v>0</v>
      </c>
      <c r="AD372" s="12" t="e">
        <f t="shared" si="424"/>
        <v>#REF!</v>
      </c>
      <c r="AE372" s="12" t="e">
        <f t="shared" si="425"/>
        <v>#REF!</v>
      </c>
      <c r="AF372" s="12">
        <f t="shared" si="426"/>
        <v>0</v>
      </c>
      <c r="AG372" s="12">
        <f t="shared" si="427"/>
        <v>0</v>
      </c>
      <c r="AH372" s="12">
        <f t="shared" si="428"/>
        <v>0</v>
      </c>
      <c r="AI372" s="10" t="s">
        <v>852</v>
      </c>
      <c r="AJ372" s="12">
        <f t="shared" si="429"/>
        <v>0</v>
      </c>
      <c r="AK372" s="12">
        <f t="shared" si="430"/>
        <v>0</v>
      </c>
      <c r="AL372" s="12" t="e">
        <f t="shared" si="431"/>
        <v>#REF!</v>
      </c>
      <c r="AN372" s="12">
        <v>21</v>
      </c>
      <c r="AO372" s="12" t="e">
        <f>H372*0.945125475</f>
        <v>#REF!</v>
      </c>
      <c r="AP372" s="12" t="e">
        <f>H372*(1-0.945125475)</f>
        <v>#REF!</v>
      </c>
      <c r="AQ372" s="49" t="s">
        <v>567</v>
      </c>
      <c r="AV372" s="12" t="e">
        <f t="shared" si="432"/>
        <v>#REF!</v>
      </c>
      <c r="AW372" s="12" t="e">
        <f t="shared" si="433"/>
        <v>#REF!</v>
      </c>
      <c r="AX372" s="12" t="e">
        <f t="shared" si="434"/>
        <v>#REF!</v>
      </c>
      <c r="AY372" s="49" t="s">
        <v>610</v>
      </c>
      <c r="AZ372" s="49" t="s">
        <v>867</v>
      </c>
      <c r="BA372" s="10" t="s">
        <v>855</v>
      </c>
      <c r="BC372" s="12" t="e">
        <f t="shared" si="435"/>
        <v>#REF!</v>
      </c>
      <c r="BD372" s="12" t="e">
        <f t="shared" si="436"/>
        <v>#REF!</v>
      </c>
      <c r="BE372" s="12">
        <v>0</v>
      </c>
      <c r="BF372" s="12" t="e">
        <f t="shared" si="437"/>
        <v>#REF!</v>
      </c>
      <c r="BH372" s="12" t="e">
        <f t="shared" si="438"/>
        <v>#REF!</v>
      </c>
      <c r="BI372" s="12" t="e">
        <f t="shared" si="439"/>
        <v>#REF!</v>
      </c>
      <c r="BJ372" s="12" t="e">
        <f t="shared" si="440"/>
        <v>#REF!</v>
      </c>
      <c r="BK372" s="12"/>
      <c r="BL372" s="12">
        <v>722</v>
      </c>
      <c r="BW372" s="12" t="str">
        <f t="shared" si="441"/>
        <v>21</v>
      </c>
      <c r="BX372" s="3" t="s">
        <v>367</v>
      </c>
    </row>
    <row r="373" spans="1:76">
      <c r="A373" s="1" t="s">
        <v>874</v>
      </c>
      <c r="B373" s="2" t="s">
        <v>852</v>
      </c>
      <c r="C373" s="2" t="s">
        <v>368</v>
      </c>
      <c r="D373" s="349" t="s">
        <v>369</v>
      </c>
      <c r="E373" s="342"/>
      <c r="F373" s="2" t="s">
        <v>68</v>
      </c>
      <c r="G373" s="12" t="e">
        <f>#REF!</f>
        <v>#REF!</v>
      </c>
      <c r="H373" s="12" t="e">
        <f>#REF!</f>
        <v>#REF!</v>
      </c>
      <c r="I373" s="49" t="s">
        <v>554</v>
      </c>
      <c r="J373" s="12" t="e">
        <f t="shared" si="416"/>
        <v>#REF!</v>
      </c>
      <c r="K373" s="12" t="e">
        <f t="shared" si="417"/>
        <v>#REF!</v>
      </c>
      <c r="L373" s="12" t="e">
        <f t="shared" si="418"/>
        <v>#REF!</v>
      </c>
      <c r="M373" s="12" t="e">
        <f t="shared" si="419"/>
        <v>#REF!</v>
      </c>
      <c r="N373" s="12">
        <v>1.5E-3</v>
      </c>
      <c r="O373" s="12" t="e">
        <f t="shared" si="420"/>
        <v>#REF!</v>
      </c>
      <c r="P373" s="50" t="s">
        <v>577</v>
      </c>
      <c r="Z373" s="12">
        <f t="shared" si="421"/>
        <v>0</v>
      </c>
      <c r="AB373" s="12">
        <f t="shared" si="422"/>
        <v>0</v>
      </c>
      <c r="AC373" s="12">
        <f t="shared" si="423"/>
        <v>0</v>
      </c>
      <c r="AD373" s="12" t="e">
        <f t="shared" si="424"/>
        <v>#REF!</v>
      </c>
      <c r="AE373" s="12" t="e">
        <f t="shared" si="425"/>
        <v>#REF!</v>
      </c>
      <c r="AF373" s="12">
        <f t="shared" si="426"/>
        <v>0</v>
      </c>
      <c r="AG373" s="12">
        <f t="shared" si="427"/>
        <v>0</v>
      </c>
      <c r="AH373" s="12">
        <f t="shared" si="428"/>
        <v>0</v>
      </c>
      <c r="AI373" s="10" t="s">
        <v>852</v>
      </c>
      <c r="AJ373" s="12">
        <f t="shared" si="429"/>
        <v>0</v>
      </c>
      <c r="AK373" s="12">
        <f t="shared" si="430"/>
        <v>0</v>
      </c>
      <c r="AL373" s="12" t="e">
        <f t="shared" si="431"/>
        <v>#REF!</v>
      </c>
      <c r="AN373" s="12">
        <v>21</v>
      </c>
      <c r="AO373" s="12" t="e">
        <f>H373*0.958778158</f>
        <v>#REF!</v>
      </c>
      <c r="AP373" s="12" t="e">
        <f>H373*(1-0.958778158)</f>
        <v>#REF!</v>
      </c>
      <c r="AQ373" s="49" t="s">
        <v>567</v>
      </c>
      <c r="AV373" s="12" t="e">
        <f t="shared" si="432"/>
        <v>#REF!</v>
      </c>
      <c r="AW373" s="12" t="e">
        <f t="shared" si="433"/>
        <v>#REF!</v>
      </c>
      <c r="AX373" s="12" t="e">
        <f t="shared" si="434"/>
        <v>#REF!</v>
      </c>
      <c r="AY373" s="49" t="s">
        <v>610</v>
      </c>
      <c r="AZ373" s="49" t="s">
        <v>867</v>
      </c>
      <c r="BA373" s="10" t="s">
        <v>855</v>
      </c>
      <c r="BC373" s="12" t="e">
        <f t="shared" si="435"/>
        <v>#REF!</v>
      </c>
      <c r="BD373" s="12" t="e">
        <f t="shared" si="436"/>
        <v>#REF!</v>
      </c>
      <c r="BE373" s="12">
        <v>0</v>
      </c>
      <c r="BF373" s="12" t="e">
        <f t="shared" si="437"/>
        <v>#REF!</v>
      </c>
      <c r="BH373" s="12" t="e">
        <f t="shared" si="438"/>
        <v>#REF!</v>
      </c>
      <c r="BI373" s="12" t="e">
        <f t="shared" si="439"/>
        <v>#REF!</v>
      </c>
      <c r="BJ373" s="12" t="e">
        <f t="shared" si="440"/>
        <v>#REF!</v>
      </c>
      <c r="BK373" s="12"/>
      <c r="BL373" s="12">
        <v>722</v>
      </c>
      <c r="BW373" s="12" t="str">
        <f t="shared" si="441"/>
        <v>21</v>
      </c>
      <c r="BX373" s="3" t="s">
        <v>369</v>
      </c>
    </row>
    <row r="374" spans="1:76">
      <c r="A374" s="1" t="s">
        <v>875</v>
      </c>
      <c r="B374" s="2" t="s">
        <v>852</v>
      </c>
      <c r="C374" s="2" t="s">
        <v>149</v>
      </c>
      <c r="D374" s="349" t="s">
        <v>150</v>
      </c>
      <c r="E374" s="342"/>
      <c r="F374" s="2" t="s">
        <v>68</v>
      </c>
      <c r="G374" s="12" t="e">
        <f>#REF!</f>
        <v>#REF!</v>
      </c>
      <c r="H374" s="12" t="e">
        <f>#REF!</f>
        <v>#REF!</v>
      </c>
      <c r="I374" s="49" t="s">
        <v>554</v>
      </c>
      <c r="J374" s="12" t="e">
        <f t="shared" si="416"/>
        <v>#REF!</v>
      </c>
      <c r="K374" s="12" t="e">
        <f t="shared" si="417"/>
        <v>#REF!</v>
      </c>
      <c r="L374" s="12" t="e">
        <f t="shared" si="418"/>
        <v>#REF!</v>
      </c>
      <c r="M374" s="12" t="e">
        <f t="shared" si="419"/>
        <v>#REF!</v>
      </c>
      <c r="N374" s="12">
        <v>3.2000000000000003E-4</v>
      </c>
      <c r="O374" s="12" t="e">
        <f t="shared" si="420"/>
        <v>#REF!</v>
      </c>
      <c r="P374" s="50" t="s">
        <v>605</v>
      </c>
      <c r="Z374" s="12">
        <f t="shared" si="421"/>
        <v>0</v>
      </c>
      <c r="AB374" s="12">
        <f t="shared" si="422"/>
        <v>0</v>
      </c>
      <c r="AC374" s="12">
        <f t="shared" si="423"/>
        <v>0</v>
      </c>
      <c r="AD374" s="12" t="e">
        <f t="shared" si="424"/>
        <v>#REF!</v>
      </c>
      <c r="AE374" s="12" t="e">
        <f t="shared" si="425"/>
        <v>#REF!</v>
      </c>
      <c r="AF374" s="12">
        <f t="shared" si="426"/>
        <v>0</v>
      </c>
      <c r="AG374" s="12">
        <f t="shared" si="427"/>
        <v>0</v>
      </c>
      <c r="AH374" s="12">
        <f t="shared" si="428"/>
        <v>0</v>
      </c>
      <c r="AI374" s="10" t="s">
        <v>852</v>
      </c>
      <c r="AJ374" s="12">
        <f t="shared" si="429"/>
        <v>0</v>
      </c>
      <c r="AK374" s="12">
        <f t="shared" si="430"/>
        <v>0</v>
      </c>
      <c r="AL374" s="12" t="e">
        <f t="shared" si="431"/>
        <v>#REF!</v>
      </c>
      <c r="AN374" s="12">
        <v>21</v>
      </c>
      <c r="AO374" s="12" t="e">
        <f>H374*0.767472727</f>
        <v>#REF!</v>
      </c>
      <c r="AP374" s="12" t="e">
        <f>H374*(1-0.767472727)</f>
        <v>#REF!</v>
      </c>
      <c r="AQ374" s="49" t="s">
        <v>567</v>
      </c>
      <c r="AV374" s="12" t="e">
        <f t="shared" si="432"/>
        <v>#REF!</v>
      </c>
      <c r="AW374" s="12" t="e">
        <f t="shared" si="433"/>
        <v>#REF!</v>
      </c>
      <c r="AX374" s="12" t="e">
        <f t="shared" si="434"/>
        <v>#REF!</v>
      </c>
      <c r="AY374" s="49" t="s">
        <v>610</v>
      </c>
      <c r="AZ374" s="49" t="s">
        <v>867</v>
      </c>
      <c r="BA374" s="10" t="s">
        <v>855</v>
      </c>
      <c r="BC374" s="12" t="e">
        <f t="shared" si="435"/>
        <v>#REF!</v>
      </c>
      <c r="BD374" s="12" t="e">
        <f t="shared" si="436"/>
        <v>#REF!</v>
      </c>
      <c r="BE374" s="12">
        <v>0</v>
      </c>
      <c r="BF374" s="12" t="e">
        <f t="shared" si="437"/>
        <v>#REF!</v>
      </c>
      <c r="BH374" s="12" t="e">
        <f t="shared" si="438"/>
        <v>#REF!</v>
      </c>
      <c r="BI374" s="12" t="e">
        <f t="shared" si="439"/>
        <v>#REF!</v>
      </c>
      <c r="BJ374" s="12" t="e">
        <f t="shared" si="440"/>
        <v>#REF!</v>
      </c>
      <c r="BK374" s="12"/>
      <c r="BL374" s="12">
        <v>722</v>
      </c>
      <c r="BW374" s="12" t="str">
        <f t="shared" si="441"/>
        <v>21</v>
      </c>
      <c r="BX374" s="3" t="s">
        <v>150</v>
      </c>
    </row>
    <row r="375" spans="1:76">
      <c r="A375" s="1" t="s">
        <v>876</v>
      </c>
      <c r="B375" s="2" t="s">
        <v>852</v>
      </c>
      <c r="C375" s="2" t="s">
        <v>370</v>
      </c>
      <c r="D375" s="349" t="s">
        <v>371</v>
      </c>
      <c r="E375" s="342"/>
      <c r="F375" s="2" t="s">
        <v>68</v>
      </c>
      <c r="G375" s="12" t="e">
        <f>#REF!</f>
        <v>#REF!</v>
      </c>
      <c r="H375" s="12" t="e">
        <f>#REF!</f>
        <v>#REF!</v>
      </c>
      <c r="I375" s="49" t="s">
        <v>554</v>
      </c>
      <c r="J375" s="12" t="e">
        <f t="shared" si="416"/>
        <v>#REF!</v>
      </c>
      <c r="K375" s="12" t="e">
        <f t="shared" si="417"/>
        <v>#REF!</v>
      </c>
      <c r="L375" s="12" t="e">
        <f t="shared" si="418"/>
        <v>#REF!</v>
      </c>
      <c r="M375" s="12" t="e">
        <f t="shared" si="419"/>
        <v>#REF!</v>
      </c>
      <c r="N375" s="12">
        <v>5.1999999999999995E-4</v>
      </c>
      <c r="O375" s="12" t="e">
        <f t="shared" si="420"/>
        <v>#REF!</v>
      </c>
      <c r="P375" s="50" t="s">
        <v>605</v>
      </c>
      <c r="Z375" s="12">
        <f t="shared" si="421"/>
        <v>0</v>
      </c>
      <c r="AB375" s="12">
        <f t="shared" si="422"/>
        <v>0</v>
      </c>
      <c r="AC375" s="12">
        <f t="shared" si="423"/>
        <v>0</v>
      </c>
      <c r="AD375" s="12" t="e">
        <f t="shared" si="424"/>
        <v>#REF!</v>
      </c>
      <c r="AE375" s="12" t="e">
        <f t="shared" si="425"/>
        <v>#REF!</v>
      </c>
      <c r="AF375" s="12">
        <f t="shared" si="426"/>
        <v>0</v>
      </c>
      <c r="AG375" s="12">
        <f t="shared" si="427"/>
        <v>0</v>
      </c>
      <c r="AH375" s="12">
        <f t="shared" si="428"/>
        <v>0</v>
      </c>
      <c r="AI375" s="10" t="s">
        <v>852</v>
      </c>
      <c r="AJ375" s="12">
        <f t="shared" si="429"/>
        <v>0</v>
      </c>
      <c r="AK375" s="12">
        <f t="shared" si="430"/>
        <v>0</v>
      </c>
      <c r="AL375" s="12" t="e">
        <f t="shared" si="431"/>
        <v>#REF!</v>
      </c>
      <c r="AN375" s="12">
        <v>21</v>
      </c>
      <c r="AO375" s="12" t="e">
        <f>H375*0.869366701</f>
        <v>#REF!</v>
      </c>
      <c r="AP375" s="12" t="e">
        <f>H375*(1-0.869366701)</f>
        <v>#REF!</v>
      </c>
      <c r="AQ375" s="49" t="s">
        <v>567</v>
      </c>
      <c r="AV375" s="12" t="e">
        <f t="shared" si="432"/>
        <v>#REF!</v>
      </c>
      <c r="AW375" s="12" t="e">
        <f t="shared" si="433"/>
        <v>#REF!</v>
      </c>
      <c r="AX375" s="12" t="e">
        <f t="shared" si="434"/>
        <v>#REF!</v>
      </c>
      <c r="AY375" s="49" t="s">
        <v>610</v>
      </c>
      <c r="AZ375" s="49" t="s">
        <v>867</v>
      </c>
      <c r="BA375" s="10" t="s">
        <v>855</v>
      </c>
      <c r="BC375" s="12" t="e">
        <f t="shared" si="435"/>
        <v>#REF!</v>
      </c>
      <c r="BD375" s="12" t="e">
        <f t="shared" si="436"/>
        <v>#REF!</v>
      </c>
      <c r="BE375" s="12">
        <v>0</v>
      </c>
      <c r="BF375" s="12" t="e">
        <f t="shared" si="437"/>
        <v>#REF!</v>
      </c>
      <c r="BH375" s="12" t="e">
        <f t="shared" si="438"/>
        <v>#REF!</v>
      </c>
      <c r="BI375" s="12" t="e">
        <f t="shared" si="439"/>
        <v>#REF!</v>
      </c>
      <c r="BJ375" s="12" t="e">
        <f t="shared" si="440"/>
        <v>#REF!</v>
      </c>
      <c r="BK375" s="12"/>
      <c r="BL375" s="12">
        <v>722</v>
      </c>
      <c r="BW375" s="12" t="str">
        <f t="shared" si="441"/>
        <v>21</v>
      </c>
      <c r="BX375" s="3" t="s">
        <v>371</v>
      </c>
    </row>
    <row r="376" spans="1:76">
      <c r="A376" s="1" t="s">
        <v>877</v>
      </c>
      <c r="B376" s="2" t="s">
        <v>852</v>
      </c>
      <c r="C376" s="2" t="s">
        <v>372</v>
      </c>
      <c r="D376" s="349" t="s">
        <v>373</v>
      </c>
      <c r="E376" s="342"/>
      <c r="F376" s="2" t="s">
        <v>68</v>
      </c>
      <c r="G376" s="12" t="e">
        <f>#REF!</f>
        <v>#REF!</v>
      </c>
      <c r="H376" s="12" t="e">
        <f>#REF!</f>
        <v>#REF!</v>
      </c>
      <c r="I376" s="49" t="s">
        <v>554</v>
      </c>
      <c r="J376" s="12" t="e">
        <f t="shared" si="416"/>
        <v>#REF!</v>
      </c>
      <c r="K376" s="12" t="e">
        <f t="shared" si="417"/>
        <v>#REF!</v>
      </c>
      <c r="L376" s="12" t="e">
        <f t="shared" si="418"/>
        <v>#REF!</v>
      </c>
      <c r="M376" s="12" t="e">
        <f t="shared" si="419"/>
        <v>#REF!</v>
      </c>
      <c r="N376" s="12">
        <v>5.0000000000000001E-4</v>
      </c>
      <c r="O376" s="12" t="e">
        <f t="shared" si="420"/>
        <v>#REF!</v>
      </c>
      <c r="P376" s="50" t="s">
        <v>605</v>
      </c>
      <c r="Z376" s="12">
        <f t="shared" si="421"/>
        <v>0</v>
      </c>
      <c r="AB376" s="12">
        <f t="shared" si="422"/>
        <v>0</v>
      </c>
      <c r="AC376" s="12">
        <f t="shared" si="423"/>
        <v>0</v>
      </c>
      <c r="AD376" s="12" t="e">
        <f t="shared" si="424"/>
        <v>#REF!</v>
      </c>
      <c r="AE376" s="12" t="e">
        <f t="shared" si="425"/>
        <v>#REF!</v>
      </c>
      <c r="AF376" s="12">
        <f t="shared" si="426"/>
        <v>0</v>
      </c>
      <c r="AG376" s="12">
        <f t="shared" si="427"/>
        <v>0</v>
      </c>
      <c r="AH376" s="12">
        <f t="shared" si="428"/>
        <v>0</v>
      </c>
      <c r="AI376" s="10" t="s">
        <v>852</v>
      </c>
      <c r="AJ376" s="12">
        <f t="shared" si="429"/>
        <v>0</v>
      </c>
      <c r="AK376" s="12">
        <f t="shared" si="430"/>
        <v>0</v>
      </c>
      <c r="AL376" s="12" t="e">
        <f t="shared" si="431"/>
        <v>#REF!</v>
      </c>
      <c r="AN376" s="12">
        <v>21</v>
      </c>
      <c r="AO376" s="12" t="e">
        <f>H376*0.767894737</f>
        <v>#REF!</v>
      </c>
      <c r="AP376" s="12" t="e">
        <f>H376*(1-0.767894737)</f>
        <v>#REF!</v>
      </c>
      <c r="AQ376" s="49" t="s">
        <v>567</v>
      </c>
      <c r="AV376" s="12" t="e">
        <f t="shared" si="432"/>
        <v>#REF!</v>
      </c>
      <c r="AW376" s="12" t="e">
        <f t="shared" si="433"/>
        <v>#REF!</v>
      </c>
      <c r="AX376" s="12" t="e">
        <f t="shared" si="434"/>
        <v>#REF!</v>
      </c>
      <c r="AY376" s="49" t="s">
        <v>610</v>
      </c>
      <c r="AZ376" s="49" t="s">
        <v>867</v>
      </c>
      <c r="BA376" s="10" t="s">
        <v>855</v>
      </c>
      <c r="BC376" s="12" t="e">
        <f t="shared" si="435"/>
        <v>#REF!</v>
      </c>
      <c r="BD376" s="12" t="e">
        <f t="shared" si="436"/>
        <v>#REF!</v>
      </c>
      <c r="BE376" s="12">
        <v>0</v>
      </c>
      <c r="BF376" s="12" t="e">
        <f t="shared" si="437"/>
        <v>#REF!</v>
      </c>
      <c r="BH376" s="12" t="e">
        <f t="shared" si="438"/>
        <v>#REF!</v>
      </c>
      <c r="BI376" s="12" t="e">
        <f t="shared" si="439"/>
        <v>#REF!</v>
      </c>
      <c r="BJ376" s="12" t="e">
        <f t="shared" si="440"/>
        <v>#REF!</v>
      </c>
      <c r="BK376" s="12"/>
      <c r="BL376" s="12">
        <v>722</v>
      </c>
      <c r="BW376" s="12" t="str">
        <f t="shared" si="441"/>
        <v>21</v>
      </c>
      <c r="BX376" s="3" t="s">
        <v>373</v>
      </c>
    </row>
    <row r="377" spans="1:76">
      <c r="A377" s="1" t="s">
        <v>878</v>
      </c>
      <c r="B377" s="2" t="s">
        <v>852</v>
      </c>
      <c r="C377" s="2" t="s">
        <v>156</v>
      </c>
      <c r="D377" s="349" t="s">
        <v>157</v>
      </c>
      <c r="E377" s="342"/>
      <c r="F377" s="2" t="s">
        <v>68</v>
      </c>
      <c r="G377" s="12" t="e">
        <f>#REF!</f>
        <v>#REF!</v>
      </c>
      <c r="H377" s="12" t="e">
        <f>#REF!</f>
        <v>#REF!</v>
      </c>
      <c r="I377" s="49" t="s">
        <v>554</v>
      </c>
      <c r="J377" s="12" t="e">
        <f t="shared" si="416"/>
        <v>#REF!</v>
      </c>
      <c r="K377" s="12" t="e">
        <f t="shared" si="417"/>
        <v>#REF!</v>
      </c>
      <c r="L377" s="12" t="e">
        <f t="shared" si="418"/>
        <v>#REF!</v>
      </c>
      <c r="M377" s="12" t="e">
        <f t="shared" si="419"/>
        <v>#REF!</v>
      </c>
      <c r="N377" s="12">
        <v>3.6999999999999999E-4</v>
      </c>
      <c r="O377" s="12" t="e">
        <f t="shared" si="420"/>
        <v>#REF!</v>
      </c>
      <c r="P377" s="50" t="s">
        <v>605</v>
      </c>
      <c r="Z377" s="12">
        <f t="shared" si="421"/>
        <v>0</v>
      </c>
      <c r="AB377" s="12">
        <f t="shared" si="422"/>
        <v>0</v>
      </c>
      <c r="AC377" s="12">
        <f t="shared" si="423"/>
        <v>0</v>
      </c>
      <c r="AD377" s="12" t="e">
        <f t="shared" si="424"/>
        <v>#REF!</v>
      </c>
      <c r="AE377" s="12" t="e">
        <f t="shared" si="425"/>
        <v>#REF!</v>
      </c>
      <c r="AF377" s="12">
        <f t="shared" si="426"/>
        <v>0</v>
      </c>
      <c r="AG377" s="12">
        <f t="shared" si="427"/>
        <v>0</v>
      </c>
      <c r="AH377" s="12">
        <f t="shared" si="428"/>
        <v>0</v>
      </c>
      <c r="AI377" s="10" t="s">
        <v>852</v>
      </c>
      <c r="AJ377" s="12">
        <f t="shared" si="429"/>
        <v>0</v>
      </c>
      <c r="AK377" s="12">
        <f t="shared" si="430"/>
        <v>0</v>
      </c>
      <c r="AL377" s="12" t="e">
        <f t="shared" si="431"/>
        <v>#REF!</v>
      </c>
      <c r="AN377" s="12">
        <v>21</v>
      </c>
      <c r="AO377" s="12" t="e">
        <f>H377*0.901698693</f>
        <v>#REF!</v>
      </c>
      <c r="AP377" s="12" t="e">
        <f>H377*(1-0.901698693)</f>
        <v>#REF!</v>
      </c>
      <c r="AQ377" s="49" t="s">
        <v>567</v>
      </c>
      <c r="AV377" s="12" t="e">
        <f t="shared" si="432"/>
        <v>#REF!</v>
      </c>
      <c r="AW377" s="12" t="e">
        <f t="shared" si="433"/>
        <v>#REF!</v>
      </c>
      <c r="AX377" s="12" t="e">
        <f t="shared" si="434"/>
        <v>#REF!</v>
      </c>
      <c r="AY377" s="49" t="s">
        <v>610</v>
      </c>
      <c r="AZ377" s="49" t="s">
        <v>867</v>
      </c>
      <c r="BA377" s="10" t="s">
        <v>855</v>
      </c>
      <c r="BC377" s="12" t="e">
        <f t="shared" si="435"/>
        <v>#REF!</v>
      </c>
      <c r="BD377" s="12" t="e">
        <f t="shared" si="436"/>
        <v>#REF!</v>
      </c>
      <c r="BE377" s="12">
        <v>0</v>
      </c>
      <c r="BF377" s="12" t="e">
        <f t="shared" si="437"/>
        <v>#REF!</v>
      </c>
      <c r="BH377" s="12" t="e">
        <f t="shared" si="438"/>
        <v>#REF!</v>
      </c>
      <c r="BI377" s="12" t="e">
        <f t="shared" si="439"/>
        <v>#REF!</v>
      </c>
      <c r="BJ377" s="12" t="e">
        <f t="shared" si="440"/>
        <v>#REF!</v>
      </c>
      <c r="BK377" s="12"/>
      <c r="BL377" s="12">
        <v>722</v>
      </c>
      <c r="BW377" s="12" t="str">
        <f t="shared" si="441"/>
        <v>21</v>
      </c>
      <c r="BX377" s="3" t="s">
        <v>157</v>
      </c>
    </row>
    <row r="378" spans="1:76">
      <c r="A378" s="1" t="s">
        <v>879</v>
      </c>
      <c r="B378" s="2" t="s">
        <v>852</v>
      </c>
      <c r="C378" s="2" t="s">
        <v>162</v>
      </c>
      <c r="D378" s="349" t="s">
        <v>374</v>
      </c>
      <c r="E378" s="342"/>
      <c r="F378" s="2" t="s">
        <v>68</v>
      </c>
      <c r="G378" s="12" t="e">
        <f>#REF!</f>
        <v>#REF!</v>
      </c>
      <c r="H378" s="12" t="e">
        <f>#REF!</f>
        <v>#REF!</v>
      </c>
      <c r="I378" s="49" t="s">
        <v>554</v>
      </c>
      <c r="J378" s="12" t="e">
        <f t="shared" si="416"/>
        <v>#REF!</v>
      </c>
      <c r="K378" s="12" t="e">
        <f t="shared" si="417"/>
        <v>#REF!</v>
      </c>
      <c r="L378" s="12" t="e">
        <f t="shared" si="418"/>
        <v>#REF!</v>
      </c>
      <c r="M378" s="12" t="e">
        <f t="shared" si="419"/>
        <v>#REF!</v>
      </c>
      <c r="N378" s="12">
        <v>0</v>
      </c>
      <c r="O378" s="12" t="e">
        <f t="shared" si="420"/>
        <v>#REF!</v>
      </c>
      <c r="P378" s="50" t="s">
        <v>21</v>
      </c>
      <c r="Z378" s="12">
        <f t="shared" si="421"/>
        <v>0</v>
      </c>
      <c r="AB378" s="12">
        <f t="shared" si="422"/>
        <v>0</v>
      </c>
      <c r="AC378" s="12">
        <f t="shared" si="423"/>
        <v>0</v>
      </c>
      <c r="AD378" s="12" t="e">
        <f t="shared" si="424"/>
        <v>#REF!</v>
      </c>
      <c r="AE378" s="12" t="e">
        <f t="shared" si="425"/>
        <v>#REF!</v>
      </c>
      <c r="AF378" s="12">
        <f t="shared" si="426"/>
        <v>0</v>
      </c>
      <c r="AG378" s="12">
        <f t="shared" si="427"/>
        <v>0</v>
      </c>
      <c r="AH378" s="12">
        <f t="shared" si="428"/>
        <v>0</v>
      </c>
      <c r="AI378" s="10" t="s">
        <v>852</v>
      </c>
      <c r="AJ378" s="12">
        <f t="shared" si="429"/>
        <v>0</v>
      </c>
      <c r="AK378" s="12">
        <f t="shared" si="430"/>
        <v>0</v>
      </c>
      <c r="AL378" s="12" t="e">
        <f t="shared" si="431"/>
        <v>#REF!</v>
      </c>
      <c r="AN378" s="12">
        <v>21</v>
      </c>
      <c r="AO378" s="12" t="e">
        <f>H378*0.930503731</f>
        <v>#REF!</v>
      </c>
      <c r="AP378" s="12" t="e">
        <f>H378*(1-0.930503731)</f>
        <v>#REF!</v>
      </c>
      <c r="AQ378" s="49" t="s">
        <v>567</v>
      </c>
      <c r="AV378" s="12" t="e">
        <f t="shared" si="432"/>
        <v>#REF!</v>
      </c>
      <c r="AW378" s="12" t="e">
        <f t="shared" si="433"/>
        <v>#REF!</v>
      </c>
      <c r="AX378" s="12" t="e">
        <f t="shared" si="434"/>
        <v>#REF!</v>
      </c>
      <c r="AY378" s="49" t="s">
        <v>610</v>
      </c>
      <c r="AZ378" s="49" t="s">
        <v>867</v>
      </c>
      <c r="BA378" s="10" t="s">
        <v>855</v>
      </c>
      <c r="BC378" s="12" t="e">
        <f t="shared" si="435"/>
        <v>#REF!</v>
      </c>
      <c r="BD378" s="12" t="e">
        <f t="shared" si="436"/>
        <v>#REF!</v>
      </c>
      <c r="BE378" s="12">
        <v>0</v>
      </c>
      <c r="BF378" s="12" t="e">
        <f t="shared" si="437"/>
        <v>#REF!</v>
      </c>
      <c r="BH378" s="12" t="e">
        <f t="shared" si="438"/>
        <v>#REF!</v>
      </c>
      <c r="BI378" s="12" t="e">
        <f t="shared" si="439"/>
        <v>#REF!</v>
      </c>
      <c r="BJ378" s="12" t="e">
        <f t="shared" si="440"/>
        <v>#REF!</v>
      </c>
      <c r="BK378" s="12"/>
      <c r="BL378" s="12">
        <v>722</v>
      </c>
      <c r="BW378" s="12" t="str">
        <f t="shared" si="441"/>
        <v>21</v>
      </c>
      <c r="BX378" s="3" t="s">
        <v>374</v>
      </c>
    </row>
    <row r="379" spans="1:76">
      <c r="A379" s="1" t="s">
        <v>880</v>
      </c>
      <c r="B379" s="2" t="s">
        <v>852</v>
      </c>
      <c r="C379" s="2" t="s">
        <v>375</v>
      </c>
      <c r="D379" s="349" t="s">
        <v>445</v>
      </c>
      <c r="E379" s="342"/>
      <c r="F379" s="2" t="s">
        <v>68</v>
      </c>
      <c r="G379" s="12" t="e">
        <f>#REF!</f>
        <v>#REF!</v>
      </c>
      <c r="H379" s="12" t="e">
        <f>#REF!</f>
        <v>#REF!</v>
      </c>
      <c r="I379" s="49" t="s">
        <v>554</v>
      </c>
      <c r="J379" s="12" t="e">
        <f t="shared" si="416"/>
        <v>#REF!</v>
      </c>
      <c r="K379" s="12" t="e">
        <f t="shared" si="417"/>
        <v>#REF!</v>
      </c>
      <c r="L379" s="12" t="e">
        <f t="shared" si="418"/>
        <v>#REF!</v>
      </c>
      <c r="M379" s="12" t="e">
        <f t="shared" si="419"/>
        <v>#REF!</v>
      </c>
      <c r="N379" s="12">
        <v>0.04</v>
      </c>
      <c r="O379" s="12" t="e">
        <f t="shared" si="420"/>
        <v>#REF!</v>
      </c>
      <c r="P379" s="50" t="s">
        <v>605</v>
      </c>
      <c r="Z379" s="12">
        <f t="shared" si="421"/>
        <v>0</v>
      </c>
      <c r="AB379" s="12">
        <f t="shared" si="422"/>
        <v>0</v>
      </c>
      <c r="AC379" s="12">
        <f t="shared" si="423"/>
        <v>0</v>
      </c>
      <c r="AD379" s="12" t="e">
        <f t="shared" si="424"/>
        <v>#REF!</v>
      </c>
      <c r="AE379" s="12" t="e">
        <f t="shared" si="425"/>
        <v>#REF!</v>
      </c>
      <c r="AF379" s="12">
        <f t="shared" si="426"/>
        <v>0</v>
      </c>
      <c r="AG379" s="12">
        <f t="shared" si="427"/>
        <v>0</v>
      </c>
      <c r="AH379" s="12">
        <f t="shared" si="428"/>
        <v>0</v>
      </c>
      <c r="AI379" s="10" t="s">
        <v>852</v>
      </c>
      <c r="AJ379" s="12">
        <f t="shared" si="429"/>
        <v>0</v>
      </c>
      <c r="AK379" s="12">
        <f t="shared" si="430"/>
        <v>0</v>
      </c>
      <c r="AL379" s="12" t="e">
        <f t="shared" si="431"/>
        <v>#REF!</v>
      </c>
      <c r="AN379" s="12">
        <v>21</v>
      </c>
      <c r="AO379" s="12" t="e">
        <f>H379*1</f>
        <v>#REF!</v>
      </c>
      <c r="AP379" s="12" t="e">
        <f>H379*(1-1)</f>
        <v>#REF!</v>
      </c>
      <c r="AQ379" s="49" t="s">
        <v>567</v>
      </c>
      <c r="AV379" s="12" t="e">
        <f t="shared" si="432"/>
        <v>#REF!</v>
      </c>
      <c r="AW379" s="12" t="e">
        <f t="shared" si="433"/>
        <v>#REF!</v>
      </c>
      <c r="AX379" s="12" t="e">
        <f t="shared" si="434"/>
        <v>#REF!</v>
      </c>
      <c r="AY379" s="49" t="s">
        <v>610</v>
      </c>
      <c r="AZ379" s="49" t="s">
        <v>867</v>
      </c>
      <c r="BA379" s="10" t="s">
        <v>855</v>
      </c>
      <c r="BC379" s="12" t="e">
        <f t="shared" si="435"/>
        <v>#REF!</v>
      </c>
      <c r="BD379" s="12" t="e">
        <f t="shared" si="436"/>
        <v>#REF!</v>
      </c>
      <c r="BE379" s="12">
        <v>0</v>
      </c>
      <c r="BF379" s="12" t="e">
        <f t="shared" si="437"/>
        <v>#REF!</v>
      </c>
      <c r="BH379" s="12" t="e">
        <f t="shared" si="438"/>
        <v>#REF!</v>
      </c>
      <c r="BI379" s="12" t="e">
        <f t="shared" si="439"/>
        <v>#REF!</v>
      </c>
      <c r="BJ379" s="12" t="e">
        <f t="shared" si="440"/>
        <v>#REF!</v>
      </c>
      <c r="BK379" s="12"/>
      <c r="BL379" s="12">
        <v>722</v>
      </c>
      <c r="BW379" s="12" t="str">
        <f t="shared" si="441"/>
        <v>21</v>
      </c>
      <c r="BX379" s="3" t="s">
        <v>445</v>
      </c>
    </row>
    <row r="380" spans="1:76">
      <c r="A380" s="46" t="s">
        <v>21</v>
      </c>
      <c r="B380" s="9" t="s">
        <v>852</v>
      </c>
      <c r="C380" s="9" t="s">
        <v>380</v>
      </c>
      <c r="D380" s="359" t="s">
        <v>381</v>
      </c>
      <c r="E380" s="360"/>
      <c r="F380" s="47" t="s">
        <v>20</v>
      </c>
      <c r="G380" s="47" t="s">
        <v>20</v>
      </c>
      <c r="H380" s="47" t="s">
        <v>20</v>
      </c>
      <c r="I380" s="47" t="s">
        <v>20</v>
      </c>
      <c r="J380" s="11" t="e">
        <f>SUM(J381:J381)</f>
        <v>#REF!</v>
      </c>
      <c r="K380" s="11" t="e">
        <f>SUM(K381:K381)</f>
        <v>#REF!</v>
      </c>
      <c r="L380" s="11" t="e">
        <f>SUM(L381:L381)</f>
        <v>#REF!</v>
      </c>
      <c r="M380" s="11" t="e">
        <f>SUM(M381:M381)</f>
        <v>#REF!</v>
      </c>
      <c r="N380" s="10" t="s">
        <v>21</v>
      </c>
      <c r="O380" s="11" t="e">
        <f>SUM(O381:O381)</f>
        <v>#REF!</v>
      </c>
      <c r="P380" s="48" t="s">
        <v>21</v>
      </c>
      <c r="AI380" s="10" t="s">
        <v>852</v>
      </c>
      <c r="AS380" s="11">
        <f>SUM(AJ381:AJ381)</f>
        <v>0</v>
      </c>
      <c r="AT380" s="11">
        <f>SUM(AK381:AK381)</f>
        <v>0</v>
      </c>
      <c r="AU380" s="11" t="e">
        <f>SUM(AL381:AL381)</f>
        <v>#REF!</v>
      </c>
    </row>
    <row r="381" spans="1:76">
      <c r="A381" s="1" t="s">
        <v>881</v>
      </c>
      <c r="B381" s="2" t="s">
        <v>852</v>
      </c>
      <c r="C381" s="2" t="s">
        <v>83</v>
      </c>
      <c r="D381" s="349" t="s">
        <v>255</v>
      </c>
      <c r="E381" s="342"/>
      <c r="F381" s="2" t="s">
        <v>58</v>
      </c>
      <c r="G381" s="12" t="e">
        <f>#REF!</f>
        <v>#REF!</v>
      </c>
      <c r="H381" s="12" t="e">
        <f>#REF!</f>
        <v>#REF!</v>
      </c>
      <c r="I381" s="49" t="s">
        <v>554</v>
      </c>
      <c r="J381" s="12" t="e">
        <f>G381*AO381</f>
        <v>#REF!</v>
      </c>
      <c r="K381" s="12" t="e">
        <f>G381*AP381</f>
        <v>#REF!</v>
      </c>
      <c r="L381" s="12" t="e">
        <f>G381*H381</f>
        <v>#REF!</v>
      </c>
      <c r="M381" s="12" t="e">
        <f>L381*(1+BW381/100)</f>
        <v>#REF!</v>
      </c>
      <c r="N381" s="12">
        <v>0</v>
      </c>
      <c r="O381" s="12" t="e">
        <f>G381*N381</f>
        <v>#REF!</v>
      </c>
      <c r="P381" s="50" t="s">
        <v>21</v>
      </c>
      <c r="Z381" s="12">
        <f>IF(AQ381="5",BJ381,0)</f>
        <v>0</v>
      </c>
      <c r="AB381" s="12">
        <f>IF(AQ381="1",BH381,0)</f>
        <v>0</v>
      </c>
      <c r="AC381" s="12">
        <f>IF(AQ381="1",BI381,0)</f>
        <v>0</v>
      </c>
      <c r="AD381" s="12" t="e">
        <f>IF(AQ381="7",BH381,0)</f>
        <v>#REF!</v>
      </c>
      <c r="AE381" s="12" t="e">
        <f>IF(AQ381="7",BI381,0)</f>
        <v>#REF!</v>
      </c>
      <c r="AF381" s="12">
        <f>IF(AQ381="2",BH381,0)</f>
        <v>0</v>
      </c>
      <c r="AG381" s="12">
        <f>IF(AQ381="2",BI381,0)</f>
        <v>0</v>
      </c>
      <c r="AH381" s="12">
        <f>IF(AQ381="0",BJ381,0)</f>
        <v>0</v>
      </c>
      <c r="AI381" s="10" t="s">
        <v>852</v>
      </c>
      <c r="AJ381" s="12">
        <f>IF(AN381=0,L381,0)</f>
        <v>0</v>
      </c>
      <c r="AK381" s="12">
        <f>IF(AN381=12,L381,0)</f>
        <v>0</v>
      </c>
      <c r="AL381" s="12" t="e">
        <f>IF(AN381=21,L381,0)</f>
        <v>#REF!</v>
      </c>
      <c r="AN381" s="12">
        <v>21</v>
      </c>
      <c r="AO381" s="12" t="e">
        <f>H381*0.346020761</f>
        <v>#REF!</v>
      </c>
      <c r="AP381" s="12" t="e">
        <f>H381*(1-0.346020761)</f>
        <v>#REF!</v>
      </c>
      <c r="AQ381" s="49" t="s">
        <v>567</v>
      </c>
      <c r="AV381" s="12" t="e">
        <f>AW381+AX381</f>
        <v>#REF!</v>
      </c>
      <c r="AW381" s="12" t="e">
        <f>G381*AO381</f>
        <v>#REF!</v>
      </c>
      <c r="AX381" s="12" t="e">
        <f>G381*AP381</f>
        <v>#REF!</v>
      </c>
      <c r="AY381" s="49" t="s">
        <v>745</v>
      </c>
      <c r="AZ381" s="49" t="s">
        <v>882</v>
      </c>
      <c r="BA381" s="10" t="s">
        <v>855</v>
      </c>
      <c r="BC381" s="12" t="e">
        <f>AW381+AX381</f>
        <v>#REF!</v>
      </c>
      <c r="BD381" s="12" t="e">
        <f>H381/(100-BE381)*100</f>
        <v>#REF!</v>
      </c>
      <c r="BE381" s="12">
        <v>0</v>
      </c>
      <c r="BF381" s="12" t="e">
        <f>O381</f>
        <v>#REF!</v>
      </c>
      <c r="BH381" s="12" t="e">
        <f>G381*AO381</f>
        <v>#REF!</v>
      </c>
      <c r="BI381" s="12" t="e">
        <f>G381*AP381</f>
        <v>#REF!</v>
      </c>
      <c r="BJ381" s="12" t="e">
        <f>G381*H381</f>
        <v>#REF!</v>
      </c>
      <c r="BK381" s="12"/>
      <c r="BL381" s="12">
        <v>73</v>
      </c>
      <c r="BW381" s="12" t="str">
        <f>I381</f>
        <v>21</v>
      </c>
      <c r="BX381" s="3" t="s">
        <v>255</v>
      </c>
    </row>
    <row r="382" spans="1:76">
      <c r="A382" s="46" t="s">
        <v>21</v>
      </c>
      <c r="B382" s="9" t="s">
        <v>852</v>
      </c>
      <c r="C382" s="9" t="s">
        <v>64</v>
      </c>
      <c r="D382" s="359" t="s">
        <v>65</v>
      </c>
      <c r="E382" s="360"/>
      <c r="F382" s="47" t="s">
        <v>20</v>
      </c>
      <c r="G382" s="47" t="s">
        <v>20</v>
      </c>
      <c r="H382" s="47" t="s">
        <v>20</v>
      </c>
      <c r="I382" s="47" t="s">
        <v>20</v>
      </c>
      <c r="J382" s="11" t="e">
        <f>SUM(J383:J389)</f>
        <v>#REF!</v>
      </c>
      <c r="K382" s="11" t="e">
        <f>SUM(K383:K389)</f>
        <v>#REF!</v>
      </c>
      <c r="L382" s="11" t="e">
        <f>SUM(L383:L389)</f>
        <v>#REF!</v>
      </c>
      <c r="M382" s="11" t="e">
        <f>SUM(M383:M389)</f>
        <v>#REF!</v>
      </c>
      <c r="N382" s="10" t="s">
        <v>21</v>
      </c>
      <c r="O382" s="11" t="e">
        <f>SUM(O383:O389)</f>
        <v>#REF!</v>
      </c>
      <c r="P382" s="48" t="s">
        <v>21</v>
      </c>
      <c r="AI382" s="10" t="s">
        <v>852</v>
      </c>
      <c r="AS382" s="11">
        <f>SUM(AJ383:AJ389)</f>
        <v>0</v>
      </c>
      <c r="AT382" s="11">
        <f>SUM(AK383:AK389)</f>
        <v>0</v>
      </c>
      <c r="AU382" s="11" t="e">
        <f>SUM(AL383:AL389)</f>
        <v>#REF!</v>
      </c>
    </row>
    <row r="383" spans="1:76">
      <c r="A383" s="1" t="s">
        <v>883</v>
      </c>
      <c r="B383" s="2" t="s">
        <v>852</v>
      </c>
      <c r="C383" s="2" t="s">
        <v>382</v>
      </c>
      <c r="D383" s="349" t="s">
        <v>114</v>
      </c>
      <c r="E383" s="342"/>
      <c r="F383" s="2" t="s">
        <v>58</v>
      </c>
      <c r="G383" s="12" t="e">
        <f>#REF!</f>
        <v>#REF!</v>
      </c>
      <c r="H383" s="12" t="e">
        <f>#REF!</f>
        <v>#REF!</v>
      </c>
      <c r="I383" s="49" t="s">
        <v>554</v>
      </c>
      <c r="J383" s="12" t="e">
        <f t="shared" ref="J383:J389" si="442">G383*AO383</f>
        <v>#REF!</v>
      </c>
      <c r="K383" s="12" t="e">
        <f t="shared" ref="K383:K389" si="443">G383*AP383</f>
        <v>#REF!</v>
      </c>
      <c r="L383" s="12" t="e">
        <f t="shared" ref="L383:L389" si="444">G383*H383</f>
        <v>#REF!</v>
      </c>
      <c r="M383" s="12" t="e">
        <f t="shared" ref="M383:M389" si="445">L383*(1+BW383/100)</f>
        <v>#REF!</v>
      </c>
      <c r="N383" s="12">
        <v>1.1299999999999999E-3</v>
      </c>
      <c r="O383" s="12" t="e">
        <f t="shared" ref="O383:O389" si="446">G383*N383</f>
        <v>#REF!</v>
      </c>
      <c r="P383" s="50" t="s">
        <v>577</v>
      </c>
      <c r="Z383" s="12">
        <f t="shared" ref="Z383:Z389" si="447">IF(AQ383="5",BJ383,0)</f>
        <v>0</v>
      </c>
      <c r="AB383" s="12">
        <f t="shared" ref="AB383:AB389" si="448">IF(AQ383="1",BH383,0)</f>
        <v>0</v>
      </c>
      <c r="AC383" s="12">
        <f t="shared" ref="AC383:AC389" si="449">IF(AQ383="1",BI383,0)</f>
        <v>0</v>
      </c>
      <c r="AD383" s="12" t="e">
        <f t="shared" ref="AD383:AD389" si="450">IF(AQ383="7",BH383,0)</f>
        <v>#REF!</v>
      </c>
      <c r="AE383" s="12" t="e">
        <f t="shared" ref="AE383:AE389" si="451">IF(AQ383="7",BI383,0)</f>
        <v>#REF!</v>
      </c>
      <c r="AF383" s="12">
        <f t="shared" ref="AF383:AF389" si="452">IF(AQ383="2",BH383,0)</f>
        <v>0</v>
      </c>
      <c r="AG383" s="12">
        <f t="shared" ref="AG383:AG389" si="453">IF(AQ383="2",BI383,0)</f>
        <v>0</v>
      </c>
      <c r="AH383" s="12">
        <f t="shared" ref="AH383:AH389" si="454">IF(AQ383="0",BJ383,0)</f>
        <v>0</v>
      </c>
      <c r="AI383" s="10" t="s">
        <v>852</v>
      </c>
      <c r="AJ383" s="12">
        <f t="shared" ref="AJ383:AJ389" si="455">IF(AN383=0,L383,0)</f>
        <v>0</v>
      </c>
      <c r="AK383" s="12">
        <f t="shared" ref="AK383:AK389" si="456">IF(AN383=12,L383,0)</f>
        <v>0</v>
      </c>
      <c r="AL383" s="12" t="e">
        <f t="shared" ref="AL383:AL389" si="457">IF(AN383=21,L383,0)</f>
        <v>#REF!</v>
      </c>
      <c r="AN383" s="12">
        <v>21</v>
      </c>
      <c r="AO383" s="12" t="e">
        <f>H383*0.628766234</f>
        <v>#REF!</v>
      </c>
      <c r="AP383" s="12" t="e">
        <f>H383*(1-0.628766234)</f>
        <v>#REF!</v>
      </c>
      <c r="AQ383" s="49" t="s">
        <v>567</v>
      </c>
      <c r="AV383" s="12" t="e">
        <f t="shared" ref="AV383:AV389" si="458">AW383+AX383</f>
        <v>#REF!</v>
      </c>
      <c r="AW383" s="12" t="e">
        <f t="shared" ref="AW383:AW389" si="459">G383*AO383</f>
        <v>#REF!</v>
      </c>
      <c r="AX383" s="12" t="e">
        <f t="shared" ref="AX383:AX389" si="460">G383*AP383</f>
        <v>#REF!</v>
      </c>
      <c r="AY383" s="49" t="s">
        <v>580</v>
      </c>
      <c r="AZ383" s="49" t="s">
        <v>882</v>
      </c>
      <c r="BA383" s="10" t="s">
        <v>855</v>
      </c>
      <c r="BC383" s="12" t="e">
        <f t="shared" ref="BC383:BC389" si="461">AW383+AX383</f>
        <v>#REF!</v>
      </c>
      <c r="BD383" s="12" t="e">
        <f t="shared" ref="BD383:BD389" si="462">H383/(100-BE383)*100</f>
        <v>#REF!</v>
      </c>
      <c r="BE383" s="12">
        <v>0</v>
      </c>
      <c r="BF383" s="12" t="e">
        <f t="shared" ref="BF383:BF389" si="463">O383</f>
        <v>#REF!</v>
      </c>
      <c r="BH383" s="12" t="e">
        <f t="shared" ref="BH383:BH389" si="464">G383*AO383</f>
        <v>#REF!</v>
      </c>
      <c r="BI383" s="12" t="e">
        <f t="shared" ref="BI383:BI389" si="465">G383*AP383</f>
        <v>#REF!</v>
      </c>
      <c r="BJ383" s="12" t="e">
        <f t="shared" ref="BJ383:BJ389" si="466">G383*H383</f>
        <v>#REF!</v>
      </c>
      <c r="BK383" s="12"/>
      <c r="BL383" s="12">
        <v>732</v>
      </c>
      <c r="BW383" s="12" t="str">
        <f t="shared" ref="BW383:BW389" si="467">I383</f>
        <v>21</v>
      </c>
      <c r="BX383" s="3" t="s">
        <v>114</v>
      </c>
    </row>
    <row r="384" spans="1:76">
      <c r="A384" s="1" t="s">
        <v>884</v>
      </c>
      <c r="B384" s="2" t="s">
        <v>852</v>
      </c>
      <c r="C384" s="2" t="s">
        <v>383</v>
      </c>
      <c r="D384" s="349" t="s">
        <v>384</v>
      </c>
      <c r="E384" s="342"/>
      <c r="F384" s="2" t="s">
        <v>63</v>
      </c>
      <c r="G384" s="12" t="e">
        <f>#REF!</f>
        <v>#REF!</v>
      </c>
      <c r="H384" s="12" t="e">
        <f>#REF!</f>
        <v>#REF!</v>
      </c>
      <c r="I384" s="49" t="s">
        <v>554</v>
      </c>
      <c r="J384" s="12" t="e">
        <f t="shared" si="442"/>
        <v>#REF!</v>
      </c>
      <c r="K384" s="12" t="e">
        <f t="shared" si="443"/>
        <v>#REF!</v>
      </c>
      <c r="L384" s="12" t="e">
        <f t="shared" si="444"/>
        <v>#REF!</v>
      </c>
      <c r="M384" s="12" t="e">
        <f t="shared" si="445"/>
        <v>#REF!</v>
      </c>
      <c r="N384" s="12">
        <v>7.7420000000000003E-2</v>
      </c>
      <c r="O384" s="12" t="e">
        <f t="shared" si="446"/>
        <v>#REF!</v>
      </c>
      <c r="P384" s="50" t="s">
        <v>577</v>
      </c>
      <c r="Z384" s="12">
        <f t="shared" si="447"/>
        <v>0</v>
      </c>
      <c r="AB384" s="12">
        <f t="shared" si="448"/>
        <v>0</v>
      </c>
      <c r="AC384" s="12">
        <f t="shared" si="449"/>
        <v>0</v>
      </c>
      <c r="AD384" s="12" t="e">
        <f t="shared" si="450"/>
        <v>#REF!</v>
      </c>
      <c r="AE384" s="12" t="e">
        <f t="shared" si="451"/>
        <v>#REF!</v>
      </c>
      <c r="AF384" s="12">
        <f t="shared" si="452"/>
        <v>0</v>
      </c>
      <c r="AG384" s="12">
        <f t="shared" si="453"/>
        <v>0</v>
      </c>
      <c r="AH384" s="12">
        <f t="shared" si="454"/>
        <v>0</v>
      </c>
      <c r="AI384" s="10" t="s">
        <v>852</v>
      </c>
      <c r="AJ384" s="12">
        <f t="shared" si="455"/>
        <v>0</v>
      </c>
      <c r="AK384" s="12">
        <f t="shared" si="456"/>
        <v>0</v>
      </c>
      <c r="AL384" s="12" t="e">
        <f t="shared" si="457"/>
        <v>#REF!</v>
      </c>
      <c r="AN384" s="12">
        <v>21</v>
      </c>
      <c r="AO384" s="12" t="e">
        <f>H384*0</f>
        <v>#REF!</v>
      </c>
      <c r="AP384" s="12" t="e">
        <f>H384*(1-0)</f>
        <v>#REF!</v>
      </c>
      <c r="AQ384" s="49" t="s">
        <v>567</v>
      </c>
      <c r="AV384" s="12" t="e">
        <f t="shared" si="458"/>
        <v>#REF!</v>
      </c>
      <c r="AW384" s="12" t="e">
        <f t="shared" si="459"/>
        <v>#REF!</v>
      </c>
      <c r="AX384" s="12" t="e">
        <f t="shared" si="460"/>
        <v>#REF!</v>
      </c>
      <c r="AY384" s="49" t="s">
        <v>580</v>
      </c>
      <c r="AZ384" s="49" t="s">
        <v>882</v>
      </c>
      <c r="BA384" s="10" t="s">
        <v>855</v>
      </c>
      <c r="BC384" s="12" t="e">
        <f t="shared" si="461"/>
        <v>#REF!</v>
      </c>
      <c r="BD384" s="12" t="e">
        <f t="shared" si="462"/>
        <v>#REF!</v>
      </c>
      <c r="BE384" s="12">
        <v>0</v>
      </c>
      <c r="BF384" s="12" t="e">
        <f t="shared" si="463"/>
        <v>#REF!</v>
      </c>
      <c r="BH384" s="12" t="e">
        <f t="shared" si="464"/>
        <v>#REF!</v>
      </c>
      <c r="BI384" s="12" t="e">
        <f t="shared" si="465"/>
        <v>#REF!</v>
      </c>
      <c r="BJ384" s="12" t="e">
        <f t="shared" si="466"/>
        <v>#REF!</v>
      </c>
      <c r="BK384" s="12"/>
      <c r="BL384" s="12">
        <v>732</v>
      </c>
      <c r="BW384" s="12" t="str">
        <f t="shared" si="467"/>
        <v>21</v>
      </c>
      <c r="BX384" s="3" t="s">
        <v>384</v>
      </c>
    </row>
    <row r="385" spans="1:76">
      <c r="A385" s="1" t="s">
        <v>885</v>
      </c>
      <c r="B385" s="2" t="s">
        <v>852</v>
      </c>
      <c r="C385" s="2" t="s">
        <v>385</v>
      </c>
      <c r="D385" s="349" t="s">
        <v>386</v>
      </c>
      <c r="E385" s="342"/>
      <c r="F385" s="2" t="s">
        <v>68</v>
      </c>
      <c r="G385" s="12" t="e">
        <f>#REF!</f>
        <v>#REF!</v>
      </c>
      <c r="H385" s="12" t="e">
        <f>#REF!</f>
        <v>#REF!</v>
      </c>
      <c r="I385" s="49" t="s">
        <v>554</v>
      </c>
      <c r="J385" s="12" t="e">
        <f t="shared" si="442"/>
        <v>#REF!</v>
      </c>
      <c r="K385" s="12" t="e">
        <f t="shared" si="443"/>
        <v>#REF!</v>
      </c>
      <c r="L385" s="12" t="e">
        <f t="shared" si="444"/>
        <v>#REF!</v>
      </c>
      <c r="M385" s="12" t="e">
        <f t="shared" si="445"/>
        <v>#REF!</v>
      </c>
      <c r="N385" s="12">
        <v>6.5329999999999999E-2</v>
      </c>
      <c r="O385" s="12" t="e">
        <f t="shared" si="446"/>
        <v>#REF!</v>
      </c>
      <c r="P385" s="50" t="s">
        <v>605</v>
      </c>
      <c r="Z385" s="12">
        <f t="shared" si="447"/>
        <v>0</v>
      </c>
      <c r="AB385" s="12">
        <f t="shared" si="448"/>
        <v>0</v>
      </c>
      <c r="AC385" s="12">
        <f t="shared" si="449"/>
        <v>0</v>
      </c>
      <c r="AD385" s="12" t="e">
        <f t="shared" si="450"/>
        <v>#REF!</v>
      </c>
      <c r="AE385" s="12" t="e">
        <f t="shared" si="451"/>
        <v>#REF!</v>
      </c>
      <c r="AF385" s="12">
        <f t="shared" si="452"/>
        <v>0</v>
      </c>
      <c r="AG385" s="12">
        <f t="shared" si="453"/>
        <v>0</v>
      </c>
      <c r="AH385" s="12">
        <f t="shared" si="454"/>
        <v>0</v>
      </c>
      <c r="AI385" s="10" t="s">
        <v>852</v>
      </c>
      <c r="AJ385" s="12">
        <f t="shared" si="455"/>
        <v>0</v>
      </c>
      <c r="AK385" s="12">
        <f t="shared" si="456"/>
        <v>0</v>
      </c>
      <c r="AL385" s="12" t="e">
        <f t="shared" si="457"/>
        <v>#REF!</v>
      </c>
      <c r="AN385" s="12">
        <v>21</v>
      </c>
      <c r="AO385" s="12" t="e">
        <f>H385*0.674383346</f>
        <v>#REF!</v>
      </c>
      <c r="AP385" s="12" t="e">
        <f>H385*(1-0.674383346)</f>
        <v>#REF!</v>
      </c>
      <c r="AQ385" s="49" t="s">
        <v>567</v>
      </c>
      <c r="AV385" s="12" t="e">
        <f t="shared" si="458"/>
        <v>#REF!</v>
      </c>
      <c r="AW385" s="12" t="e">
        <f t="shared" si="459"/>
        <v>#REF!</v>
      </c>
      <c r="AX385" s="12" t="e">
        <f t="shared" si="460"/>
        <v>#REF!</v>
      </c>
      <c r="AY385" s="49" t="s">
        <v>580</v>
      </c>
      <c r="AZ385" s="49" t="s">
        <v>882</v>
      </c>
      <c r="BA385" s="10" t="s">
        <v>855</v>
      </c>
      <c r="BC385" s="12" t="e">
        <f t="shared" si="461"/>
        <v>#REF!</v>
      </c>
      <c r="BD385" s="12" t="e">
        <f t="shared" si="462"/>
        <v>#REF!</v>
      </c>
      <c r="BE385" s="12">
        <v>0</v>
      </c>
      <c r="BF385" s="12" t="e">
        <f t="shared" si="463"/>
        <v>#REF!</v>
      </c>
      <c r="BH385" s="12" t="e">
        <f t="shared" si="464"/>
        <v>#REF!</v>
      </c>
      <c r="BI385" s="12" t="e">
        <f t="shared" si="465"/>
        <v>#REF!</v>
      </c>
      <c r="BJ385" s="12" t="e">
        <f t="shared" si="466"/>
        <v>#REF!</v>
      </c>
      <c r="BK385" s="12"/>
      <c r="BL385" s="12">
        <v>732</v>
      </c>
      <c r="BW385" s="12" t="str">
        <f t="shared" si="467"/>
        <v>21</v>
      </c>
      <c r="BX385" s="3" t="s">
        <v>386</v>
      </c>
    </row>
    <row r="386" spans="1:76">
      <c r="A386" s="1" t="s">
        <v>886</v>
      </c>
      <c r="B386" s="2" t="s">
        <v>852</v>
      </c>
      <c r="C386" s="2" t="s">
        <v>387</v>
      </c>
      <c r="D386" s="349" t="s">
        <v>388</v>
      </c>
      <c r="E386" s="342"/>
      <c r="F386" s="2" t="s">
        <v>68</v>
      </c>
      <c r="G386" s="12" t="e">
        <f>#REF!</f>
        <v>#REF!</v>
      </c>
      <c r="H386" s="12" t="e">
        <f>#REF!</f>
        <v>#REF!</v>
      </c>
      <c r="I386" s="49" t="s">
        <v>554</v>
      </c>
      <c r="J386" s="12" t="e">
        <f t="shared" si="442"/>
        <v>#REF!</v>
      </c>
      <c r="K386" s="12" t="e">
        <f t="shared" si="443"/>
        <v>#REF!</v>
      </c>
      <c r="L386" s="12" t="e">
        <f t="shared" si="444"/>
        <v>#REF!</v>
      </c>
      <c r="M386" s="12" t="e">
        <f t="shared" si="445"/>
        <v>#REF!</v>
      </c>
      <c r="N386" s="12">
        <v>7.417E-2</v>
      </c>
      <c r="O386" s="12" t="e">
        <f t="shared" si="446"/>
        <v>#REF!</v>
      </c>
      <c r="P386" s="50" t="s">
        <v>577</v>
      </c>
      <c r="Z386" s="12">
        <f t="shared" si="447"/>
        <v>0</v>
      </c>
      <c r="AB386" s="12">
        <f t="shared" si="448"/>
        <v>0</v>
      </c>
      <c r="AC386" s="12">
        <f t="shared" si="449"/>
        <v>0</v>
      </c>
      <c r="AD386" s="12" t="e">
        <f t="shared" si="450"/>
        <v>#REF!</v>
      </c>
      <c r="AE386" s="12" t="e">
        <f t="shared" si="451"/>
        <v>#REF!</v>
      </c>
      <c r="AF386" s="12">
        <f t="shared" si="452"/>
        <v>0</v>
      </c>
      <c r="AG386" s="12">
        <f t="shared" si="453"/>
        <v>0</v>
      </c>
      <c r="AH386" s="12">
        <f t="shared" si="454"/>
        <v>0</v>
      </c>
      <c r="AI386" s="10" t="s">
        <v>852</v>
      </c>
      <c r="AJ386" s="12">
        <f t="shared" si="455"/>
        <v>0</v>
      </c>
      <c r="AK386" s="12">
        <f t="shared" si="456"/>
        <v>0</v>
      </c>
      <c r="AL386" s="12" t="e">
        <f t="shared" si="457"/>
        <v>#REF!</v>
      </c>
      <c r="AN386" s="12">
        <v>21</v>
      </c>
      <c r="AO386" s="12" t="e">
        <f>H386*0.47508805</f>
        <v>#REF!</v>
      </c>
      <c r="AP386" s="12" t="e">
        <f>H386*(1-0.47508805)</f>
        <v>#REF!</v>
      </c>
      <c r="AQ386" s="49" t="s">
        <v>567</v>
      </c>
      <c r="AV386" s="12" t="e">
        <f t="shared" si="458"/>
        <v>#REF!</v>
      </c>
      <c r="AW386" s="12" t="e">
        <f t="shared" si="459"/>
        <v>#REF!</v>
      </c>
      <c r="AX386" s="12" t="e">
        <f t="shared" si="460"/>
        <v>#REF!</v>
      </c>
      <c r="AY386" s="49" t="s">
        <v>580</v>
      </c>
      <c r="AZ386" s="49" t="s">
        <v>882</v>
      </c>
      <c r="BA386" s="10" t="s">
        <v>855</v>
      </c>
      <c r="BC386" s="12" t="e">
        <f t="shared" si="461"/>
        <v>#REF!</v>
      </c>
      <c r="BD386" s="12" t="e">
        <f t="shared" si="462"/>
        <v>#REF!</v>
      </c>
      <c r="BE386" s="12">
        <v>0</v>
      </c>
      <c r="BF386" s="12" t="e">
        <f t="shared" si="463"/>
        <v>#REF!</v>
      </c>
      <c r="BH386" s="12" t="e">
        <f t="shared" si="464"/>
        <v>#REF!</v>
      </c>
      <c r="BI386" s="12" t="e">
        <f t="shared" si="465"/>
        <v>#REF!</v>
      </c>
      <c r="BJ386" s="12" t="e">
        <f t="shared" si="466"/>
        <v>#REF!</v>
      </c>
      <c r="BK386" s="12"/>
      <c r="BL386" s="12">
        <v>732</v>
      </c>
      <c r="BW386" s="12" t="str">
        <f t="shared" si="467"/>
        <v>21</v>
      </c>
      <c r="BX386" s="3" t="s">
        <v>388</v>
      </c>
    </row>
    <row r="387" spans="1:76">
      <c r="A387" s="1" t="s">
        <v>887</v>
      </c>
      <c r="B387" s="2" t="s">
        <v>852</v>
      </c>
      <c r="C387" s="2" t="s">
        <v>179</v>
      </c>
      <c r="D387" s="349" t="s">
        <v>389</v>
      </c>
      <c r="E387" s="342"/>
      <c r="F387" s="2" t="s">
        <v>21</v>
      </c>
      <c r="G387" s="12" t="e">
        <f>#REF!</f>
        <v>#REF!</v>
      </c>
      <c r="H387" s="12" t="e">
        <f>#REF!</f>
        <v>#REF!</v>
      </c>
      <c r="I387" s="49" t="s">
        <v>554</v>
      </c>
      <c r="J387" s="12" t="e">
        <f t="shared" si="442"/>
        <v>#REF!</v>
      </c>
      <c r="K387" s="12" t="e">
        <f t="shared" si="443"/>
        <v>#REF!</v>
      </c>
      <c r="L387" s="12" t="e">
        <f t="shared" si="444"/>
        <v>#REF!</v>
      </c>
      <c r="M387" s="12" t="e">
        <f t="shared" si="445"/>
        <v>#REF!</v>
      </c>
      <c r="N387" s="12">
        <v>0</v>
      </c>
      <c r="O387" s="12" t="e">
        <f t="shared" si="446"/>
        <v>#REF!</v>
      </c>
      <c r="P387" s="50" t="s">
        <v>21</v>
      </c>
      <c r="Z387" s="12">
        <f t="shared" si="447"/>
        <v>0</v>
      </c>
      <c r="AB387" s="12">
        <f t="shared" si="448"/>
        <v>0</v>
      </c>
      <c r="AC387" s="12">
        <f t="shared" si="449"/>
        <v>0</v>
      </c>
      <c r="AD387" s="12" t="e">
        <f t="shared" si="450"/>
        <v>#REF!</v>
      </c>
      <c r="AE387" s="12" t="e">
        <f t="shared" si="451"/>
        <v>#REF!</v>
      </c>
      <c r="AF387" s="12">
        <f t="shared" si="452"/>
        <v>0</v>
      </c>
      <c r="AG387" s="12">
        <f t="shared" si="453"/>
        <v>0</v>
      </c>
      <c r="AH387" s="12">
        <f t="shared" si="454"/>
        <v>0</v>
      </c>
      <c r="AI387" s="10" t="s">
        <v>852</v>
      </c>
      <c r="AJ387" s="12">
        <f t="shared" si="455"/>
        <v>0</v>
      </c>
      <c r="AK387" s="12">
        <f t="shared" si="456"/>
        <v>0</v>
      </c>
      <c r="AL387" s="12" t="e">
        <f t="shared" si="457"/>
        <v>#REF!</v>
      </c>
      <c r="AN387" s="12">
        <v>21</v>
      </c>
      <c r="AO387" s="12" t="e">
        <f>H387*0.974240082</f>
        <v>#REF!</v>
      </c>
      <c r="AP387" s="12" t="e">
        <f>H387*(1-0.974240082)</f>
        <v>#REF!</v>
      </c>
      <c r="AQ387" s="49" t="s">
        <v>567</v>
      </c>
      <c r="AV387" s="12" t="e">
        <f t="shared" si="458"/>
        <v>#REF!</v>
      </c>
      <c r="AW387" s="12" t="e">
        <f t="shared" si="459"/>
        <v>#REF!</v>
      </c>
      <c r="AX387" s="12" t="e">
        <f t="shared" si="460"/>
        <v>#REF!</v>
      </c>
      <c r="AY387" s="49" t="s">
        <v>580</v>
      </c>
      <c r="AZ387" s="49" t="s">
        <v>882</v>
      </c>
      <c r="BA387" s="10" t="s">
        <v>855</v>
      </c>
      <c r="BC387" s="12" t="e">
        <f t="shared" si="461"/>
        <v>#REF!</v>
      </c>
      <c r="BD387" s="12" t="e">
        <f t="shared" si="462"/>
        <v>#REF!</v>
      </c>
      <c r="BE387" s="12">
        <v>0</v>
      </c>
      <c r="BF387" s="12" t="e">
        <f t="shared" si="463"/>
        <v>#REF!</v>
      </c>
      <c r="BH387" s="12" t="e">
        <f t="shared" si="464"/>
        <v>#REF!</v>
      </c>
      <c r="BI387" s="12" t="e">
        <f t="shared" si="465"/>
        <v>#REF!</v>
      </c>
      <c r="BJ387" s="12" t="e">
        <f t="shared" si="466"/>
        <v>#REF!</v>
      </c>
      <c r="BK387" s="12"/>
      <c r="BL387" s="12">
        <v>732</v>
      </c>
      <c r="BW387" s="12" t="str">
        <f t="shared" si="467"/>
        <v>21</v>
      </c>
      <c r="BX387" s="3" t="s">
        <v>389</v>
      </c>
    </row>
    <row r="388" spans="1:76">
      <c r="A388" s="1" t="s">
        <v>888</v>
      </c>
      <c r="B388" s="2" t="s">
        <v>852</v>
      </c>
      <c r="C388" s="2" t="s">
        <v>390</v>
      </c>
      <c r="D388" s="349" t="s">
        <v>391</v>
      </c>
      <c r="E388" s="342"/>
      <c r="F388" s="2" t="s">
        <v>58</v>
      </c>
      <c r="G388" s="12" t="e">
        <f>#REF!</f>
        <v>#REF!</v>
      </c>
      <c r="H388" s="12" t="e">
        <f>#REF!</f>
        <v>#REF!</v>
      </c>
      <c r="I388" s="49" t="s">
        <v>554</v>
      </c>
      <c r="J388" s="12" t="e">
        <f t="shared" si="442"/>
        <v>#REF!</v>
      </c>
      <c r="K388" s="12" t="e">
        <f t="shared" si="443"/>
        <v>#REF!</v>
      </c>
      <c r="L388" s="12" t="e">
        <f t="shared" si="444"/>
        <v>#REF!</v>
      </c>
      <c r="M388" s="12" t="e">
        <f t="shared" si="445"/>
        <v>#REF!</v>
      </c>
      <c r="N388" s="12">
        <v>1.9820000000000001E-2</v>
      </c>
      <c r="O388" s="12" t="e">
        <f t="shared" si="446"/>
        <v>#REF!</v>
      </c>
      <c r="P388" s="50" t="s">
        <v>605</v>
      </c>
      <c r="Z388" s="12">
        <f t="shared" si="447"/>
        <v>0</v>
      </c>
      <c r="AB388" s="12">
        <f t="shared" si="448"/>
        <v>0</v>
      </c>
      <c r="AC388" s="12">
        <f t="shared" si="449"/>
        <v>0</v>
      </c>
      <c r="AD388" s="12" t="e">
        <f t="shared" si="450"/>
        <v>#REF!</v>
      </c>
      <c r="AE388" s="12" t="e">
        <f t="shared" si="451"/>
        <v>#REF!</v>
      </c>
      <c r="AF388" s="12">
        <f t="shared" si="452"/>
        <v>0</v>
      </c>
      <c r="AG388" s="12">
        <f t="shared" si="453"/>
        <v>0</v>
      </c>
      <c r="AH388" s="12">
        <f t="shared" si="454"/>
        <v>0</v>
      </c>
      <c r="AI388" s="10" t="s">
        <v>852</v>
      </c>
      <c r="AJ388" s="12">
        <f t="shared" si="455"/>
        <v>0</v>
      </c>
      <c r="AK388" s="12">
        <f t="shared" si="456"/>
        <v>0</v>
      </c>
      <c r="AL388" s="12" t="e">
        <f t="shared" si="457"/>
        <v>#REF!</v>
      </c>
      <c r="AN388" s="12">
        <v>21</v>
      </c>
      <c r="AO388" s="12" t="e">
        <f>H388*0.642985042</f>
        <v>#REF!</v>
      </c>
      <c r="AP388" s="12" t="e">
        <f>H388*(1-0.642985042)</f>
        <v>#REF!</v>
      </c>
      <c r="AQ388" s="49" t="s">
        <v>567</v>
      </c>
      <c r="AV388" s="12" t="e">
        <f t="shared" si="458"/>
        <v>#REF!</v>
      </c>
      <c r="AW388" s="12" t="e">
        <f t="shared" si="459"/>
        <v>#REF!</v>
      </c>
      <c r="AX388" s="12" t="e">
        <f t="shared" si="460"/>
        <v>#REF!</v>
      </c>
      <c r="AY388" s="49" t="s">
        <v>580</v>
      </c>
      <c r="AZ388" s="49" t="s">
        <v>882</v>
      </c>
      <c r="BA388" s="10" t="s">
        <v>855</v>
      </c>
      <c r="BC388" s="12" t="e">
        <f t="shared" si="461"/>
        <v>#REF!</v>
      </c>
      <c r="BD388" s="12" t="e">
        <f t="shared" si="462"/>
        <v>#REF!</v>
      </c>
      <c r="BE388" s="12">
        <v>0</v>
      </c>
      <c r="BF388" s="12" t="e">
        <f t="shared" si="463"/>
        <v>#REF!</v>
      </c>
      <c r="BH388" s="12" t="e">
        <f t="shared" si="464"/>
        <v>#REF!</v>
      </c>
      <c r="BI388" s="12" t="e">
        <f t="shared" si="465"/>
        <v>#REF!</v>
      </c>
      <c r="BJ388" s="12" t="e">
        <f t="shared" si="466"/>
        <v>#REF!</v>
      </c>
      <c r="BK388" s="12"/>
      <c r="BL388" s="12">
        <v>732</v>
      </c>
      <c r="BW388" s="12" t="str">
        <f t="shared" si="467"/>
        <v>21</v>
      </c>
      <c r="BX388" s="3" t="s">
        <v>391</v>
      </c>
    </row>
    <row r="389" spans="1:76" ht="25.5">
      <c r="A389" s="1" t="s">
        <v>889</v>
      </c>
      <c r="B389" s="2" t="s">
        <v>852</v>
      </c>
      <c r="C389" s="2" t="s">
        <v>392</v>
      </c>
      <c r="D389" s="349" t="s">
        <v>446</v>
      </c>
      <c r="E389" s="342"/>
      <c r="F389" s="2" t="s">
        <v>68</v>
      </c>
      <c r="G389" s="12" t="e">
        <f>#REF!</f>
        <v>#REF!</v>
      </c>
      <c r="H389" s="12" t="e">
        <f>#REF!</f>
        <v>#REF!</v>
      </c>
      <c r="I389" s="49" t="s">
        <v>554</v>
      </c>
      <c r="J389" s="12" t="e">
        <f t="shared" si="442"/>
        <v>#REF!</v>
      </c>
      <c r="K389" s="12" t="e">
        <f t="shared" si="443"/>
        <v>#REF!</v>
      </c>
      <c r="L389" s="12" t="e">
        <f t="shared" si="444"/>
        <v>#REF!</v>
      </c>
      <c r="M389" s="12" t="e">
        <f t="shared" si="445"/>
        <v>#REF!</v>
      </c>
      <c r="N389" s="12">
        <v>1.9E-3</v>
      </c>
      <c r="O389" s="12" t="e">
        <f t="shared" si="446"/>
        <v>#REF!</v>
      </c>
      <c r="P389" s="50" t="s">
        <v>605</v>
      </c>
      <c r="Z389" s="12">
        <f t="shared" si="447"/>
        <v>0</v>
      </c>
      <c r="AB389" s="12">
        <f t="shared" si="448"/>
        <v>0</v>
      </c>
      <c r="AC389" s="12">
        <f t="shared" si="449"/>
        <v>0</v>
      </c>
      <c r="AD389" s="12" t="e">
        <f t="shared" si="450"/>
        <v>#REF!</v>
      </c>
      <c r="AE389" s="12" t="e">
        <f t="shared" si="451"/>
        <v>#REF!</v>
      </c>
      <c r="AF389" s="12">
        <f t="shared" si="452"/>
        <v>0</v>
      </c>
      <c r="AG389" s="12">
        <f t="shared" si="453"/>
        <v>0</v>
      </c>
      <c r="AH389" s="12">
        <f t="shared" si="454"/>
        <v>0</v>
      </c>
      <c r="AI389" s="10" t="s">
        <v>852</v>
      </c>
      <c r="AJ389" s="12">
        <f t="shared" si="455"/>
        <v>0</v>
      </c>
      <c r="AK389" s="12">
        <f t="shared" si="456"/>
        <v>0</v>
      </c>
      <c r="AL389" s="12" t="e">
        <f t="shared" si="457"/>
        <v>#REF!</v>
      </c>
      <c r="AN389" s="12">
        <v>21</v>
      </c>
      <c r="AO389" s="12" t="e">
        <f>H389*1</f>
        <v>#REF!</v>
      </c>
      <c r="AP389" s="12" t="e">
        <f>H389*(1-1)</f>
        <v>#REF!</v>
      </c>
      <c r="AQ389" s="49" t="s">
        <v>567</v>
      </c>
      <c r="AV389" s="12" t="e">
        <f t="shared" si="458"/>
        <v>#REF!</v>
      </c>
      <c r="AW389" s="12" t="e">
        <f t="shared" si="459"/>
        <v>#REF!</v>
      </c>
      <c r="AX389" s="12" t="e">
        <f t="shared" si="460"/>
        <v>#REF!</v>
      </c>
      <c r="AY389" s="49" t="s">
        <v>580</v>
      </c>
      <c r="AZ389" s="49" t="s">
        <v>882</v>
      </c>
      <c r="BA389" s="10" t="s">
        <v>855</v>
      </c>
      <c r="BC389" s="12" t="e">
        <f t="shared" si="461"/>
        <v>#REF!</v>
      </c>
      <c r="BD389" s="12" t="e">
        <f t="shared" si="462"/>
        <v>#REF!</v>
      </c>
      <c r="BE389" s="12">
        <v>0</v>
      </c>
      <c r="BF389" s="12" t="e">
        <f t="shared" si="463"/>
        <v>#REF!</v>
      </c>
      <c r="BH389" s="12" t="e">
        <f t="shared" si="464"/>
        <v>#REF!</v>
      </c>
      <c r="BI389" s="12" t="e">
        <f t="shared" si="465"/>
        <v>#REF!</v>
      </c>
      <c r="BJ389" s="12" t="e">
        <f t="shared" si="466"/>
        <v>#REF!</v>
      </c>
      <c r="BK389" s="12"/>
      <c r="BL389" s="12">
        <v>732</v>
      </c>
      <c r="BW389" s="12" t="str">
        <f t="shared" si="467"/>
        <v>21</v>
      </c>
      <c r="BX389" s="3" t="s">
        <v>446</v>
      </c>
    </row>
    <row r="390" spans="1:76">
      <c r="A390" s="46" t="s">
        <v>21</v>
      </c>
      <c r="B390" s="9" t="s">
        <v>852</v>
      </c>
      <c r="C390" s="9" t="s">
        <v>85</v>
      </c>
      <c r="D390" s="359" t="s">
        <v>86</v>
      </c>
      <c r="E390" s="360"/>
      <c r="F390" s="47" t="s">
        <v>20</v>
      </c>
      <c r="G390" s="47" t="s">
        <v>20</v>
      </c>
      <c r="H390" s="47" t="s">
        <v>20</v>
      </c>
      <c r="I390" s="47" t="s">
        <v>20</v>
      </c>
      <c r="J390" s="11" t="e">
        <f>SUM(J391:J401)</f>
        <v>#REF!</v>
      </c>
      <c r="K390" s="11" t="e">
        <f>SUM(K391:K401)</f>
        <v>#REF!</v>
      </c>
      <c r="L390" s="11" t="e">
        <f>SUM(L391:L401)</f>
        <v>#REF!</v>
      </c>
      <c r="M390" s="11" t="e">
        <f>SUM(M391:M401)</f>
        <v>#REF!</v>
      </c>
      <c r="N390" s="10" t="s">
        <v>21</v>
      </c>
      <c r="O390" s="11" t="e">
        <f>SUM(O391:O401)</f>
        <v>#REF!</v>
      </c>
      <c r="P390" s="48" t="s">
        <v>21</v>
      </c>
      <c r="AI390" s="10" t="s">
        <v>852</v>
      </c>
      <c r="AS390" s="11">
        <f>SUM(AJ391:AJ401)</f>
        <v>0</v>
      </c>
      <c r="AT390" s="11">
        <f>SUM(AK391:AK401)</f>
        <v>0</v>
      </c>
      <c r="AU390" s="11" t="e">
        <f>SUM(AL391:AL401)</f>
        <v>#REF!</v>
      </c>
    </row>
    <row r="391" spans="1:76">
      <c r="A391" s="1" t="s">
        <v>890</v>
      </c>
      <c r="B391" s="2" t="s">
        <v>852</v>
      </c>
      <c r="C391" s="2" t="s">
        <v>394</v>
      </c>
      <c r="D391" s="349" t="s">
        <v>395</v>
      </c>
      <c r="E391" s="342"/>
      <c r="F391" s="2" t="s">
        <v>68</v>
      </c>
      <c r="G391" s="12" t="e">
        <f>#REF!</f>
        <v>#REF!</v>
      </c>
      <c r="H391" s="12" t="e">
        <f>#REF!</f>
        <v>#REF!</v>
      </c>
      <c r="I391" s="49" t="s">
        <v>554</v>
      </c>
      <c r="J391" s="12" t="e">
        <f t="shared" ref="J391:J401" si="468">G391*AO391</f>
        <v>#REF!</v>
      </c>
      <c r="K391" s="12" t="e">
        <f t="shared" ref="K391:K401" si="469">G391*AP391</f>
        <v>#REF!</v>
      </c>
      <c r="L391" s="12" t="e">
        <f t="shared" ref="L391:L401" si="470">G391*H391</f>
        <v>#REF!</v>
      </c>
      <c r="M391" s="12" t="e">
        <f t="shared" ref="M391:M401" si="471">L391*(1+BW391/100)</f>
        <v>#REF!</v>
      </c>
      <c r="N391" s="12">
        <v>2.1700000000000001E-3</v>
      </c>
      <c r="O391" s="12" t="e">
        <f t="shared" ref="O391:O401" si="472">G391*N391</f>
        <v>#REF!</v>
      </c>
      <c r="P391" s="50" t="s">
        <v>577</v>
      </c>
      <c r="Z391" s="12">
        <f t="shared" ref="Z391:Z401" si="473">IF(AQ391="5",BJ391,0)</f>
        <v>0</v>
      </c>
      <c r="AB391" s="12">
        <f t="shared" ref="AB391:AB401" si="474">IF(AQ391="1",BH391,0)</f>
        <v>0</v>
      </c>
      <c r="AC391" s="12">
        <f t="shared" ref="AC391:AC401" si="475">IF(AQ391="1",BI391,0)</f>
        <v>0</v>
      </c>
      <c r="AD391" s="12" t="e">
        <f t="shared" ref="AD391:AD401" si="476">IF(AQ391="7",BH391,0)</f>
        <v>#REF!</v>
      </c>
      <c r="AE391" s="12" t="e">
        <f t="shared" ref="AE391:AE401" si="477">IF(AQ391="7",BI391,0)</f>
        <v>#REF!</v>
      </c>
      <c r="AF391" s="12">
        <f t="shared" ref="AF391:AF401" si="478">IF(AQ391="2",BH391,0)</f>
        <v>0</v>
      </c>
      <c r="AG391" s="12">
        <f t="shared" ref="AG391:AG401" si="479">IF(AQ391="2",BI391,0)</f>
        <v>0</v>
      </c>
      <c r="AH391" s="12">
        <f t="shared" ref="AH391:AH401" si="480">IF(AQ391="0",BJ391,0)</f>
        <v>0</v>
      </c>
      <c r="AI391" s="10" t="s">
        <v>852</v>
      </c>
      <c r="AJ391" s="12">
        <f t="shared" ref="AJ391:AJ401" si="481">IF(AN391=0,L391,0)</f>
        <v>0</v>
      </c>
      <c r="AK391" s="12">
        <f t="shared" ref="AK391:AK401" si="482">IF(AN391=12,L391,0)</f>
        <v>0</v>
      </c>
      <c r="AL391" s="12" t="e">
        <f t="shared" ref="AL391:AL401" si="483">IF(AN391=21,L391,0)</f>
        <v>#REF!</v>
      </c>
      <c r="AN391" s="12">
        <v>21</v>
      </c>
      <c r="AO391" s="12" t="e">
        <f>H391*0.593006993</f>
        <v>#REF!</v>
      </c>
      <c r="AP391" s="12" t="e">
        <f>H391*(1-0.593006993)</f>
        <v>#REF!</v>
      </c>
      <c r="AQ391" s="49" t="s">
        <v>567</v>
      </c>
      <c r="AV391" s="12" t="e">
        <f t="shared" ref="AV391:AV401" si="484">AW391+AX391</f>
        <v>#REF!</v>
      </c>
      <c r="AW391" s="12" t="e">
        <f t="shared" ref="AW391:AW401" si="485">G391*AO391</f>
        <v>#REF!</v>
      </c>
      <c r="AX391" s="12" t="e">
        <f t="shared" ref="AX391:AX401" si="486">G391*AP391</f>
        <v>#REF!</v>
      </c>
      <c r="AY391" s="49" t="s">
        <v>588</v>
      </c>
      <c r="AZ391" s="49" t="s">
        <v>882</v>
      </c>
      <c r="BA391" s="10" t="s">
        <v>855</v>
      </c>
      <c r="BC391" s="12" t="e">
        <f t="shared" ref="BC391:BC401" si="487">AW391+AX391</f>
        <v>#REF!</v>
      </c>
      <c r="BD391" s="12" t="e">
        <f t="shared" ref="BD391:BD401" si="488">H391/(100-BE391)*100</f>
        <v>#REF!</v>
      </c>
      <c r="BE391" s="12">
        <v>0</v>
      </c>
      <c r="BF391" s="12" t="e">
        <f t="shared" ref="BF391:BF401" si="489">O391</f>
        <v>#REF!</v>
      </c>
      <c r="BH391" s="12" t="e">
        <f t="shared" ref="BH391:BH401" si="490">G391*AO391</f>
        <v>#REF!</v>
      </c>
      <c r="BI391" s="12" t="e">
        <f t="shared" ref="BI391:BI401" si="491">G391*AP391</f>
        <v>#REF!</v>
      </c>
      <c r="BJ391" s="12" t="e">
        <f t="shared" ref="BJ391:BJ401" si="492">G391*H391</f>
        <v>#REF!</v>
      </c>
      <c r="BK391" s="12"/>
      <c r="BL391" s="12">
        <v>733</v>
      </c>
      <c r="BW391" s="12" t="str">
        <f t="shared" ref="BW391:BW401" si="493">I391</f>
        <v>21</v>
      </c>
      <c r="BX391" s="3" t="s">
        <v>395</v>
      </c>
    </row>
    <row r="392" spans="1:76">
      <c r="A392" s="1" t="s">
        <v>891</v>
      </c>
      <c r="B392" s="2" t="s">
        <v>852</v>
      </c>
      <c r="C392" s="2" t="s">
        <v>396</v>
      </c>
      <c r="D392" s="349" t="s">
        <v>397</v>
      </c>
      <c r="E392" s="342"/>
      <c r="F392" s="2" t="s">
        <v>68</v>
      </c>
      <c r="G392" s="12" t="e">
        <f>#REF!</f>
        <v>#REF!</v>
      </c>
      <c r="H392" s="12" t="e">
        <f>#REF!</f>
        <v>#REF!</v>
      </c>
      <c r="I392" s="49" t="s">
        <v>554</v>
      </c>
      <c r="J392" s="12" t="e">
        <f t="shared" si="468"/>
        <v>#REF!</v>
      </c>
      <c r="K392" s="12" t="e">
        <f t="shared" si="469"/>
        <v>#REF!</v>
      </c>
      <c r="L392" s="12" t="e">
        <f t="shared" si="470"/>
        <v>#REF!</v>
      </c>
      <c r="M392" s="12" t="e">
        <f t="shared" si="471"/>
        <v>#REF!</v>
      </c>
      <c r="N392" s="12">
        <v>2.1000000000000001E-4</v>
      </c>
      <c r="O392" s="12" t="e">
        <f t="shared" si="472"/>
        <v>#REF!</v>
      </c>
      <c r="P392" s="50" t="s">
        <v>577</v>
      </c>
      <c r="Z392" s="12">
        <f t="shared" si="473"/>
        <v>0</v>
      </c>
      <c r="AB392" s="12">
        <f t="shared" si="474"/>
        <v>0</v>
      </c>
      <c r="AC392" s="12">
        <f t="shared" si="475"/>
        <v>0</v>
      </c>
      <c r="AD392" s="12" t="e">
        <f t="shared" si="476"/>
        <v>#REF!</v>
      </c>
      <c r="AE392" s="12" t="e">
        <f t="shared" si="477"/>
        <v>#REF!</v>
      </c>
      <c r="AF392" s="12">
        <f t="shared" si="478"/>
        <v>0</v>
      </c>
      <c r="AG392" s="12">
        <f t="shared" si="479"/>
        <v>0</v>
      </c>
      <c r="AH392" s="12">
        <f t="shared" si="480"/>
        <v>0</v>
      </c>
      <c r="AI392" s="10" t="s">
        <v>852</v>
      </c>
      <c r="AJ392" s="12">
        <f t="shared" si="481"/>
        <v>0</v>
      </c>
      <c r="AK392" s="12">
        <f t="shared" si="482"/>
        <v>0</v>
      </c>
      <c r="AL392" s="12" t="e">
        <f t="shared" si="483"/>
        <v>#REF!</v>
      </c>
      <c r="AN392" s="12">
        <v>21</v>
      </c>
      <c r="AO392" s="12" t="e">
        <f>H392*0.236903409</f>
        <v>#REF!</v>
      </c>
      <c r="AP392" s="12" t="e">
        <f>H392*(1-0.236903409)</f>
        <v>#REF!</v>
      </c>
      <c r="AQ392" s="49" t="s">
        <v>567</v>
      </c>
      <c r="AV392" s="12" t="e">
        <f t="shared" si="484"/>
        <v>#REF!</v>
      </c>
      <c r="AW392" s="12" t="e">
        <f t="shared" si="485"/>
        <v>#REF!</v>
      </c>
      <c r="AX392" s="12" t="e">
        <f t="shared" si="486"/>
        <v>#REF!</v>
      </c>
      <c r="AY392" s="49" t="s">
        <v>588</v>
      </c>
      <c r="AZ392" s="49" t="s">
        <v>882</v>
      </c>
      <c r="BA392" s="10" t="s">
        <v>855</v>
      </c>
      <c r="BC392" s="12" t="e">
        <f t="shared" si="487"/>
        <v>#REF!</v>
      </c>
      <c r="BD392" s="12" t="e">
        <f t="shared" si="488"/>
        <v>#REF!</v>
      </c>
      <c r="BE392" s="12">
        <v>0</v>
      </c>
      <c r="BF392" s="12" t="e">
        <f t="shared" si="489"/>
        <v>#REF!</v>
      </c>
      <c r="BH392" s="12" t="e">
        <f t="shared" si="490"/>
        <v>#REF!</v>
      </c>
      <c r="BI392" s="12" t="e">
        <f t="shared" si="491"/>
        <v>#REF!</v>
      </c>
      <c r="BJ392" s="12" t="e">
        <f t="shared" si="492"/>
        <v>#REF!</v>
      </c>
      <c r="BK392" s="12"/>
      <c r="BL392" s="12">
        <v>733</v>
      </c>
      <c r="BW392" s="12" t="str">
        <f t="shared" si="493"/>
        <v>21</v>
      </c>
      <c r="BX392" s="3" t="s">
        <v>397</v>
      </c>
    </row>
    <row r="393" spans="1:76">
      <c r="A393" s="1" t="s">
        <v>892</v>
      </c>
      <c r="B393" s="2" t="s">
        <v>852</v>
      </c>
      <c r="C393" s="2" t="s">
        <v>398</v>
      </c>
      <c r="D393" s="349" t="s">
        <v>399</v>
      </c>
      <c r="E393" s="342"/>
      <c r="F393" s="2" t="s">
        <v>68</v>
      </c>
      <c r="G393" s="12" t="e">
        <f>#REF!</f>
        <v>#REF!</v>
      </c>
      <c r="H393" s="12" t="e">
        <f>#REF!</f>
        <v>#REF!</v>
      </c>
      <c r="I393" s="49" t="s">
        <v>554</v>
      </c>
      <c r="J393" s="12" t="e">
        <f t="shared" si="468"/>
        <v>#REF!</v>
      </c>
      <c r="K393" s="12" t="e">
        <f t="shared" si="469"/>
        <v>#REF!</v>
      </c>
      <c r="L393" s="12" t="e">
        <f t="shared" si="470"/>
        <v>#REF!</v>
      </c>
      <c r="M393" s="12" t="e">
        <f t="shared" si="471"/>
        <v>#REF!</v>
      </c>
      <c r="N393" s="12">
        <v>1.3999999999999999E-4</v>
      </c>
      <c r="O393" s="12" t="e">
        <f t="shared" si="472"/>
        <v>#REF!</v>
      </c>
      <c r="P393" s="50" t="s">
        <v>605</v>
      </c>
      <c r="Z393" s="12">
        <f t="shared" si="473"/>
        <v>0</v>
      </c>
      <c r="AB393" s="12">
        <f t="shared" si="474"/>
        <v>0</v>
      </c>
      <c r="AC393" s="12">
        <f t="shared" si="475"/>
        <v>0</v>
      </c>
      <c r="AD393" s="12" t="e">
        <f t="shared" si="476"/>
        <v>#REF!</v>
      </c>
      <c r="AE393" s="12" t="e">
        <f t="shared" si="477"/>
        <v>#REF!</v>
      </c>
      <c r="AF393" s="12">
        <f t="shared" si="478"/>
        <v>0</v>
      </c>
      <c r="AG393" s="12">
        <f t="shared" si="479"/>
        <v>0</v>
      </c>
      <c r="AH393" s="12">
        <f t="shared" si="480"/>
        <v>0</v>
      </c>
      <c r="AI393" s="10" t="s">
        <v>852</v>
      </c>
      <c r="AJ393" s="12">
        <f t="shared" si="481"/>
        <v>0</v>
      </c>
      <c r="AK393" s="12">
        <f t="shared" si="482"/>
        <v>0</v>
      </c>
      <c r="AL393" s="12" t="e">
        <f t="shared" si="483"/>
        <v>#REF!</v>
      </c>
      <c r="AN393" s="12">
        <v>21</v>
      </c>
      <c r="AO393" s="12" t="e">
        <f>H393*0.345851429</f>
        <v>#REF!</v>
      </c>
      <c r="AP393" s="12" t="e">
        <f>H393*(1-0.345851429)</f>
        <v>#REF!</v>
      </c>
      <c r="AQ393" s="49" t="s">
        <v>567</v>
      </c>
      <c r="AV393" s="12" t="e">
        <f t="shared" si="484"/>
        <v>#REF!</v>
      </c>
      <c r="AW393" s="12" t="e">
        <f t="shared" si="485"/>
        <v>#REF!</v>
      </c>
      <c r="AX393" s="12" t="e">
        <f t="shared" si="486"/>
        <v>#REF!</v>
      </c>
      <c r="AY393" s="49" t="s">
        <v>588</v>
      </c>
      <c r="AZ393" s="49" t="s">
        <v>882</v>
      </c>
      <c r="BA393" s="10" t="s">
        <v>855</v>
      </c>
      <c r="BC393" s="12" t="e">
        <f t="shared" si="487"/>
        <v>#REF!</v>
      </c>
      <c r="BD393" s="12" t="e">
        <f t="shared" si="488"/>
        <v>#REF!</v>
      </c>
      <c r="BE393" s="12">
        <v>0</v>
      </c>
      <c r="BF393" s="12" t="e">
        <f t="shared" si="489"/>
        <v>#REF!</v>
      </c>
      <c r="BH393" s="12" t="e">
        <f t="shared" si="490"/>
        <v>#REF!</v>
      </c>
      <c r="BI393" s="12" t="e">
        <f t="shared" si="491"/>
        <v>#REF!</v>
      </c>
      <c r="BJ393" s="12" t="e">
        <f t="shared" si="492"/>
        <v>#REF!</v>
      </c>
      <c r="BK393" s="12"/>
      <c r="BL393" s="12">
        <v>733</v>
      </c>
      <c r="BW393" s="12" t="str">
        <f t="shared" si="493"/>
        <v>21</v>
      </c>
      <c r="BX393" s="3" t="s">
        <v>399</v>
      </c>
    </row>
    <row r="394" spans="1:76">
      <c r="A394" s="1" t="s">
        <v>893</v>
      </c>
      <c r="B394" s="2" t="s">
        <v>852</v>
      </c>
      <c r="C394" s="2" t="s">
        <v>400</v>
      </c>
      <c r="D394" s="349" t="s">
        <v>401</v>
      </c>
      <c r="E394" s="342"/>
      <c r="F394" s="2" t="s">
        <v>63</v>
      </c>
      <c r="G394" s="12" t="e">
        <f>#REF!</f>
        <v>#REF!</v>
      </c>
      <c r="H394" s="12" t="e">
        <f>#REF!</f>
        <v>#REF!</v>
      </c>
      <c r="I394" s="49" t="s">
        <v>554</v>
      </c>
      <c r="J394" s="12" t="e">
        <f t="shared" si="468"/>
        <v>#REF!</v>
      </c>
      <c r="K394" s="12" t="e">
        <f t="shared" si="469"/>
        <v>#REF!</v>
      </c>
      <c r="L394" s="12" t="e">
        <f t="shared" si="470"/>
        <v>#REF!</v>
      </c>
      <c r="M394" s="12" t="e">
        <f t="shared" si="471"/>
        <v>#REF!</v>
      </c>
      <c r="N394" s="12">
        <v>8.4700000000000001E-3</v>
      </c>
      <c r="O394" s="12" t="e">
        <f t="shared" si="472"/>
        <v>#REF!</v>
      </c>
      <c r="P394" s="50" t="s">
        <v>577</v>
      </c>
      <c r="Z394" s="12">
        <f t="shared" si="473"/>
        <v>0</v>
      </c>
      <c r="AB394" s="12">
        <f t="shared" si="474"/>
        <v>0</v>
      </c>
      <c r="AC394" s="12">
        <f t="shared" si="475"/>
        <v>0</v>
      </c>
      <c r="AD394" s="12" t="e">
        <f t="shared" si="476"/>
        <v>#REF!</v>
      </c>
      <c r="AE394" s="12" t="e">
        <f t="shared" si="477"/>
        <v>#REF!</v>
      </c>
      <c r="AF394" s="12">
        <f t="shared" si="478"/>
        <v>0</v>
      </c>
      <c r="AG394" s="12">
        <f t="shared" si="479"/>
        <v>0</v>
      </c>
      <c r="AH394" s="12">
        <f t="shared" si="480"/>
        <v>0</v>
      </c>
      <c r="AI394" s="10" t="s">
        <v>852</v>
      </c>
      <c r="AJ394" s="12">
        <f t="shared" si="481"/>
        <v>0</v>
      </c>
      <c r="AK394" s="12">
        <f t="shared" si="482"/>
        <v>0</v>
      </c>
      <c r="AL394" s="12" t="e">
        <f t="shared" si="483"/>
        <v>#REF!</v>
      </c>
      <c r="AN394" s="12">
        <v>21</v>
      </c>
      <c r="AO394" s="12" t="e">
        <f>H394*0.193150786</f>
        <v>#REF!</v>
      </c>
      <c r="AP394" s="12" t="e">
        <f>H394*(1-0.193150786)</f>
        <v>#REF!</v>
      </c>
      <c r="AQ394" s="49" t="s">
        <v>567</v>
      </c>
      <c r="AV394" s="12" t="e">
        <f t="shared" si="484"/>
        <v>#REF!</v>
      </c>
      <c r="AW394" s="12" t="e">
        <f t="shared" si="485"/>
        <v>#REF!</v>
      </c>
      <c r="AX394" s="12" t="e">
        <f t="shared" si="486"/>
        <v>#REF!</v>
      </c>
      <c r="AY394" s="49" t="s">
        <v>588</v>
      </c>
      <c r="AZ394" s="49" t="s">
        <v>882</v>
      </c>
      <c r="BA394" s="10" t="s">
        <v>855</v>
      </c>
      <c r="BC394" s="12" t="e">
        <f t="shared" si="487"/>
        <v>#REF!</v>
      </c>
      <c r="BD394" s="12" t="e">
        <f t="shared" si="488"/>
        <v>#REF!</v>
      </c>
      <c r="BE394" s="12">
        <v>0</v>
      </c>
      <c r="BF394" s="12" t="e">
        <f t="shared" si="489"/>
        <v>#REF!</v>
      </c>
      <c r="BH394" s="12" t="e">
        <f t="shared" si="490"/>
        <v>#REF!</v>
      </c>
      <c r="BI394" s="12" t="e">
        <f t="shared" si="491"/>
        <v>#REF!</v>
      </c>
      <c r="BJ394" s="12" t="e">
        <f t="shared" si="492"/>
        <v>#REF!</v>
      </c>
      <c r="BK394" s="12"/>
      <c r="BL394" s="12">
        <v>733</v>
      </c>
      <c r="BW394" s="12" t="str">
        <f t="shared" si="493"/>
        <v>21</v>
      </c>
      <c r="BX394" s="3" t="s">
        <v>401</v>
      </c>
    </row>
    <row r="395" spans="1:76">
      <c r="A395" s="1" t="s">
        <v>894</v>
      </c>
      <c r="B395" s="2" t="s">
        <v>852</v>
      </c>
      <c r="C395" s="2" t="s">
        <v>402</v>
      </c>
      <c r="D395" s="349" t="s">
        <v>403</v>
      </c>
      <c r="E395" s="342"/>
      <c r="F395" s="2" t="s">
        <v>63</v>
      </c>
      <c r="G395" s="12" t="e">
        <f>#REF!</f>
        <v>#REF!</v>
      </c>
      <c r="H395" s="12" t="e">
        <f>#REF!</f>
        <v>#REF!</v>
      </c>
      <c r="I395" s="49" t="s">
        <v>554</v>
      </c>
      <c r="J395" s="12" t="e">
        <f t="shared" si="468"/>
        <v>#REF!</v>
      </c>
      <c r="K395" s="12" t="e">
        <f t="shared" si="469"/>
        <v>#REF!</v>
      </c>
      <c r="L395" s="12" t="e">
        <f t="shared" si="470"/>
        <v>#REF!</v>
      </c>
      <c r="M395" s="12" t="e">
        <f t="shared" si="471"/>
        <v>#REF!</v>
      </c>
      <c r="N395" s="12">
        <v>7.6E-3</v>
      </c>
      <c r="O395" s="12" t="e">
        <f t="shared" si="472"/>
        <v>#REF!</v>
      </c>
      <c r="P395" s="50" t="s">
        <v>605</v>
      </c>
      <c r="Z395" s="12">
        <f t="shared" si="473"/>
        <v>0</v>
      </c>
      <c r="AB395" s="12">
        <f t="shared" si="474"/>
        <v>0</v>
      </c>
      <c r="AC395" s="12">
        <f t="shared" si="475"/>
        <v>0</v>
      </c>
      <c r="AD395" s="12" t="e">
        <f t="shared" si="476"/>
        <v>#REF!</v>
      </c>
      <c r="AE395" s="12" t="e">
        <f t="shared" si="477"/>
        <v>#REF!</v>
      </c>
      <c r="AF395" s="12">
        <f t="shared" si="478"/>
        <v>0</v>
      </c>
      <c r="AG395" s="12">
        <f t="shared" si="479"/>
        <v>0</v>
      </c>
      <c r="AH395" s="12">
        <f t="shared" si="480"/>
        <v>0</v>
      </c>
      <c r="AI395" s="10" t="s">
        <v>852</v>
      </c>
      <c r="AJ395" s="12">
        <f t="shared" si="481"/>
        <v>0</v>
      </c>
      <c r="AK395" s="12">
        <f t="shared" si="482"/>
        <v>0</v>
      </c>
      <c r="AL395" s="12" t="e">
        <f t="shared" si="483"/>
        <v>#REF!</v>
      </c>
      <c r="AN395" s="12">
        <v>21</v>
      </c>
      <c r="AO395" s="12" t="e">
        <f>H395*0.583448607</f>
        <v>#REF!</v>
      </c>
      <c r="AP395" s="12" t="e">
        <f>H395*(1-0.583448607)</f>
        <v>#REF!</v>
      </c>
      <c r="AQ395" s="49" t="s">
        <v>567</v>
      </c>
      <c r="AV395" s="12" t="e">
        <f t="shared" si="484"/>
        <v>#REF!</v>
      </c>
      <c r="AW395" s="12" t="e">
        <f t="shared" si="485"/>
        <v>#REF!</v>
      </c>
      <c r="AX395" s="12" t="e">
        <f t="shared" si="486"/>
        <v>#REF!</v>
      </c>
      <c r="AY395" s="49" t="s">
        <v>588</v>
      </c>
      <c r="AZ395" s="49" t="s">
        <v>882</v>
      </c>
      <c r="BA395" s="10" t="s">
        <v>855</v>
      </c>
      <c r="BC395" s="12" t="e">
        <f t="shared" si="487"/>
        <v>#REF!</v>
      </c>
      <c r="BD395" s="12" t="e">
        <f t="shared" si="488"/>
        <v>#REF!</v>
      </c>
      <c r="BE395" s="12">
        <v>0</v>
      </c>
      <c r="BF395" s="12" t="e">
        <f t="shared" si="489"/>
        <v>#REF!</v>
      </c>
      <c r="BH395" s="12" t="e">
        <f t="shared" si="490"/>
        <v>#REF!</v>
      </c>
      <c r="BI395" s="12" t="e">
        <f t="shared" si="491"/>
        <v>#REF!</v>
      </c>
      <c r="BJ395" s="12" t="e">
        <f t="shared" si="492"/>
        <v>#REF!</v>
      </c>
      <c r="BK395" s="12"/>
      <c r="BL395" s="12">
        <v>733</v>
      </c>
      <c r="BW395" s="12" t="str">
        <f t="shared" si="493"/>
        <v>21</v>
      </c>
      <c r="BX395" s="3" t="s">
        <v>403</v>
      </c>
    </row>
    <row r="396" spans="1:76">
      <c r="A396" s="1" t="s">
        <v>895</v>
      </c>
      <c r="B396" s="2" t="s">
        <v>852</v>
      </c>
      <c r="C396" s="2" t="s">
        <v>404</v>
      </c>
      <c r="D396" s="349" t="s">
        <v>405</v>
      </c>
      <c r="E396" s="342"/>
      <c r="F396" s="2" t="s">
        <v>63</v>
      </c>
      <c r="G396" s="12" t="e">
        <f>#REF!</f>
        <v>#REF!</v>
      </c>
      <c r="H396" s="12" t="e">
        <f>#REF!</f>
        <v>#REF!</v>
      </c>
      <c r="I396" s="49" t="s">
        <v>554</v>
      </c>
      <c r="J396" s="12" t="e">
        <f t="shared" si="468"/>
        <v>#REF!</v>
      </c>
      <c r="K396" s="12" t="e">
        <f t="shared" si="469"/>
        <v>#REF!</v>
      </c>
      <c r="L396" s="12" t="e">
        <f t="shared" si="470"/>
        <v>#REF!</v>
      </c>
      <c r="M396" s="12" t="e">
        <f t="shared" si="471"/>
        <v>#REF!</v>
      </c>
      <c r="N396" s="12">
        <v>4.8700000000000002E-3</v>
      </c>
      <c r="O396" s="12" t="e">
        <f t="shared" si="472"/>
        <v>#REF!</v>
      </c>
      <c r="P396" s="50" t="s">
        <v>577</v>
      </c>
      <c r="Z396" s="12">
        <f t="shared" si="473"/>
        <v>0</v>
      </c>
      <c r="AB396" s="12">
        <f t="shared" si="474"/>
        <v>0</v>
      </c>
      <c r="AC396" s="12">
        <f t="shared" si="475"/>
        <v>0</v>
      </c>
      <c r="AD396" s="12" t="e">
        <f t="shared" si="476"/>
        <v>#REF!</v>
      </c>
      <c r="AE396" s="12" t="e">
        <f t="shared" si="477"/>
        <v>#REF!</v>
      </c>
      <c r="AF396" s="12">
        <f t="shared" si="478"/>
        <v>0</v>
      </c>
      <c r="AG396" s="12">
        <f t="shared" si="479"/>
        <v>0</v>
      </c>
      <c r="AH396" s="12">
        <f t="shared" si="480"/>
        <v>0</v>
      </c>
      <c r="AI396" s="10" t="s">
        <v>852</v>
      </c>
      <c r="AJ396" s="12">
        <f t="shared" si="481"/>
        <v>0</v>
      </c>
      <c r="AK396" s="12">
        <f t="shared" si="482"/>
        <v>0</v>
      </c>
      <c r="AL396" s="12" t="e">
        <f t="shared" si="483"/>
        <v>#REF!</v>
      </c>
      <c r="AN396" s="12">
        <v>21</v>
      </c>
      <c r="AO396" s="12" t="e">
        <f>H396*0.106027821</f>
        <v>#REF!</v>
      </c>
      <c r="AP396" s="12" t="e">
        <f>H396*(1-0.106027821)</f>
        <v>#REF!</v>
      </c>
      <c r="AQ396" s="49" t="s">
        <v>567</v>
      </c>
      <c r="AV396" s="12" t="e">
        <f t="shared" si="484"/>
        <v>#REF!</v>
      </c>
      <c r="AW396" s="12" t="e">
        <f t="shared" si="485"/>
        <v>#REF!</v>
      </c>
      <c r="AX396" s="12" t="e">
        <f t="shared" si="486"/>
        <v>#REF!</v>
      </c>
      <c r="AY396" s="49" t="s">
        <v>588</v>
      </c>
      <c r="AZ396" s="49" t="s">
        <v>882</v>
      </c>
      <c r="BA396" s="10" t="s">
        <v>855</v>
      </c>
      <c r="BC396" s="12" t="e">
        <f t="shared" si="487"/>
        <v>#REF!</v>
      </c>
      <c r="BD396" s="12" t="e">
        <f t="shared" si="488"/>
        <v>#REF!</v>
      </c>
      <c r="BE396" s="12">
        <v>0</v>
      </c>
      <c r="BF396" s="12" t="e">
        <f t="shared" si="489"/>
        <v>#REF!</v>
      </c>
      <c r="BH396" s="12" t="e">
        <f t="shared" si="490"/>
        <v>#REF!</v>
      </c>
      <c r="BI396" s="12" t="e">
        <f t="shared" si="491"/>
        <v>#REF!</v>
      </c>
      <c r="BJ396" s="12" t="e">
        <f t="shared" si="492"/>
        <v>#REF!</v>
      </c>
      <c r="BK396" s="12"/>
      <c r="BL396" s="12">
        <v>733</v>
      </c>
      <c r="BW396" s="12" t="str">
        <f t="shared" si="493"/>
        <v>21</v>
      </c>
      <c r="BX396" s="3" t="s">
        <v>405</v>
      </c>
    </row>
    <row r="397" spans="1:76">
      <c r="A397" s="1" t="s">
        <v>896</v>
      </c>
      <c r="B397" s="2" t="s">
        <v>852</v>
      </c>
      <c r="C397" s="2" t="s">
        <v>406</v>
      </c>
      <c r="D397" s="349" t="s">
        <v>407</v>
      </c>
      <c r="E397" s="342"/>
      <c r="F397" s="2" t="s">
        <v>63</v>
      </c>
      <c r="G397" s="12" t="e">
        <f>#REF!</f>
        <v>#REF!</v>
      </c>
      <c r="H397" s="12" t="e">
        <f>#REF!</f>
        <v>#REF!</v>
      </c>
      <c r="I397" s="49" t="s">
        <v>554</v>
      </c>
      <c r="J397" s="12" t="e">
        <f t="shared" si="468"/>
        <v>#REF!</v>
      </c>
      <c r="K397" s="12" t="e">
        <f t="shared" si="469"/>
        <v>#REF!</v>
      </c>
      <c r="L397" s="12" t="e">
        <f t="shared" si="470"/>
        <v>#REF!</v>
      </c>
      <c r="M397" s="12" t="e">
        <f t="shared" si="471"/>
        <v>#REF!</v>
      </c>
      <c r="N397" s="12">
        <v>5.8500000000000002E-3</v>
      </c>
      <c r="O397" s="12" t="e">
        <f t="shared" si="472"/>
        <v>#REF!</v>
      </c>
      <c r="P397" s="50" t="s">
        <v>577</v>
      </c>
      <c r="Z397" s="12">
        <f t="shared" si="473"/>
        <v>0</v>
      </c>
      <c r="AB397" s="12">
        <f t="shared" si="474"/>
        <v>0</v>
      </c>
      <c r="AC397" s="12">
        <f t="shared" si="475"/>
        <v>0</v>
      </c>
      <c r="AD397" s="12" t="e">
        <f t="shared" si="476"/>
        <v>#REF!</v>
      </c>
      <c r="AE397" s="12" t="e">
        <f t="shared" si="477"/>
        <v>#REF!</v>
      </c>
      <c r="AF397" s="12">
        <f t="shared" si="478"/>
        <v>0</v>
      </c>
      <c r="AG397" s="12">
        <f t="shared" si="479"/>
        <v>0</v>
      </c>
      <c r="AH397" s="12">
        <f t="shared" si="480"/>
        <v>0</v>
      </c>
      <c r="AI397" s="10" t="s">
        <v>852</v>
      </c>
      <c r="AJ397" s="12">
        <f t="shared" si="481"/>
        <v>0</v>
      </c>
      <c r="AK397" s="12">
        <f t="shared" si="482"/>
        <v>0</v>
      </c>
      <c r="AL397" s="12" t="e">
        <f t="shared" si="483"/>
        <v>#REF!</v>
      </c>
      <c r="AN397" s="12">
        <v>21</v>
      </c>
      <c r="AO397" s="12" t="e">
        <f>H397*0.087066895</f>
        <v>#REF!</v>
      </c>
      <c r="AP397" s="12" t="e">
        <f>H397*(1-0.087066895)</f>
        <v>#REF!</v>
      </c>
      <c r="AQ397" s="49" t="s">
        <v>567</v>
      </c>
      <c r="AV397" s="12" t="e">
        <f t="shared" si="484"/>
        <v>#REF!</v>
      </c>
      <c r="AW397" s="12" t="e">
        <f t="shared" si="485"/>
        <v>#REF!</v>
      </c>
      <c r="AX397" s="12" t="e">
        <f t="shared" si="486"/>
        <v>#REF!</v>
      </c>
      <c r="AY397" s="49" t="s">
        <v>588</v>
      </c>
      <c r="AZ397" s="49" t="s">
        <v>882</v>
      </c>
      <c r="BA397" s="10" t="s">
        <v>855</v>
      </c>
      <c r="BC397" s="12" t="e">
        <f t="shared" si="487"/>
        <v>#REF!</v>
      </c>
      <c r="BD397" s="12" t="e">
        <f t="shared" si="488"/>
        <v>#REF!</v>
      </c>
      <c r="BE397" s="12">
        <v>0</v>
      </c>
      <c r="BF397" s="12" t="e">
        <f t="shared" si="489"/>
        <v>#REF!</v>
      </c>
      <c r="BH397" s="12" t="e">
        <f t="shared" si="490"/>
        <v>#REF!</v>
      </c>
      <c r="BI397" s="12" t="e">
        <f t="shared" si="491"/>
        <v>#REF!</v>
      </c>
      <c r="BJ397" s="12" t="e">
        <f t="shared" si="492"/>
        <v>#REF!</v>
      </c>
      <c r="BK397" s="12"/>
      <c r="BL397" s="12">
        <v>733</v>
      </c>
      <c r="BW397" s="12" t="str">
        <f t="shared" si="493"/>
        <v>21</v>
      </c>
      <c r="BX397" s="3" t="s">
        <v>407</v>
      </c>
    </row>
    <row r="398" spans="1:76">
      <c r="A398" s="1" t="s">
        <v>897</v>
      </c>
      <c r="B398" s="2" t="s">
        <v>852</v>
      </c>
      <c r="C398" s="2" t="s">
        <v>189</v>
      </c>
      <c r="D398" s="349" t="s">
        <v>190</v>
      </c>
      <c r="E398" s="342"/>
      <c r="F398" s="2" t="s">
        <v>63</v>
      </c>
      <c r="G398" s="12" t="e">
        <f>#REF!</f>
        <v>#REF!</v>
      </c>
      <c r="H398" s="12" t="e">
        <f>#REF!</f>
        <v>#REF!</v>
      </c>
      <c r="I398" s="49" t="s">
        <v>554</v>
      </c>
      <c r="J398" s="12" t="e">
        <f t="shared" si="468"/>
        <v>#REF!</v>
      </c>
      <c r="K398" s="12" t="e">
        <f t="shared" si="469"/>
        <v>#REF!</v>
      </c>
      <c r="L398" s="12" t="e">
        <f t="shared" si="470"/>
        <v>#REF!</v>
      </c>
      <c r="M398" s="12" t="e">
        <f t="shared" si="471"/>
        <v>#REF!</v>
      </c>
      <c r="N398" s="12">
        <v>0</v>
      </c>
      <c r="O398" s="12" t="e">
        <f t="shared" si="472"/>
        <v>#REF!</v>
      </c>
      <c r="P398" s="50" t="s">
        <v>21</v>
      </c>
      <c r="Z398" s="12">
        <f t="shared" si="473"/>
        <v>0</v>
      </c>
      <c r="AB398" s="12">
        <f t="shared" si="474"/>
        <v>0</v>
      </c>
      <c r="AC398" s="12">
        <f t="shared" si="475"/>
        <v>0</v>
      </c>
      <c r="AD398" s="12" t="e">
        <f t="shared" si="476"/>
        <v>#REF!</v>
      </c>
      <c r="AE398" s="12" t="e">
        <f t="shared" si="477"/>
        <v>#REF!</v>
      </c>
      <c r="AF398" s="12">
        <f t="shared" si="478"/>
        <v>0</v>
      </c>
      <c r="AG398" s="12">
        <f t="shared" si="479"/>
        <v>0</v>
      </c>
      <c r="AH398" s="12">
        <f t="shared" si="480"/>
        <v>0</v>
      </c>
      <c r="AI398" s="10" t="s">
        <v>852</v>
      </c>
      <c r="AJ398" s="12">
        <f t="shared" si="481"/>
        <v>0</v>
      </c>
      <c r="AK398" s="12">
        <f t="shared" si="482"/>
        <v>0</v>
      </c>
      <c r="AL398" s="12" t="e">
        <f t="shared" si="483"/>
        <v>#REF!</v>
      </c>
      <c r="AN398" s="12">
        <v>21</v>
      </c>
      <c r="AO398" s="12" t="e">
        <f>H398*0</f>
        <v>#REF!</v>
      </c>
      <c r="AP398" s="12" t="e">
        <f>H398*(1-0)</f>
        <v>#REF!</v>
      </c>
      <c r="AQ398" s="49" t="s">
        <v>567</v>
      </c>
      <c r="AV398" s="12" t="e">
        <f t="shared" si="484"/>
        <v>#REF!</v>
      </c>
      <c r="AW398" s="12" t="e">
        <f t="shared" si="485"/>
        <v>#REF!</v>
      </c>
      <c r="AX398" s="12" t="e">
        <f t="shared" si="486"/>
        <v>#REF!</v>
      </c>
      <c r="AY398" s="49" t="s">
        <v>588</v>
      </c>
      <c r="AZ398" s="49" t="s">
        <v>882</v>
      </c>
      <c r="BA398" s="10" t="s">
        <v>855</v>
      </c>
      <c r="BC398" s="12" t="e">
        <f t="shared" si="487"/>
        <v>#REF!</v>
      </c>
      <c r="BD398" s="12" t="e">
        <f t="shared" si="488"/>
        <v>#REF!</v>
      </c>
      <c r="BE398" s="12">
        <v>0</v>
      </c>
      <c r="BF398" s="12" t="e">
        <f t="shared" si="489"/>
        <v>#REF!</v>
      </c>
      <c r="BH398" s="12" t="e">
        <f t="shared" si="490"/>
        <v>#REF!</v>
      </c>
      <c r="BI398" s="12" t="e">
        <f t="shared" si="491"/>
        <v>#REF!</v>
      </c>
      <c r="BJ398" s="12" t="e">
        <f t="shared" si="492"/>
        <v>#REF!</v>
      </c>
      <c r="BK398" s="12"/>
      <c r="BL398" s="12">
        <v>733</v>
      </c>
      <c r="BW398" s="12" t="str">
        <f t="shared" si="493"/>
        <v>21</v>
      </c>
      <c r="BX398" s="3" t="s">
        <v>190</v>
      </c>
    </row>
    <row r="399" spans="1:76">
      <c r="A399" s="1" t="s">
        <v>898</v>
      </c>
      <c r="B399" s="2" t="s">
        <v>852</v>
      </c>
      <c r="C399" s="2" t="s">
        <v>408</v>
      </c>
      <c r="D399" s="349" t="s">
        <v>409</v>
      </c>
      <c r="E399" s="342"/>
      <c r="F399" s="2" t="s">
        <v>63</v>
      </c>
      <c r="G399" s="12" t="e">
        <f>#REF!</f>
        <v>#REF!</v>
      </c>
      <c r="H399" s="12" t="e">
        <f>#REF!</f>
        <v>#REF!</v>
      </c>
      <c r="I399" s="49" t="s">
        <v>554</v>
      </c>
      <c r="J399" s="12" t="e">
        <f t="shared" si="468"/>
        <v>#REF!</v>
      </c>
      <c r="K399" s="12" t="e">
        <f t="shared" si="469"/>
        <v>#REF!</v>
      </c>
      <c r="L399" s="12" t="e">
        <f t="shared" si="470"/>
        <v>#REF!</v>
      </c>
      <c r="M399" s="12" t="e">
        <f t="shared" si="471"/>
        <v>#REF!</v>
      </c>
      <c r="N399" s="12">
        <v>1.23E-3</v>
      </c>
      <c r="O399" s="12" t="e">
        <f t="shared" si="472"/>
        <v>#REF!</v>
      </c>
      <c r="P399" s="50" t="s">
        <v>577</v>
      </c>
      <c r="Z399" s="12">
        <f t="shared" si="473"/>
        <v>0</v>
      </c>
      <c r="AB399" s="12">
        <f t="shared" si="474"/>
        <v>0</v>
      </c>
      <c r="AC399" s="12">
        <f t="shared" si="475"/>
        <v>0</v>
      </c>
      <c r="AD399" s="12" t="e">
        <f t="shared" si="476"/>
        <v>#REF!</v>
      </c>
      <c r="AE399" s="12" t="e">
        <f t="shared" si="477"/>
        <v>#REF!</v>
      </c>
      <c r="AF399" s="12">
        <f t="shared" si="478"/>
        <v>0</v>
      </c>
      <c r="AG399" s="12">
        <f t="shared" si="479"/>
        <v>0</v>
      </c>
      <c r="AH399" s="12">
        <f t="shared" si="480"/>
        <v>0</v>
      </c>
      <c r="AI399" s="10" t="s">
        <v>852</v>
      </c>
      <c r="AJ399" s="12">
        <f t="shared" si="481"/>
        <v>0</v>
      </c>
      <c r="AK399" s="12">
        <f t="shared" si="482"/>
        <v>0</v>
      </c>
      <c r="AL399" s="12" t="e">
        <f t="shared" si="483"/>
        <v>#REF!</v>
      </c>
      <c r="AN399" s="12">
        <v>21</v>
      </c>
      <c r="AO399" s="12" t="e">
        <f>H399*1</f>
        <v>#REF!</v>
      </c>
      <c r="AP399" s="12" t="e">
        <f>H399*(1-1)</f>
        <v>#REF!</v>
      </c>
      <c r="AQ399" s="49" t="s">
        <v>567</v>
      </c>
      <c r="AV399" s="12" t="e">
        <f t="shared" si="484"/>
        <v>#REF!</v>
      </c>
      <c r="AW399" s="12" t="e">
        <f t="shared" si="485"/>
        <v>#REF!</v>
      </c>
      <c r="AX399" s="12" t="e">
        <f t="shared" si="486"/>
        <v>#REF!</v>
      </c>
      <c r="AY399" s="49" t="s">
        <v>588</v>
      </c>
      <c r="AZ399" s="49" t="s">
        <v>882</v>
      </c>
      <c r="BA399" s="10" t="s">
        <v>855</v>
      </c>
      <c r="BC399" s="12" t="e">
        <f t="shared" si="487"/>
        <v>#REF!</v>
      </c>
      <c r="BD399" s="12" t="e">
        <f t="shared" si="488"/>
        <v>#REF!</v>
      </c>
      <c r="BE399" s="12">
        <v>0</v>
      </c>
      <c r="BF399" s="12" t="e">
        <f t="shared" si="489"/>
        <v>#REF!</v>
      </c>
      <c r="BH399" s="12" t="e">
        <f t="shared" si="490"/>
        <v>#REF!</v>
      </c>
      <c r="BI399" s="12" t="e">
        <f t="shared" si="491"/>
        <v>#REF!</v>
      </c>
      <c r="BJ399" s="12" t="e">
        <f t="shared" si="492"/>
        <v>#REF!</v>
      </c>
      <c r="BK399" s="12"/>
      <c r="BL399" s="12">
        <v>733</v>
      </c>
      <c r="BW399" s="12" t="str">
        <f t="shared" si="493"/>
        <v>21</v>
      </c>
      <c r="BX399" s="3" t="s">
        <v>409</v>
      </c>
    </row>
    <row r="400" spans="1:76">
      <c r="A400" s="1" t="s">
        <v>899</v>
      </c>
      <c r="B400" s="2" t="s">
        <v>852</v>
      </c>
      <c r="C400" s="2" t="s">
        <v>410</v>
      </c>
      <c r="D400" s="349" t="s">
        <v>411</v>
      </c>
      <c r="E400" s="342"/>
      <c r="F400" s="2" t="s">
        <v>63</v>
      </c>
      <c r="G400" s="12" t="e">
        <f>#REF!</f>
        <v>#REF!</v>
      </c>
      <c r="H400" s="12" t="e">
        <f>#REF!</f>
        <v>#REF!</v>
      </c>
      <c r="I400" s="49" t="s">
        <v>554</v>
      </c>
      <c r="J400" s="12" t="e">
        <f t="shared" si="468"/>
        <v>#REF!</v>
      </c>
      <c r="K400" s="12" t="e">
        <f t="shared" si="469"/>
        <v>#REF!</v>
      </c>
      <c r="L400" s="12" t="e">
        <f t="shared" si="470"/>
        <v>#REF!</v>
      </c>
      <c r="M400" s="12" t="e">
        <f t="shared" si="471"/>
        <v>#REF!</v>
      </c>
      <c r="N400" s="12">
        <v>3.1E-4</v>
      </c>
      <c r="O400" s="12" t="e">
        <f t="shared" si="472"/>
        <v>#REF!</v>
      </c>
      <c r="P400" s="50" t="s">
        <v>577</v>
      </c>
      <c r="Z400" s="12">
        <f t="shared" si="473"/>
        <v>0</v>
      </c>
      <c r="AB400" s="12">
        <f t="shared" si="474"/>
        <v>0</v>
      </c>
      <c r="AC400" s="12">
        <f t="shared" si="475"/>
        <v>0</v>
      </c>
      <c r="AD400" s="12" t="e">
        <f t="shared" si="476"/>
        <v>#REF!</v>
      </c>
      <c r="AE400" s="12" t="e">
        <f t="shared" si="477"/>
        <v>#REF!</v>
      </c>
      <c r="AF400" s="12">
        <f t="shared" si="478"/>
        <v>0</v>
      </c>
      <c r="AG400" s="12">
        <f t="shared" si="479"/>
        <v>0</v>
      </c>
      <c r="AH400" s="12">
        <f t="shared" si="480"/>
        <v>0</v>
      </c>
      <c r="AI400" s="10" t="s">
        <v>852</v>
      </c>
      <c r="AJ400" s="12">
        <f t="shared" si="481"/>
        <v>0</v>
      </c>
      <c r="AK400" s="12">
        <f t="shared" si="482"/>
        <v>0</v>
      </c>
      <c r="AL400" s="12" t="e">
        <f t="shared" si="483"/>
        <v>#REF!</v>
      </c>
      <c r="AN400" s="12">
        <v>21</v>
      </c>
      <c r="AO400" s="12" t="e">
        <f>H400*1</f>
        <v>#REF!</v>
      </c>
      <c r="AP400" s="12" t="e">
        <f>H400*(1-1)</f>
        <v>#REF!</v>
      </c>
      <c r="AQ400" s="49" t="s">
        <v>567</v>
      </c>
      <c r="AV400" s="12" t="e">
        <f t="shared" si="484"/>
        <v>#REF!</v>
      </c>
      <c r="AW400" s="12" t="e">
        <f t="shared" si="485"/>
        <v>#REF!</v>
      </c>
      <c r="AX400" s="12" t="e">
        <f t="shared" si="486"/>
        <v>#REF!</v>
      </c>
      <c r="AY400" s="49" t="s">
        <v>588</v>
      </c>
      <c r="AZ400" s="49" t="s">
        <v>882</v>
      </c>
      <c r="BA400" s="10" t="s">
        <v>855</v>
      </c>
      <c r="BC400" s="12" t="e">
        <f t="shared" si="487"/>
        <v>#REF!</v>
      </c>
      <c r="BD400" s="12" t="e">
        <f t="shared" si="488"/>
        <v>#REF!</v>
      </c>
      <c r="BE400" s="12">
        <v>0</v>
      </c>
      <c r="BF400" s="12" t="e">
        <f t="shared" si="489"/>
        <v>#REF!</v>
      </c>
      <c r="BH400" s="12" t="e">
        <f t="shared" si="490"/>
        <v>#REF!</v>
      </c>
      <c r="BI400" s="12" t="e">
        <f t="shared" si="491"/>
        <v>#REF!</v>
      </c>
      <c r="BJ400" s="12" t="e">
        <f t="shared" si="492"/>
        <v>#REF!</v>
      </c>
      <c r="BK400" s="12"/>
      <c r="BL400" s="12">
        <v>733</v>
      </c>
      <c r="BW400" s="12" t="str">
        <f t="shared" si="493"/>
        <v>21</v>
      </c>
      <c r="BX400" s="3" t="s">
        <v>411</v>
      </c>
    </row>
    <row r="401" spans="1:76">
      <c r="A401" s="1" t="s">
        <v>900</v>
      </c>
      <c r="B401" s="2" t="s">
        <v>852</v>
      </c>
      <c r="C401" s="2" t="s">
        <v>412</v>
      </c>
      <c r="D401" s="349" t="s">
        <v>413</v>
      </c>
      <c r="E401" s="342"/>
      <c r="F401" s="2" t="s">
        <v>63</v>
      </c>
      <c r="G401" s="12" t="e">
        <f>#REF!</f>
        <v>#REF!</v>
      </c>
      <c r="H401" s="12" t="e">
        <f>#REF!</f>
        <v>#REF!</v>
      </c>
      <c r="I401" s="49" t="s">
        <v>554</v>
      </c>
      <c r="J401" s="12" t="e">
        <f t="shared" si="468"/>
        <v>#REF!</v>
      </c>
      <c r="K401" s="12" t="e">
        <f t="shared" si="469"/>
        <v>#REF!</v>
      </c>
      <c r="L401" s="12" t="e">
        <f t="shared" si="470"/>
        <v>#REF!</v>
      </c>
      <c r="M401" s="12" t="e">
        <f t="shared" si="471"/>
        <v>#REF!</v>
      </c>
      <c r="N401" s="12">
        <v>3.0000000000000001E-5</v>
      </c>
      <c r="O401" s="12" t="e">
        <f t="shared" si="472"/>
        <v>#REF!</v>
      </c>
      <c r="P401" s="50" t="s">
        <v>577</v>
      </c>
      <c r="Z401" s="12">
        <f t="shared" si="473"/>
        <v>0</v>
      </c>
      <c r="AB401" s="12">
        <f t="shared" si="474"/>
        <v>0</v>
      </c>
      <c r="AC401" s="12">
        <f t="shared" si="475"/>
        <v>0</v>
      </c>
      <c r="AD401" s="12" t="e">
        <f t="shared" si="476"/>
        <v>#REF!</v>
      </c>
      <c r="AE401" s="12" t="e">
        <f t="shared" si="477"/>
        <v>#REF!</v>
      </c>
      <c r="AF401" s="12">
        <f t="shared" si="478"/>
        <v>0</v>
      </c>
      <c r="AG401" s="12">
        <f t="shared" si="479"/>
        <v>0</v>
      </c>
      <c r="AH401" s="12">
        <f t="shared" si="480"/>
        <v>0</v>
      </c>
      <c r="AI401" s="10" t="s">
        <v>852</v>
      </c>
      <c r="AJ401" s="12">
        <f t="shared" si="481"/>
        <v>0</v>
      </c>
      <c r="AK401" s="12">
        <f t="shared" si="482"/>
        <v>0</v>
      </c>
      <c r="AL401" s="12" t="e">
        <f t="shared" si="483"/>
        <v>#REF!</v>
      </c>
      <c r="AN401" s="12">
        <v>21</v>
      </c>
      <c r="AO401" s="12" t="e">
        <f>H401*1</f>
        <v>#REF!</v>
      </c>
      <c r="AP401" s="12" t="e">
        <f>H401*(1-1)</f>
        <v>#REF!</v>
      </c>
      <c r="AQ401" s="49" t="s">
        <v>567</v>
      </c>
      <c r="AV401" s="12" t="e">
        <f t="shared" si="484"/>
        <v>#REF!</v>
      </c>
      <c r="AW401" s="12" t="e">
        <f t="shared" si="485"/>
        <v>#REF!</v>
      </c>
      <c r="AX401" s="12" t="e">
        <f t="shared" si="486"/>
        <v>#REF!</v>
      </c>
      <c r="AY401" s="49" t="s">
        <v>588</v>
      </c>
      <c r="AZ401" s="49" t="s">
        <v>882</v>
      </c>
      <c r="BA401" s="10" t="s">
        <v>855</v>
      </c>
      <c r="BC401" s="12" t="e">
        <f t="shared" si="487"/>
        <v>#REF!</v>
      </c>
      <c r="BD401" s="12" t="e">
        <f t="shared" si="488"/>
        <v>#REF!</v>
      </c>
      <c r="BE401" s="12">
        <v>0</v>
      </c>
      <c r="BF401" s="12" t="e">
        <f t="shared" si="489"/>
        <v>#REF!</v>
      </c>
      <c r="BH401" s="12" t="e">
        <f t="shared" si="490"/>
        <v>#REF!</v>
      </c>
      <c r="BI401" s="12" t="e">
        <f t="shared" si="491"/>
        <v>#REF!</v>
      </c>
      <c r="BJ401" s="12" t="e">
        <f t="shared" si="492"/>
        <v>#REF!</v>
      </c>
      <c r="BK401" s="12"/>
      <c r="BL401" s="12">
        <v>733</v>
      </c>
      <c r="BW401" s="12" t="str">
        <f t="shared" si="493"/>
        <v>21</v>
      </c>
      <c r="BX401" s="3" t="s">
        <v>413</v>
      </c>
    </row>
    <row r="402" spans="1:76">
      <c r="A402" s="46" t="s">
        <v>21</v>
      </c>
      <c r="B402" s="9" t="s">
        <v>852</v>
      </c>
      <c r="C402" s="9" t="s">
        <v>95</v>
      </c>
      <c r="D402" s="359" t="s">
        <v>96</v>
      </c>
      <c r="E402" s="360"/>
      <c r="F402" s="47" t="s">
        <v>20</v>
      </c>
      <c r="G402" s="47" t="s">
        <v>20</v>
      </c>
      <c r="H402" s="47" t="s">
        <v>20</v>
      </c>
      <c r="I402" s="47" t="s">
        <v>20</v>
      </c>
      <c r="J402" s="11" t="e">
        <f>SUM(J403:J417)</f>
        <v>#REF!</v>
      </c>
      <c r="K402" s="11" t="e">
        <f>SUM(K403:K417)</f>
        <v>#REF!</v>
      </c>
      <c r="L402" s="11" t="e">
        <f>SUM(L403:L417)</f>
        <v>#REF!</v>
      </c>
      <c r="M402" s="11" t="e">
        <f>SUM(M403:M417)</f>
        <v>#REF!</v>
      </c>
      <c r="N402" s="10" t="s">
        <v>21</v>
      </c>
      <c r="O402" s="11" t="e">
        <f>SUM(O403:O417)</f>
        <v>#REF!</v>
      </c>
      <c r="P402" s="48" t="s">
        <v>21</v>
      </c>
      <c r="AI402" s="10" t="s">
        <v>852</v>
      </c>
      <c r="AS402" s="11">
        <f>SUM(AJ403:AJ417)</f>
        <v>0</v>
      </c>
      <c r="AT402" s="11">
        <f>SUM(AK403:AK417)</f>
        <v>0</v>
      </c>
      <c r="AU402" s="11" t="e">
        <f>SUM(AL403:AL417)</f>
        <v>#REF!</v>
      </c>
    </row>
    <row r="403" spans="1:76">
      <c r="A403" s="1" t="s">
        <v>901</v>
      </c>
      <c r="B403" s="2" t="s">
        <v>852</v>
      </c>
      <c r="C403" s="2" t="s">
        <v>99</v>
      </c>
      <c r="D403" s="349" t="s">
        <v>100</v>
      </c>
      <c r="E403" s="342"/>
      <c r="F403" s="2" t="s">
        <v>68</v>
      </c>
      <c r="G403" s="12" t="e">
        <f>#REF!</f>
        <v>#REF!</v>
      </c>
      <c r="H403" s="12" t="e">
        <f>#REF!</f>
        <v>#REF!</v>
      </c>
      <c r="I403" s="49" t="s">
        <v>554</v>
      </c>
      <c r="J403" s="12" t="e">
        <f t="shared" ref="J403:J417" si="494">G403*AO403</f>
        <v>#REF!</v>
      </c>
      <c r="K403" s="12" t="e">
        <f t="shared" ref="K403:K417" si="495">G403*AP403</f>
        <v>#REF!</v>
      </c>
      <c r="L403" s="12" t="e">
        <f t="shared" ref="L403:L417" si="496">G403*H403</f>
        <v>#REF!</v>
      </c>
      <c r="M403" s="12" t="e">
        <f t="shared" ref="M403:M417" si="497">L403*(1+BW403/100)</f>
        <v>#REF!</v>
      </c>
      <c r="N403" s="12">
        <v>3.7100000000000002E-3</v>
      </c>
      <c r="O403" s="12" t="e">
        <f t="shared" ref="O403:O417" si="498">G403*N403</f>
        <v>#REF!</v>
      </c>
      <c r="P403" s="50" t="s">
        <v>577</v>
      </c>
      <c r="Z403" s="12">
        <f t="shared" ref="Z403:Z417" si="499">IF(AQ403="5",BJ403,0)</f>
        <v>0</v>
      </c>
      <c r="AB403" s="12">
        <f t="shared" ref="AB403:AB417" si="500">IF(AQ403="1",BH403,0)</f>
        <v>0</v>
      </c>
      <c r="AC403" s="12">
        <f t="shared" ref="AC403:AC417" si="501">IF(AQ403="1",BI403,0)</f>
        <v>0</v>
      </c>
      <c r="AD403" s="12" t="e">
        <f t="shared" ref="AD403:AD417" si="502">IF(AQ403="7",BH403,0)</f>
        <v>#REF!</v>
      </c>
      <c r="AE403" s="12" t="e">
        <f t="shared" ref="AE403:AE417" si="503">IF(AQ403="7",BI403,0)</f>
        <v>#REF!</v>
      </c>
      <c r="AF403" s="12">
        <f t="shared" ref="AF403:AF417" si="504">IF(AQ403="2",BH403,0)</f>
        <v>0</v>
      </c>
      <c r="AG403" s="12">
        <f t="shared" ref="AG403:AG417" si="505">IF(AQ403="2",BI403,0)</f>
        <v>0</v>
      </c>
      <c r="AH403" s="12">
        <f t="shared" ref="AH403:AH417" si="506">IF(AQ403="0",BJ403,0)</f>
        <v>0</v>
      </c>
      <c r="AI403" s="10" t="s">
        <v>852</v>
      </c>
      <c r="AJ403" s="12">
        <f t="shared" ref="AJ403:AJ417" si="507">IF(AN403=0,L403,0)</f>
        <v>0</v>
      </c>
      <c r="AK403" s="12">
        <f t="shared" ref="AK403:AK417" si="508">IF(AN403=12,L403,0)</f>
        <v>0</v>
      </c>
      <c r="AL403" s="12" t="e">
        <f t="shared" ref="AL403:AL417" si="509">IF(AN403=21,L403,0)</f>
        <v>#REF!</v>
      </c>
      <c r="AN403" s="12">
        <v>21</v>
      </c>
      <c r="AO403" s="12" t="e">
        <f>H403*0.265479277</f>
        <v>#REF!</v>
      </c>
      <c r="AP403" s="12" t="e">
        <f>H403*(1-0.265479277)</f>
        <v>#REF!</v>
      </c>
      <c r="AQ403" s="49" t="s">
        <v>567</v>
      </c>
      <c r="AV403" s="12" t="e">
        <f t="shared" ref="AV403:AV417" si="510">AW403+AX403</f>
        <v>#REF!</v>
      </c>
      <c r="AW403" s="12" t="e">
        <f t="shared" ref="AW403:AW417" si="511">G403*AO403</f>
        <v>#REF!</v>
      </c>
      <c r="AX403" s="12" t="e">
        <f t="shared" ref="AX403:AX417" si="512">G403*AP403</f>
        <v>#REF!</v>
      </c>
      <c r="AY403" s="49" t="s">
        <v>593</v>
      </c>
      <c r="AZ403" s="49" t="s">
        <v>882</v>
      </c>
      <c r="BA403" s="10" t="s">
        <v>855</v>
      </c>
      <c r="BC403" s="12" t="e">
        <f t="shared" ref="BC403:BC417" si="513">AW403+AX403</f>
        <v>#REF!</v>
      </c>
      <c r="BD403" s="12" t="e">
        <f t="shared" ref="BD403:BD417" si="514">H403/(100-BE403)*100</f>
        <v>#REF!</v>
      </c>
      <c r="BE403" s="12">
        <v>0</v>
      </c>
      <c r="BF403" s="12" t="e">
        <f t="shared" ref="BF403:BF417" si="515">O403</f>
        <v>#REF!</v>
      </c>
      <c r="BH403" s="12" t="e">
        <f t="shared" ref="BH403:BH417" si="516">G403*AO403</f>
        <v>#REF!</v>
      </c>
      <c r="BI403" s="12" t="e">
        <f t="shared" ref="BI403:BI417" si="517">G403*AP403</f>
        <v>#REF!</v>
      </c>
      <c r="BJ403" s="12" t="e">
        <f t="shared" ref="BJ403:BJ417" si="518">G403*H403</f>
        <v>#REF!</v>
      </c>
      <c r="BK403" s="12"/>
      <c r="BL403" s="12">
        <v>734</v>
      </c>
      <c r="BW403" s="12" t="str">
        <f t="shared" ref="BW403:BW417" si="519">I403</f>
        <v>21</v>
      </c>
      <c r="BX403" s="3" t="s">
        <v>100</v>
      </c>
    </row>
    <row r="404" spans="1:76">
      <c r="A404" s="1" t="s">
        <v>902</v>
      </c>
      <c r="B404" s="2" t="s">
        <v>852</v>
      </c>
      <c r="C404" s="2" t="s">
        <v>97</v>
      </c>
      <c r="D404" s="349" t="s">
        <v>98</v>
      </c>
      <c r="E404" s="342"/>
      <c r="F404" s="2" t="s">
        <v>68</v>
      </c>
      <c r="G404" s="12" t="e">
        <f>#REF!</f>
        <v>#REF!</v>
      </c>
      <c r="H404" s="12" t="e">
        <f>#REF!</f>
        <v>#REF!</v>
      </c>
      <c r="I404" s="49" t="s">
        <v>554</v>
      </c>
      <c r="J404" s="12" t="e">
        <f t="shared" si="494"/>
        <v>#REF!</v>
      </c>
      <c r="K404" s="12" t="e">
        <f t="shared" si="495"/>
        <v>#REF!</v>
      </c>
      <c r="L404" s="12" t="e">
        <f t="shared" si="496"/>
        <v>#REF!</v>
      </c>
      <c r="M404" s="12" t="e">
        <f t="shared" si="497"/>
        <v>#REF!</v>
      </c>
      <c r="N404" s="12">
        <v>3.9019999999999999E-2</v>
      </c>
      <c r="O404" s="12" t="e">
        <f t="shared" si="498"/>
        <v>#REF!</v>
      </c>
      <c r="P404" s="50" t="s">
        <v>577</v>
      </c>
      <c r="Z404" s="12">
        <f t="shared" si="499"/>
        <v>0</v>
      </c>
      <c r="AB404" s="12">
        <f t="shared" si="500"/>
        <v>0</v>
      </c>
      <c r="AC404" s="12">
        <f t="shared" si="501"/>
        <v>0</v>
      </c>
      <c r="AD404" s="12" t="e">
        <f t="shared" si="502"/>
        <v>#REF!</v>
      </c>
      <c r="AE404" s="12" t="e">
        <f t="shared" si="503"/>
        <v>#REF!</v>
      </c>
      <c r="AF404" s="12">
        <f t="shared" si="504"/>
        <v>0</v>
      </c>
      <c r="AG404" s="12">
        <f t="shared" si="505"/>
        <v>0</v>
      </c>
      <c r="AH404" s="12">
        <f t="shared" si="506"/>
        <v>0</v>
      </c>
      <c r="AI404" s="10" t="s">
        <v>852</v>
      </c>
      <c r="AJ404" s="12">
        <f t="shared" si="507"/>
        <v>0</v>
      </c>
      <c r="AK404" s="12">
        <f t="shared" si="508"/>
        <v>0</v>
      </c>
      <c r="AL404" s="12" t="e">
        <f t="shared" si="509"/>
        <v>#REF!</v>
      </c>
      <c r="AN404" s="12">
        <v>21</v>
      </c>
      <c r="AO404" s="12" t="e">
        <f>H404*0.004836759</f>
        <v>#REF!</v>
      </c>
      <c r="AP404" s="12" t="e">
        <f>H404*(1-0.004836759)</f>
        <v>#REF!</v>
      </c>
      <c r="AQ404" s="49" t="s">
        <v>567</v>
      </c>
      <c r="AV404" s="12" t="e">
        <f t="shared" si="510"/>
        <v>#REF!</v>
      </c>
      <c r="AW404" s="12" t="e">
        <f t="shared" si="511"/>
        <v>#REF!</v>
      </c>
      <c r="AX404" s="12" t="e">
        <f t="shared" si="512"/>
        <v>#REF!</v>
      </c>
      <c r="AY404" s="49" t="s">
        <v>593</v>
      </c>
      <c r="AZ404" s="49" t="s">
        <v>882</v>
      </c>
      <c r="BA404" s="10" t="s">
        <v>855</v>
      </c>
      <c r="BC404" s="12" t="e">
        <f t="shared" si="513"/>
        <v>#REF!</v>
      </c>
      <c r="BD404" s="12" t="e">
        <f t="shared" si="514"/>
        <v>#REF!</v>
      </c>
      <c r="BE404" s="12">
        <v>0</v>
      </c>
      <c r="BF404" s="12" t="e">
        <f t="shared" si="515"/>
        <v>#REF!</v>
      </c>
      <c r="BH404" s="12" t="e">
        <f t="shared" si="516"/>
        <v>#REF!</v>
      </c>
      <c r="BI404" s="12" t="e">
        <f t="shared" si="517"/>
        <v>#REF!</v>
      </c>
      <c r="BJ404" s="12" t="e">
        <f t="shared" si="518"/>
        <v>#REF!</v>
      </c>
      <c r="BK404" s="12"/>
      <c r="BL404" s="12">
        <v>734</v>
      </c>
      <c r="BW404" s="12" t="str">
        <f t="shared" si="519"/>
        <v>21</v>
      </c>
      <c r="BX404" s="3" t="s">
        <v>98</v>
      </c>
    </row>
    <row r="405" spans="1:76">
      <c r="A405" s="1" t="s">
        <v>903</v>
      </c>
      <c r="B405" s="2" t="s">
        <v>852</v>
      </c>
      <c r="C405" s="2" t="s">
        <v>414</v>
      </c>
      <c r="D405" s="349" t="s">
        <v>415</v>
      </c>
      <c r="E405" s="342"/>
      <c r="F405" s="2" t="s">
        <v>68</v>
      </c>
      <c r="G405" s="12" t="e">
        <f>#REF!</f>
        <v>#REF!</v>
      </c>
      <c r="H405" s="12" t="e">
        <f>#REF!</f>
        <v>#REF!</v>
      </c>
      <c r="I405" s="49" t="s">
        <v>554</v>
      </c>
      <c r="J405" s="12" t="e">
        <f t="shared" si="494"/>
        <v>#REF!</v>
      </c>
      <c r="K405" s="12" t="e">
        <f t="shared" si="495"/>
        <v>#REF!</v>
      </c>
      <c r="L405" s="12" t="e">
        <f t="shared" si="496"/>
        <v>#REF!</v>
      </c>
      <c r="M405" s="12" t="e">
        <f t="shared" si="497"/>
        <v>#REF!</v>
      </c>
      <c r="N405" s="12">
        <v>1.6240000000000001E-2</v>
      </c>
      <c r="O405" s="12" t="e">
        <f t="shared" si="498"/>
        <v>#REF!</v>
      </c>
      <c r="P405" s="50" t="s">
        <v>577</v>
      </c>
      <c r="Z405" s="12">
        <f t="shared" si="499"/>
        <v>0</v>
      </c>
      <c r="AB405" s="12">
        <f t="shared" si="500"/>
        <v>0</v>
      </c>
      <c r="AC405" s="12">
        <f t="shared" si="501"/>
        <v>0</v>
      </c>
      <c r="AD405" s="12" t="e">
        <f t="shared" si="502"/>
        <v>#REF!</v>
      </c>
      <c r="AE405" s="12" t="e">
        <f t="shared" si="503"/>
        <v>#REF!</v>
      </c>
      <c r="AF405" s="12">
        <f t="shared" si="504"/>
        <v>0</v>
      </c>
      <c r="AG405" s="12">
        <f t="shared" si="505"/>
        <v>0</v>
      </c>
      <c r="AH405" s="12">
        <f t="shared" si="506"/>
        <v>0</v>
      </c>
      <c r="AI405" s="10" t="s">
        <v>852</v>
      </c>
      <c r="AJ405" s="12">
        <f t="shared" si="507"/>
        <v>0</v>
      </c>
      <c r="AK405" s="12">
        <f t="shared" si="508"/>
        <v>0</v>
      </c>
      <c r="AL405" s="12" t="e">
        <f t="shared" si="509"/>
        <v>#REF!</v>
      </c>
      <c r="AN405" s="12">
        <v>21</v>
      </c>
      <c r="AO405" s="12" t="e">
        <f>H405*0.917229599</f>
        <v>#REF!</v>
      </c>
      <c r="AP405" s="12" t="e">
        <f>H405*(1-0.917229599)</f>
        <v>#REF!</v>
      </c>
      <c r="AQ405" s="49" t="s">
        <v>567</v>
      </c>
      <c r="AV405" s="12" t="e">
        <f t="shared" si="510"/>
        <v>#REF!</v>
      </c>
      <c r="AW405" s="12" t="e">
        <f t="shared" si="511"/>
        <v>#REF!</v>
      </c>
      <c r="AX405" s="12" t="e">
        <f t="shared" si="512"/>
        <v>#REF!</v>
      </c>
      <c r="AY405" s="49" t="s">
        <v>593</v>
      </c>
      <c r="AZ405" s="49" t="s">
        <v>882</v>
      </c>
      <c r="BA405" s="10" t="s">
        <v>855</v>
      </c>
      <c r="BC405" s="12" t="e">
        <f t="shared" si="513"/>
        <v>#REF!</v>
      </c>
      <c r="BD405" s="12" t="e">
        <f t="shared" si="514"/>
        <v>#REF!</v>
      </c>
      <c r="BE405" s="12">
        <v>0</v>
      </c>
      <c r="BF405" s="12" t="e">
        <f t="shared" si="515"/>
        <v>#REF!</v>
      </c>
      <c r="BH405" s="12" t="e">
        <f t="shared" si="516"/>
        <v>#REF!</v>
      </c>
      <c r="BI405" s="12" t="e">
        <f t="shared" si="517"/>
        <v>#REF!</v>
      </c>
      <c r="BJ405" s="12" t="e">
        <f t="shared" si="518"/>
        <v>#REF!</v>
      </c>
      <c r="BK405" s="12"/>
      <c r="BL405" s="12">
        <v>734</v>
      </c>
      <c r="BW405" s="12" t="str">
        <f t="shared" si="519"/>
        <v>21</v>
      </c>
      <c r="BX405" s="3" t="s">
        <v>415</v>
      </c>
    </row>
    <row r="406" spans="1:76">
      <c r="A406" s="1" t="s">
        <v>904</v>
      </c>
      <c r="B406" s="2" t="s">
        <v>852</v>
      </c>
      <c r="C406" s="2" t="s">
        <v>416</v>
      </c>
      <c r="D406" s="349" t="s">
        <v>417</v>
      </c>
      <c r="E406" s="342"/>
      <c r="F406" s="2" t="s">
        <v>68</v>
      </c>
      <c r="G406" s="12" t="e">
        <f>#REF!</f>
        <v>#REF!</v>
      </c>
      <c r="H406" s="12" t="e">
        <f>#REF!</f>
        <v>#REF!</v>
      </c>
      <c r="I406" s="49" t="s">
        <v>554</v>
      </c>
      <c r="J406" s="12" t="e">
        <f t="shared" si="494"/>
        <v>#REF!</v>
      </c>
      <c r="K406" s="12" t="e">
        <f t="shared" si="495"/>
        <v>#REF!</v>
      </c>
      <c r="L406" s="12" t="e">
        <f t="shared" si="496"/>
        <v>#REF!</v>
      </c>
      <c r="M406" s="12" t="e">
        <f t="shared" si="497"/>
        <v>#REF!</v>
      </c>
      <c r="N406" s="12">
        <v>7.2999999999999996E-4</v>
      </c>
      <c r="O406" s="12" t="e">
        <f t="shared" si="498"/>
        <v>#REF!</v>
      </c>
      <c r="P406" s="50" t="s">
        <v>577</v>
      </c>
      <c r="Z406" s="12">
        <f t="shared" si="499"/>
        <v>0</v>
      </c>
      <c r="AB406" s="12">
        <f t="shared" si="500"/>
        <v>0</v>
      </c>
      <c r="AC406" s="12">
        <f t="shared" si="501"/>
        <v>0</v>
      </c>
      <c r="AD406" s="12" t="e">
        <f t="shared" si="502"/>
        <v>#REF!</v>
      </c>
      <c r="AE406" s="12" t="e">
        <f t="shared" si="503"/>
        <v>#REF!</v>
      </c>
      <c r="AF406" s="12">
        <f t="shared" si="504"/>
        <v>0</v>
      </c>
      <c r="AG406" s="12">
        <f t="shared" si="505"/>
        <v>0</v>
      </c>
      <c r="AH406" s="12">
        <f t="shared" si="506"/>
        <v>0</v>
      </c>
      <c r="AI406" s="10" t="s">
        <v>852</v>
      </c>
      <c r="AJ406" s="12">
        <f t="shared" si="507"/>
        <v>0</v>
      </c>
      <c r="AK406" s="12">
        <f t="shared" si="508"/>
        <v>0</v>
      </c>
      <c r="AL406" s="12" t="e">
        <f t="shared" si="509"/>
        <v>#REF!</v>
      </c>
      <c r="AN406" s="12">
        <v>21</v>
      </c>
      <c r="AO406" s="12" t="e">
        <f>H406*0.690255754</f>
        <v>#REF!</v>
      </c>
      <c r="AP406" s="12" t="e">
        <f>H406*(1-0.690255754)</f>
        <v>#REF!</v>
      </c>
      <c r="AQ406" s="49" t="s">
        <v>567</v>
      </c>
      <c r="AV406" s="12" t="e">
        <f t="shared" si="510"/>
        <v>#REF!</v>
      </c>
      <c r="AW406" s="12" t="e">
        <f t="shared" si="511"/>
        <v>#REF!</v>
      </c>
      <c r="AX406" s="12" t="e">
        <f t="shared" si="512"/>
        <v>#REF!</v>
      </c>
      <c r="AY406" s="49" t="s">
        <v>593</v>
      </c>
      <c r="AZ406" s="49" t="s">
        <v>882</v>
      </c>
      <c r="BA406" s="10" t="s">
        <v>855</v>
      </c>
      <c r="BC406" s="12" t="e">
        <f t="shared" si="513"/>
        <v>#REF!</v>
      </c>
      <c r="BD406" s="12" t="e">
        <f t="shared" si="514"/>
        <v>#REF!</v>
      </c>
      <c r="BE406" s="12">
        <v>0</v>
      </c>
      <c r="BF406" s="12" t="e">
        <f t="shared" si="515"/>
        <v>#REF!</v>
      </c>
      <c r="BH406" s="12" t="e">
        <f t="shared" si="516"/>
        <v>#REF!</v>
      </c>
      <c r="BI406" s="12" t="e">
        <f t="shared" si="517"/>
        <v>#REF!</v>
      </c>
      <c r="BJ406" s="12" t="e">
        <f t="shared" si="518"/>
        <v>#REF!</v>
      </c>
      <c r="BK406" s="12"/>
      <c r="BL406" s="12">
        <v>734</v>
      </c>
      <c r="BW406" s="12" t="str">
        <f t="shared" si="519"/>
        <v>21</v>
      </c>
      <c r="BX406" s="3" t="s">
        <v>417</v>
      </c>
    </row>
    <row r="407" spans="1:76">
      <c r="A407" s="1" t="s">
        <v>905</v>
      </c>
      <c r="B407" s="2" t="s">
        <v>852</v>
      </c>
      <c r="C407" s="2" t="s">
        <v>418</v>
      </c>
      <c r="D407" s="349" t="s">
        <v>419</v>
      </c>
      <c r="E407" s="342"/>
      <c r="F407" s="2" t="s">
        <v>68</v>
      </c>
      <c r="G407" s="12" t="e">
        <f>#REF!</f>
        <v>#REF!</v>
      </c>
      <c r="H407" s="12" t="e">
        <f>#REF!</f>
        <v>#REF!</v>
      </c>
      <c r="I407" s="49" t="s">
        <v>554</v>
      </c>
      <c r="J407" s="12" t="e">
        <f t="shared" si="494"/>
        <v>#REF!</v>
      </c>
      <c r="K407" s="12" t="e">
        <f t="shared" si="495"/>
        <v>#REF!</v>
      </c>
      <c r="L407" s="12" t="e">
        <f t="shared" si="496"/>
        <v>#REF!</v>
      </c>
      <c r="M407" s="12" t="e">
        <f t="shared" si="497"/>
        <v>#REF!</v>
      </c>
      <c r="N407" s="12">
        <v>2.5699999999999998E-3</v>
      </c>
      <c r="O407" s="12" t="e">
        <f t="shared" si="498"/>
        <v>#REF!</v>
      </c>
      <c r="P407" s="50" t="s">
        <v>605</v>
      </c>
      <c r="Z407" s="12">
        <f t="shared" si="499"/>
        <v>0</v>
      </c>
      <c r="AB407" s="12">
        <f t="shared" si="500"/>
        <v>0</v>
      </c>
      <c r="AC407" s="12">
        <f t="shared" si="501"/>
        <v>0</v>
      </c>
      <c r="AD407" s="12" t="e">
        <f t="shared" si="502"/>
        <v>#REF!</v>
      </c>
      <c r="AE407" s="12" t="e">
        <f t="shared" si="503"/>
        <v>#REF!</v>
      </c>
      <c r="AF407" s="12">
        <f t="shared" si="504"/>
        <v>0</v>
      </c>
      <c r="AG407" s="12">
        <f t="shared" si="505"/>
        <v>0</v>
      </c>
      <c r="AH407" s="12">
        <f t="shared" si="506"/>
        <v>0</v>
      </c>
      <c r="AI407" s="10" t="s">
        <v>852</v>
      </c>
      <c r="AJ407" s="12">
        <f t="shared" si="507"/>
        <v>0</v>
      </c>
      <c r="AK407" s="12">
        <f t="shared" si="508"/>
        <v>0</v>
      </c>
      <c r="AL407" s="12" t="e">
        <f t="shared" si="509"/>
        <v>#REF!</v>
      </c>
      <c r="AN407" s="12">
        <v>21</v>
      </c>
      <c r="AO407" s="12" t="e">
        <f>H407*0.893467249</f>
        <v>#REF!</v>
      </c>
      <c r="AP407" s="12" t="e">
        <f>H407*(1-0.893467249)</f>
        <v>#REF!</v>
      </c>
      <c r="AQ407" s="49" t="s">
        <v>567</v>
      </c>
      <c r="AV407" s="12" t="e">
        <f t="shared" si="510"/>
        <v>#REF!</v>
      </c>
      <c r="AW407" s="12" t="e">
        <f t="shared" si="511"/>
        <v>#REF!</v>
      </c>
      <c r="AX407" s="12" t="e">
        <f t="shared" si="512"/>
        <v>#REF!</v>
      </c>
      <c r="AY407" s="49" t="s">
        <v>593</v>
      </c>
      <c r="AZ407" s="49" t="s">
        <v>882</v>
      </c>
      <c r="BA407" s="10" t="s">
        <v>855</v>
      </c>
      <c r="BC407" s="12" t="e">
        <f t="shared" si="513"/>
        <v>#REF!</v>
      </c>
      <c r="BD407" s="12" t="e">
        <f t="shared" si="514"/>
        <v>#REF!</v>
      </c>
      <c r="BE407" s="12">
        <v>0</v>
      </c>
      <c r="BF407" s="12" t="e">
        <f t="shared" si="515"/>
        <v>#REF!</v>
      </c>
      <c r="BH407" s="12" t="e">
        <f t="shared" si="516"/>
        <v>#REF!</v>
      </c>
      <c r="BI407" s="12" t="e">
        <f t="shared" si="517"/>
        <v>#REF!</v>
      </c>
      <c r="BJ407" s="12" t="e">
        <f t="shared" si="518"/>
        <v>#REF!</v>
      </c>
      <c r="BK407" s="12"/>
      <c r="BL407" s="12">
        <v>734</v>
      </c>
      <c r="BW407" s="12" t="str">
        <f t="shared" si="519"/>
        <v>21</v>
      </c>
      <c r="BX407" s="3" t="s">
        <v>419</v>
      </c>
    </row>
    <row r="408" spans="1:76">
      <c r="A408" s="1" t="s">
        <v>906</v>
      </c>
      <c r="B408" s="2" t="s">
        <v>852</v>
      </c>
      <c r="C408" s="2" t="s">
        <v>420</v>
      </c>
      <c r="D408" s="349" t="s">
        <v>421</v>
      </c>
      <c r="E408" s="342"/>
      <c r="F408" s="2" t="s">
        <v>68</v>
      </c>
      <c r="G408" s="12" t="e">
        <f>#REF!</f>
        <v>#REF!</v>
      </c>
      <c r="H408" s="12" t="e">
        <f>#REF!</f>
        <v>#REF!</v>
      </c>
      <c r="I408" s="49" t="s">
        <v>554</v>
      </c>
      <c r="J408" s="12" t="e">
        <f t="shared" si="494"/>
        <v>#REF!</v>
      </c>
      <c r="K408" s="12" t="e">
        <f t="shared" si="495"/>
        <v>#REF!</v>
      </c>
      <c r="L408" s="12" t="e">
        <f t="shared" si="496"/>
        <v>#REF!</v>
      </c>
      <c r="M408" s="12" t="e">
        <f t="shared" si="497"/>
        <v>#REF!</v>
      </c>
      <c r="N408" s="12">
        <v>1.6240000000000001E-2</v>
      </c>
      <c r="O408" s="12" t="e">
        <f t="shared" si="498"/>
        <v>#REF!</v>
      </c>
      <c r="P408" s="50" t="s">
        <v>577</v>
      </c>
      <c r="Z408" s="12">
        <f t="shared" si="499"/>
        <v>0</v>
      </c>
      <c r="AB408" s="12">
        <f t="shared" si="500"/>
        <v>0</v>
      </c>
      <c r="AC408" s="12">
        <f t="shared" si="501"/>
        <v>0</v>
      </c>
      <c r="AD408" s="12" t="e">
        <f t="shared" si="502"/>
        <v>#REF!</v>
      </c>
      <c r="AE408" s="12" t="e">
        <f t="shared" si="503"/>
        <v>#REF!</v>
      </c>
      <c r="AF408" s="12">
        <f t="shared" si="504"/>
        <v>0</v>
      </c>
      <c r="AG408" s="12">
        <f t="shared" si="505"/>
        <v>0</v>
      </c>
      <c r="AH408" s="12">
        <f t="shared" si="506"/>
        <v>0</v>
      </c>
      <c r="AI408" s="10" t="s">
        <v>852</v>
      </c>
      <c r="AJ408" s="12">
        <f t="shared" si="507"/>
        <v>0</v>
      </c>
      <c r="AK408" s="12">
        <f t="shared" si="508"/>
        <v>0</v>
      </c>
      <c r="AL408" s="12" t="e">
        <f t="shared" si="509"/>
        <v>#REF!</v>
      </c>
      <c r="AN408" s="12">
        <v>21</v>
      </c>
      <c r="AO408" s="12" t="e">
        <f>H408*0.93908603</f>
        <v>#REF!</v>
      </c>
      <c r="AP408" s="12" t="e">
        <f>H408*(1-0.93908603)</f>
        <v>#REF!</v>
      </c>
      <c r="AQ408" s="49" t="s">
        <v>567</v>
      </c>
      <c r="AV408" s="12" t="e">
        <f t="shared" si="510"/>
        <v>#REF!</v>
      </c>
      <c r="AW408" s="12" t="e">
        <f t="shared" si="511"/>
        <v>#REF!</v>
      </c>
      <c r="AX408" s="12" t="e">
        <f t="shared" si="512"/>
        <v>#REF!</v>
      </c>
      <c r="AY408" s="49" t="s">
        <v>593</v>
      </c>
      <c r="AZ408" s="49" t="s">
        <v>882</v>
      </c>
      <c r="BA408" s="10" t="s">
        <v>855</v>
      </c>
      <c r="BC408" s="12" t="e">
        <f t="shared" si="513"/>
        <v>#REF!</v>
      </c>
      <c r="BD408" s="12" t="e">
        <f t="shared" si="514"/>
        <v>#REF!</v>
      </c>
      <c r="BE408" s="12">
        <v>0</v>
      </c>
      <c r="BF408" s="12" t="e">
        <f t="shared" si="515"/>
        <v>#REF!</v>
      </c>
      <c r="BH408" s="12" t="e">
        <f t="shared" si="516"/>
        <v>#REF!</v>
      </c>
      <c r="BI408" s="12" t="e">
        <f t="shared" si="517"/>
        <v>#REF!</v>
      </c>
      <c r="BJ408" s="12" t="e">
        <f t="shared" si="518"/>
        <v>#REF!</v>
      </c>
      <c r="BK408" s="12"/>
      <c r="BL408" s="12">
        <v>734</v>
      </c>
      <c r="BW408" s="12" t="str">
        <f t="shared" si="519"/>
        <v>21</v>
      </c>
      <c r="BX408" s="3" t="s">
        <v>421</v>
      </c>
    </row>
    <row r="409" spans="1:76">
      <c r="A409" s="1" t="s">
        <v>907</v>
      </c>
      <c r="B409" s="2" t="s">
        <v>852</v>
      </c>
      <c r="C409" s="2" t="s">
        <v>422</v>
      </c>
      <c r="D409" s="349" t="s">
        <v>423</v>
      </c>
      <c r="E409" s="342"/>
      <c r="F409" s="2" t="s">
        <v>68</v>
      </c>
      <c r="G409" s="12" t="e">
        <f>#REF!</f>
        <v>#REF!</v>
      </c>
      <c r="H409" s="12" t="e">
        <f>#REF!</f>
        <v>#REF!</v>
      </c>
      <c r="I409" s="49" t="s">
        <v>554</v>
      </c>
      <c r="J409" s="12" t="e">
        <f t="shared" si="494"/>
        <v>#REF!</v>
      </c>
      <c r="K409" s="12" t="e">
        <f t="shared" si="495"/>
        <v>#REF!</v>
      </c>
      <c r="L409" s="12" t="e">
        <f t="shared" si="496"/>
        <v>#REF!</v>
      </c>
      <c r="M409" s="12" t="e">
        <f t="shared" si="497"/>
        <v>#REF!</v>
      </c>
      <c r="N409" s="12">
        <v>4.6999999999999999E-4</v>
      </c>
      <c r="O409" s="12" t="e">
        <f t="shared" si="498"/>
        <v>#REF!</v>
      </c>
      <c r="P409" s="50" t="s">
        <v>577</v>
      </c>
      <c r="Z409" s="12">
        <f t="shared" si="499"/>
        <v>0</v>
      </c>
      <c r="AB409" s="12">
        <f t="shared" si="500"/>
        <v>0</v>
      </c>
      <c r="AC409" s="12">
        <f t="shared" si="501"/>
        <v>0</v>
      </c>
      <c r="AD409" s="12" t="e">
        <f t="shared" si="502"/>
        <v>#REF!</v>
      </c>
      <c r="AE409" s="12" t="e">
        <f t="shared" si="503"/>
        <v>#REF!</v>
      </c>
      <c r="AF409" s="12">
        <f t="shared" si="504"/>
        <v>0</v>
      </c>
      <c r="AG409" s="12">
        <f t="shared" si="505"/>
        <v>0</v>
      </c>
      <c r="AH409" s="12">
        <f t="shared" si="506"/>
        <v>0</v>
      </c>
      <c r="AI409" s="10" t="s">
        <v>852</v>
      </c>
      <c r="AJ409" s="12">
        <f t="shared" si="507"/>
        <v>0</v>
      </c>
      <c r="AK409" s="12">
        <f t="shared" si="508"/>
        <v>0</v>
      </c>
      <c r="AL409" s="12" t="e">
        <f t="shared" si="509"/>
        <v>#REF!</v>
      </c>
      <c r="AN409" s="12">
        <v>21</v>
      </c>
      <c r="AO409" s="12" t="e">
        <f>H409*0.903664796</f>
        <v>#REF!</v>
      </c>
      <c r="AP409" s="12" t="e">
        <f>H409*(1-0.903664796)</f>
        <v>#REF!</v>
      </c>
      <c r="AQ409" s="49" t="s">
        <v>567</v>
      </c>
      <c r="AV409" s="12" t="e">
        <f t="shared" si="510"/>
        <v>#REF!</v>
      </c>
      <c r="AW409" s="12" t="e">
        <f t="shared" si="511"/>
        <v>#REF!</v>
      </c>
      <c r="AX409" s="12" t="e">
        <f t="shared" si="512"/>
        <v>#REF!</v>
      </c>
      <c r="AY409" s="49" t="s">
        <v>593</v>
      </c>
      <c r="AZ409" s="49" t="s">
        <v>882</v>
      </c>
      <c r="BA409" s="10" t="s">
        <v>855</v>
      </c>
      <c r="BC409" s="12" t="e">
        <f t="shared" si="513"/>
        <v>#REF!</v>
      </c>
      <c r="BD409" s="12" t="e">
        <f t="shared" si="514"/>
        <v>#REF!</v>
      </c>
      <c r="BE409" s="12">
        <v>0</v>
      </c>
      <c r="BF409" s="12" t="e">
        <f t="shared" si="515"/>
        <v>#REF!</v>
      </c>
      <c r="BH409" s="12" t="e">
        <f t="shared" si="516"/>
        <v>#REF!</v>
      </c>
      <c r="BI409" s="12" t="e">
        <f t="shared" si="517"/>
        <v>#REF!</v>
      </c>
      <c r="BJ409" s="12" t="e">
        <f t="shared" si="518"/>
        <v>#REF!</v>
      </c>
      <c r="BK409" s="12"/>
      <c r="BL409" s="12">
        <v>734</v>
      </c>
      <c r="BW409" s="12" t="str">
        <f t="shared" si="519"/>
        <v>21</v>
      </c>
      <c r="BX409" s="3" t="s">
        <v>423</v>
      </c>
    </row>
    <row r="410" spans="1:76">
      <c r="A410" s="1" t="s">
        <v>908</v>
      </c>
      <c r="B410" s="2" t="s">
        <v>852</v>
      </c>
      <c r="C410" s="2" t="s">
        <v>424</v>
      </c>
      <c r="D410" s="349" t="s">
        <v>425</v>
      </c>
      <c r="E410" s="342"/>
      <c r="F410" s="2" t="s">
        <v>68</v>
      </c>
      <c r="G410" s="12" t="e">
        <f>#REF!</f>
        <v>#REF!</v>
      </c>
      <c r="H410" s="12" t="e">
        <f>#REF!</f>
        <v>#REF!</v>
      </c>
      <c r="I410" s="49" t="s">
        <v>554</v>
      </c>
      <c r="J410" s="12" t="e">
        <f t="shared" si="494"/>
        <v>#REF!</v>
      </c>
      <c r="K410" s="12" t="e">
        <f t="shared" si="495"/>
        <v>#REF!</v>
      </c>
      <c r="L410" s="12" t="e">
        <f t="shared" si="496"/>
        <v>#REF!</v>
      </c>
      <c r="M410" s="12" t="e">
        <f t="shared" si="497"/>
        <v>#REF!</v>
      </c>
      <c r="N410" s="12">
        <v>5.1999999999999995E-4</v>
      </c>
      <c r="O410" s="12" t="e">
        <f t="shared" si="498"/>
        <v>#REF!</v>
      </c>
      <c r="P410" s="50" t="s">
        <v>605</v>
      </c>
      <c r="Z410" s="12">
        <f t="shared" si="499"/>
        <v>0</v>
      </c>
      <c r="AB410" s="12">
        <f t="shared" si="500"/>
        <v>0</v>
      </c>
      <c r="AC410" s="12">
        <f t="shared" si="501"/>
        <v>0</v>
      </c>
      <c r="AD410" s="12" t="e">
        <f t="shared" si="502"/>
        <v>#REF!</v>
      </c>
      <c r="AE410" s="12" t="e">
        <f t="shared" si="503"/>
        <v>#REF!</v>
      </c>
      <c r="AF410" s="12">
        <f t="shared" si="504"/>
        <v>0</v>
      </c>
      <c r="AG410" s="12">
        <f t="shared" si="505"/>
        <v>0</v>
      </c>
      <c r="AH410" s="12">
        <f t="shared" si="506"/>
        <v>0</v>
      </c>
      <c r="AI410" s="10" t="s">
        <v>852</v>
      </c>
      <c r="AJ410" s="12">
        <f t="shared" si="507"/>
        <v>0</v>
      </c>
      <c r="AK410" s="12">
        <f t="shared" si="508"/>
        <v>0</v>
      </c>
      <c r="AL410" s="12" t="e">
        <f t="shared" si="509"/>
        <v>#REF!</v>
      </c>
      <c r="AN410" s="12">
        <v>21</v>
      </c>
      <c r="AO410" s="12" t="e">
        <f>H410*0.869366701</f>
        <v>#REF!</v>
      </c>
      <c r="AP410" s="12" t="e">
        <f>H410*(1-0.869366701)</f>
        <v>#REF!</v>
      </c>
      <c r="AQ410" s="49" t="s">
        <v>567</v>
      </c>
      <c r="AV410" s="12" t="e">
        <f t="shared" si="510"/>
        <v>#REF!</v>
      </c>
      <c r="AW410" s="12" t="e">
        <f t="shared" si="511"/>
        <v>#REF!</v>
      </c>
      <c r="AX410" s="12" t="e">
        <f t="shared" si="512"/>
        <v>#REF!</v>
      </c>
      <c r="AY410" s="49" t="s">
        <v>593</v>
      </c>
      <c r="AZ410" s="49" t="s">
        <v>882</v>
      </c>
      <c r="BA410" s="10" t="s">
        <v>855</v>
      </c>
      <c r="BC410" s="12" t="e">
        <f t="shared" si="513"/>
        <v>#REF!</v>
      </c>
      <c r="BD410" s="12" t="e">
        <f t="shared" si="514"/>
        <v>#REF!</v>
      </c>
      <c r="BE410" s="12">
        <v>0</v>
      </c>
      <c r="BF410" s="12" t="e">
        <f t="shared" si="515"/>
        <v>#REF!</v>
      </c>
      <c r="BH410" s="12" t="e">
        <f t="shared" si="516"/>
        <v>#REF!</v>
      </c>
      <c r="BI410" s="12" t="e">
        <f t="shared" si="517"/>
        <v>#REF!</v>
      </c>
      <c r="BJ410" s="12" t="e">
        <f t="shared" si="518"/>
        <v>#REF!</v>
      </c>
      <c r="BK410" s="12"/>
      <c r="BL410" s="12">
        <v>734</v>
      </c>
      <c r="BW410" s="12" t="str">
        <f t="shared" si="519"/>
        <v>21</v>
      </c>
      <c r="BX410" s="3" t="s">
        <v>425</v>
      </c>
    </row>
    <row r="411" spans="1:76">
      <c r="A411" s="1" t="s">
        <v>909</v>
      </c>
      <c r="B411" s="2" t="s">
        <v>852</v>
      </c>
      <c r="C411" s="2" t="s">
        <v>426</v>
      </c>
      <c r="D411" s="349" t="s">
        <v>427</v>
      </c>
      <c r="E411" s="342"/>
      <c r="F411" s="2" t="s">
        <v>68</v>
      </c>
      <c r="G411" s="12" t="e">
        <f>#REF!</f>
        <v>#REF!</v>
      </c>
      <c r="H411" s="12" t="e">
        <f>#REF!</f>
        <v>#REF!</v>
      </c>
      <c r="I411" s="49" t="s">
        <v>554</v>
      </c>
      <c r="J411" s="12" t="e">
        <f t="shared" si="494"/>
        <v>#REF!</v>
      </c>
      <c r="K411" s="12" t="e">
        <f t="shared" si="495"/>
        <v>#REF!</v>
      </c>
      <c r="L411" s="12" t="e">
        <f t="shared" si="496"/>
        <v>#REF!</v>
      </c>
      <c r="M411" s="12" t="e">
        <f t="shared" si="497"/>
        <v>#REF!</v>
      </c>
      <c r="N411" s="12">
        <v>9.2000000000000003E-4</v>
      </c>
      <c r="O411" s="12" t="e">
        <f t="shared" si="498"/>
        <v>#REF!</v>
      </c>
      <c r="P411" s="50" t="s">
        <v>605</v>
      </c>
      <c r="Z411" s="12">
        <f t="shared" si="499"/>
        <v>0</v>
      </c>
      <c r="AB411" s="12">
        <f t="shared" si="500"/>
        <v>0</v>
      </c>
      <c r="AC411" s="12">
        <f t="shared" si="501"/>
        <v>0</v>
      </c>
      <c r="AD411" s="12" t="e">
        <f t="shared" si="502"/>
        <v>#REF!</v>
      </c>
      <c r="AE411" s="12" t="e">
        <f t="shared" si="503"/>
        <v>#REF!</v>
      </c>
      <c r="AF411" s="12">
        <f t="shared" si="504"/>
        <v>0</v>
      </c>
      <c r="AG411" s="12">
        <f t="shared" si="505"/>
        <v>0</v>
      </c>
      <c r="AH411" s="12">
        <f t="shared" si="506"/>
        <v>0</v>
      </c>
      <c r="AI411" s="10" t="s">
        <v>852</v>
      </c>
      <c r="AJ411" s="12">
        <f t="shared" si="507"/>
        <v>0</v>
      </c>
      <c r="AK411" s="12">
        <f t="shared" si="508"/>
        <v>0</v>
      </c>
      <c r="AL411" s="12" t="e">
        <f t="shared" si="509"/>
        <v>#REF!</v>
      </c>
      <c r="AN411" s="12">
        <v>21</v>
      </c>
      <c r="AO411" s="12" t="e">
        <f>H411*0.929993168</f>
        <v>#REF!</v>
      </c>
      <c r="AP411" s="12" t="e">
        <f>H411*(1-0.929993168)</f>
        <v>#REF!</v>
      </c>
      <c r="AQ411" s="49" t="s">
        <v>567</v>
      </c>
      <c r="AV411" s="12" t="e">
        <f t="shared" si="510"/>
        <v>#REF!</v>
      </c>
      <c r="AW411" s="12" t="e">
        <f t="shared" si="511"/>
        <v>#REF!</v>
      </c>
      <c r="AX411" s="12" t="e">
        <f t="shared" si="512"/>
        <v>#REF!</v>
      </c>
      <c r="AY411" s="49" t="s">
        <v>593</v>
      </c>
      <c r="AZ411" s="49" t="s">
        <v>882</v>
      </c>
      <c r="BA411" s="10" t="s">
        <v>855</v>
      </c>
      <c r="BC411" s="12" t="e">
        <f t="shared" si="513"/>
        <v>#REF!</v>
      </c>
      <c r="BD411" s="12" t="e">
        <f t="shared" si="514"/>
        <v>#REF!</v>
      </c>
      <c r="BE411" s="12">
        <v>0</v>
      </c>
      <c r="BF411" s="12" t="e">
        <f t="shared" si="515"/>
        <v>#REF!</v>
      </c>
      <c r="BH411" s="12" t="e">
        <f t="shared" si="516"/>
        <v>#REF!</v>
      </c>
      <c r="BI411" s="12" t="e">
        <f t="shared" si="517"/>
        <v>#REF!</v>
      </c>
      <c r="BJ411" s="12" t="e">
        <f t="shared" si="518"/>
        <v>#REF!</v>
      </c>
      <c r="BK411" s="12"/>
      <c r="BL411" s="12">
        <v>734</v>
      </c>
      <c r="BW411" s="12" t="str">
        <f t="shared" si="519"/>
        <v>21</v>
      </c>
      <c r="BX411" s="3" t="s">
        <v>427</v>
      </c>
    </row>
    <row r="412" spans="1:76">
      <c r="A412" s="1" t="s">
        <v>910</v>
      </c>
      <c r="B412" s="2" t="s">
        <v>852</v>
      </c>
      <c r="C412" s="2" t="s">
        <v>428</v>
      </c>
      <c r="D412" s="349" t="s">
        <v>429</v>
      </c>
      <c r="E412" s="342"/>
      <c r="F412" s="2" t="s">
        <v>68</v>
      </c>
      <c r="G412" s="12" t="e">
        <f>#REF!</f>
        <v>#REF!</v>
      </c>
      <c r="H412" s="12" t="e">
        <f>#REF!</f>
        <v>#REF!</v>
      </c>
      <c r="I412" s="49" t="s">
        <v>554</v>
      </c>
      <c r="J412" s="12" t="e">
        <f t="shared" si="494"/>
        <v>#REF!</v>
      </c>
      <c r="K412" s="12" t="e">
        <f t="shared" si="495"/>
        <v>#REF!</v>
      </c>
      <c r="L412" s="12" t="e">
        <f t="shared" si="496"/>
        <v>#REF!</v>
      </c>
      <c r="M412" s="12" t="e">
        <f t="shared" si="497"/>
        <v>#REF!</v>
      </c>
      <c r="N412" s="12">
        <v>1.3999999999999999E-4</v>
      </c>
      <c r="O412" s="12" t="e">
        <f t="shared" si="498"/>
        <v>#REF!</v>
      </c>
      <c r="P412" s="50" t="s">
        <v>605</v>
      </c>
      <c r="Z412" s="12">
        <f t="shared" si="499"/>
        <v>0</v>
      </c>
      <c r="AB412" s="12">
        <f t="shared" si="500"/>
        <v>0</v>
      </c>
      <c r="AC412" s="12">
        <f t="shared" si="501"/>
        <v>0</v>
      </c>
      <c r="AD412" s="12" t="e">
        <f t="shared" si="502"/>
        <v>#REF!</v>
      </c>
      <c r="AE412" s="12" t="e">
        <f t="shared" si="503"/>
        <v>#REF!</v>
      </c>
      <c r="AF412" s="12">
        <f t="shared" si="504"/>
        <v>0</v>
      </c>
      <c r="AG412" s="12">
        <f t="shared" si="505"/>
        <v>0</v>
      </c>
      <c r="AH412" s="12">
        <f t="shared" si="506"/>
        <v>0</v>
      </c>
      <c r="AI412" s="10" t="s">
        <v>852</v>
      </c>
      <c r="AJ412" s="12">
        <f t="shared" si="507"/>
        <v>0</v>
      </c>
      <c r="AK412" s="12">
        <f t="shared" si="508"/>
        <v>0</v>
      </c>
      <c r="AL412" s="12" t="e">
        <f t="shared" si="509"/>
        <v>#REF!</v>
      </c>
      <c r="AN412" s="12">
        <v>21</v>
      </c>
      <c r="AO412" s="12" t="e">
        <f>H412*0.76990099</f>
        <v>#REF!</v>
      </c>
      <c r="AP412" s="12" t="e">
        <f>H412*(1-0.76990099)</f>
        <v>#REF!</v>
      </c>
      <c r="AQ412" s="49" t="s">
        <v>567</v>
      </c>
      <c r="AV412" s="12" t="e">
        <f t="shared" si="510"/>
        <v>#REF!</v>
      </c>
      <c r="AW412" s="12" t="e">
        <f t="shared" si="511"/>
        <v>#REF!</v>
      </c>
      <c r="AX412" s="12" t="e">
        <f t="shared" si="512"/>
        <v>#REF!</v>
      </c>
      <c r="AY412" s="49" t="s">
        <v>593</v>
      </c>
      <c r="AZ412" s="49" t="s">
        <v>882</v>
      </c>
      <c r="BA412" s="10" t="s">
        <v>855</v>
      </c>
      <c r="BC412" s="12" t="e">
        <f t="shared" si="513"/>
        <v>#REF!</v>
      </c>
      <c r="BD412" s="12" t="e">
        <f t="shared" si="514"/>
        <v>#REF!</v>
      </c>
      <c r="BE412" s="12">
        <v>0</v>
      </c>
      <c r="BF412" s="12" t="e">
        <f t="shared" si="515"/>
        <v>#REF!</v>
      </c>
      <c r="BH412" s="12" t="e">
        <f t="shared" si="516"/>
        <v>#REF!</v>
      </c>
      <c r="BI412" s="12" t="e">
        <f t="shared" si="517"/>
        <v>#REF!</v>
      </c>
      <c r="BJ412" s="12" t="e">
        <f t="shared" si="518"/>
        <v>#REF!</v>
      </c>
      <c r="BK412" s="12"/>
      <c r="BL412" s="12">
        <v>734</v>
      </c>
      <c r="BW412" s="12" t="str">
        <f t="shared" si="519"/>
        <v>21</v>
      </c>
      <c r="BX412" s="3" t="s">
        <v>429</v>
      </c>
    </row>
    <row r="413" spans="1:76">
      <c r="A413" s="1" t="s">
        <v>911</v>
      </c>
      <c r="B413" s="2" t="s">
        <v>852</v>
      </c>
      <c r="C413" s="2" t="s">
        <v>430</v>
      </c>
      <c r="D413" s="349" t="s">
        <v>431</v>
      </c>
      <c r="E413" s="342"/>
      <c r="F413" s="2" t="s">
        <v>68</v>
      </c>
      <c r="G413" s="12" t="e">
        <f>#REF!</f>
        <v>#REF!</v>
      </c>
      <c r="H413" s="12" t="e">
        <f>#REF!</f>
        <v>#REF!</v>
      </c>
      <c r="I413" s="49" t="s">
        <v>554</v>
      </c>
      <c r="J413" s="12" t="e">
        <f t="shared" si="494"/>
        <v>#REF!</v>
      </c>
      <c r="K413" s="12" t="e">
        <f t="shared" si="495"/>
        <v>#REF!</v>
      </c>
      <c r="L413" s="12" t="e">
        <f t="shared" si="496"/>
        <v>#REF!</v>
      </c>
      <c r="M413" s="12" t="e">
        <f t="shared" si="497"/>
        <v>#REF!</v>
      </c>
      <c r="N413" s="12">
        <v>5.0000000000000001E-4</v>
      </c>
      <c r="O413" s="12" t="e">
        <f t="shared" si="498"/>
        <v>#REF!</v>
      </c>
      <c r="P413" s="50" t="s">
        <v>605</v>
      </c>
      <c r="Z413" s="12">
        <f t="shared" si="499"/>
        <v>0</v>
      </c>
      <c r="AB413" s="12">
        <f t="shared" si="500"/>
        <v>0</v>
      </c>
      <c r="AC413" s="12">
        <f t="shared" si="501"/>
        <v>0</v>
      </c>
      <c r="AD413" s="12" t="e">
        <f t="shared" si="502"/>
        <v>#REF!</v>
      </c>
      <c r="AE413" s="12" t="e">
        <f t="shared" si="503"/>
        <v>#REF!</v>
      </c>
      <c r="AF413" s="12">
        <f t="shared" si="504"/>
        <v>0</v>
      </c>
      <c r="AG413" s="12">
        <f t="shared" si="505"/>
        <v>0</v>
      </c>
      <c r="AH413" s="12">
        <f t="shared" si="506"/>
        <v>0</v>
      </c>
      <c r="AI413" s="10" t="s">
        <v>852</v>
      </c>
      <c r="AJ413" s="12">
        <f t="shared" si="507"/>
        <v>0</v>
      </c>
      <c r="AK413" s="12">
        <f t="shared" si="508"/>
        <v>0</v>
      </c>
      <c r="AL413" s="12" t="e">
        <f t="shared" si="509"/>
        <v>#REF!</v>
      </c>
      <c r="AN413" s="12">
        <v>21</v>
      </c>
      <c r="AO413" s="12" t="e">
        <f>H413*0.872981818</f>
        <v>#REF!</v>
      </c>
      <c r="AP413" s="12" t="e">
        <f>H413*(1-0.872981818)</f>
        <v>#REF!</v>
      </c>
      <c r="AQ413" s="49" t="s">
        <v>567</v>
      </c>
      <c r="AV413" s="12" t="e">
        <f t="shared" si="510"/>
        <v>#REF!</v>
      </c>
      <c r="AW413" s="12" t="e">
        <f t="shared" si="511"/>
        <v>#REF!</v>
      </c>
      <c r="AX413" s="12" t="e">
        <f t="shared" si="512"/>
        <v>#REF!</v>
      </c>
      <c r="AY413" s="49" t="s">
        <v>593</v>
      </c>
      <c r="AZ413" s="49" t="s">
        <v>882</v>
      </c>
      <c r="BA413" s="10" t="s">
        <v>855</v>
      </c>
      <c r="BC413" s="12" t="e">
        <f t="shared" si="513"/>
        <v>#REF!</v>
      </c>
      <c r="BD413" s="12" t="e">
        <f t="shared" si="514"/>
        <v>#REF!</v>
      </c>
      <c r="BE413" s="12">
        <v>0</v>
      </c>
      <c r="BF413" s="12" t="e">
        <f t="shared" si="515"/>
        <v>#REF!</v>
      </c>
      <c r="BH413" s="12" t="e">
        <f t="shared" si="516"/>
        <v>#REF!</v>
      </c>
      <c r="BI413" s="12" t="e">
        <f t="shared" si="517"/>
        <v>#REF!</v>
      </c>
      <c r="BJ413" s="12" t="e">
        <f t="shared" si="518"/>
        <v>#REF!</v>
      </c>
      <c r="BK413" s="12"/>
      <c r="BL413" s="12">
        <v>734</v>
      </c>
      <c r="BW413" s="12" t="str">
        <f t="shared" si="519"/>
        <v>21</v>
      </c>
      <c r="BX413" s="3" t="s">
        <v>431</v>
      </c>
    </row>
    <row r="414" spans="1:76">
      <c r="A414" s="1" t="s">
        <v>912</v>
      </c>
      <c r="B414" s="2" t="s">
        <v>852</v>
      </c>
      <c r="C414" s="2" t="s">
        <v>432</v>
      </c>
      <c r="D414" s="349" t="s">
        <v>433</v>
      </c>
      <c r="E414" s="342"/>
      <c r="F414" s="2" t="s">
        <v>58</v>
      </c>
      <c r="G414" s="12" t="e">
        <f>#REF!</f>
        <v>#REF!</v>
      </c>
      <c r="H414" s="12" t="e">
        <f>#REF!</f>
        <v>#REF!</v>
      </c>
      <c r="I414" s="49" t="s">
        <v>554</v>
      </c>
      <c r="J414" s="12" t="e">
        <f t="shared" si="494"/>
        <v>#REF!</v>
      </c>
      <c r="K414" s="12" t="e">
        <f t="shared" si="495"/>
        <v>#REF!</v>
      </c>
      <c r="L414" s="12" t="e">
        <f t="shared" si="496"/>
        <v>#REF!</v>
      </c>
      <c r="M414" s="12" t="e">
        <f t="shared" si="497"/>
        <v>#REF!</v>
      </c>
      <c r="N414" s="12">
        <v>1.238E-2</v>
      </c>
      <c r="O414" s="12" t="e">
        <f t="shared" si="498"/>
        <v>#REF!</v>
      </c>
      <c r="P414" s="50" t="s">
        <v>577</v>
      </c>
      <c r="Z414" s="12">
        <f t="shared" si="499"/>
        <v>0</v>
      </c>
      <c r="AB414" s="12">
        <f t="shared" si="500"/>
        <v>0</v>
      </c>
      <c r="AC414" s="12">
        <f t="shared" si="501"/>
        <v>0</v>
      </c>
      <c r="AD414" s="12" t="e">
        <f t="shared" si="502"/>
        <v>#REF!</v>
      </c>
      <c r="AE414" s="12" t="e">
        <f t="shared" si="503"/>
        <v>#REF!</v>
      </c>
      <c r="AF414" s="12">
        <f t="shared" si="504"/>
        <v>0</v>
      </c>
      <c r="AG414" s="12">
        <f t="shared" si="505"/>
        <v>0</v>
      </c>
      <c r="AH414" s="12">
        <f t="shared" si="506"/>
        <v>0</v>
      </c>
      <c r="AI414" s="10" t="s">
        <v>852</v>
      </c>
      <c r="AJ414" s="12">
        <f t="shared" si="507"/>
        <v>0</v>
      </c>
      <c r="AK414" s="12">
        <f t="shared" si="508"/>
        <v>0</v>
      </c>
      <c r="AL414" s="12" t="e">
        <f t="shared" si="509"/>
        <v>#REF!</v>
      </c>
      <c r="AN414" s="12">
        <v>21</v>
      </c>
      <c r="AO414" s="12" t="e">
        <f>H414*0.91595369</f>
        <v>#REF!</v>
      </c>
      <c r="AP414" s="12" t="e">
        <f>H414*(1-0.91595369)</f>
        <v>#REF!</v>
      </c>
      <c r="AQ414" s="49" t="s">
        <v>567</v>
      </c>
      <c r="AV414" s="12" t="e">
        <f t="shared" si="510"/>
        <v>#REF!</v>
      </c>
      <c r="AW414" s="12" t="e">
        <f t="shared" si="511"/>
        <v>#REF!</v>
      </c>
      <c r="AX414" s="12" t="e">
        <f t="shared" si="512"/>
        <v>#REF!</v>
      </c>
      <c r="AY414" s="49" t="s">
        <v>593</v>
      </c>
      <c r="AZ414" s="49" t="s">
        <v>882</v>
      </c>
      <c r="BA414" s="10" t="s">
        <v>855</v>
      </c>
      <c r="BC414" s="12" t="e">
        <f t="shared" si="513"/>
        <v>#REF!</v>
      </c>
      <c r="BD414" s="12" t="e">
        <f t="shared" si="514"/>
        <v>#REF!</v>
      </c>
      <c r="BE414" s="12">
        <v>0</v>
      </c>
      <c r="BF414" s="12" t="e">
        <f t="shared" si="515"/>
        <v>#REF!</v>
      </c>
      <c r="BH414" s="12" t="e">
        <f t="shared" si="516"/>
        <v>#REF!</v>
      </c>
      <c r="BI414" s="12" t="e">
        <f t="shared" si="517"/>
        <v>#REF!</v>
      </c>
      <c r="BJ414" s="12" t="e">
        <f t="shared" si="518"/>
        <v>#REF!</v>
      </c>
      <c r="BK414" s="12"/>
      <c r="BL414" s="12">
        <v>734</v>
      </c>
      <c r="BW414" s="12" t="str">
        <f t="shared" si="519"/>
        <v>21</v>
      </c>
      <c r="BX414" s="3" t="s">
        <v>433</v>
      </c>
    </row>
    <row r="415" spans="1:76">
      <c r="A415" s="1" t="s">
        <v>913</v>
      </c>
      <c r="B415" s="2" t="s">
        <v>852</v>
      </c>
      <c r="C415" s="2" t="s">
        <v>434</v>
      </c>
      <c r="D415" s="349" t="s">
        <v>435</v>
      </c>
      <c r="E415" s="342"/>
      <c r="F415" s="2" t="s">
        <v>68</v>
      </c>
      <c r="G415" s="12" t="e">
        <f>#REF!</f>
        <v>#REF!</v>
      </c>
      <c r="H415" s="12" t="e">
        <f>#REF!</f>
        <v>#REF!</v>
      </c>
      <c r="I415" s="49" t="s">
        <v>554</v>
      </c>
      <c r="J415" s="12" t="e">
        <f t="shared" si="494"/>
        <v>#REF!</v>
      </c>
      <c r="K415" s="12" t="e">
        <f t="shared" si="495"/>
        <v>#REF!</v>
      </c>
      <c r="L415" s="12" t="e">
        <f t="shared" si="496"/>
        <v>#REF!</v>
      </c>
      <c r="M415" s="12" t="e">
        <f t="shared" si="497"/>
        <v>#REF!</v>
      </c>
      <c r="N415" s="12">
        <v>1.3999999999999999E-4</v>
      </c>
      <c r="O415" s="12" t="e">
        <f t="shared" si="498"/>
        <v>#REF!</v>
      </c>
      <c r="P415" s="50" t="s">
        <v>577</v>
      </c>
      <c r="Z415" s="12">
        <f t="shared" si="499"/>
        <v>0</v>
      </c>
      <c r="AB415" s="12">
        <f t="shared" si="500"/>
        <v>0</v>
      </c>
      <c r="AC415" s="12">
        <f t="shared" si="501"/>
        <v>0</v>
      </c>
      <c r="AD415" s="12" t="e">
        <f t="shared" si="502"/>
        <v>#REF!</v>
      </c>
      <c r="AE415" s="12" t="e">
        <f t="shared" si="503"/>
        <v>#REF!</v>
      </c>
      <c r="AF415" s="12">
        <f t="shared" si="504"/>
        <v>0</v>
      </c>
      <c r="AG415" s="12">
        <f t="shared" si="505"/>
        <v>0</v>
      </c>
      <c r="AH415" s="12">
        <f t="shared" si="506"/>
        <v>0</v>
      </c>
      <c r="AI415" s="10" t="s">
        <v>852</v>
      </c>
      <c r="AJ415" s="12">
        <f t="shared" si="507"/>
        <v>0</v>
      </c>
      <c r="AK415" s="12">
        <f t="shared" si="508"/>
        <v>0</v>
      </c>
      <c r="AL415" s="12" t="e">
        <f t="shared" si="509"/>
        <v>#REF!</v>
      </c>
      <c r="AN415" s="12">
        <v>21</v>
      </c>
      <c r="AO415" s="12" t="e">
        <f>H415*0.69147929</f>
        <v>#REF!</v>
      </c>
      <c r="AP415" s="12" t="e">
        <f>H415*(1-0.69147929)</f>
        <v>#REF!</v>
      </c>
      <c r="AQ415" s="49" t="s">
        <v>567</v>
      </c>
      <c r="AV415" s="12" t="e">
        <f t="shared" si="510"/>
        <v>#REF!</v>
      </c>
      <c r="AW415" s="12" t="e">
        <f t="shared" si="511"/>
        <v>#REF!</v>
      </c>
      <c r="AX415" s="12" t="e">
        <f t="shared" si="512"/>
        <v>#REF!</v>
      </c>
      <c r="AY415" s="49" t="s">
        <v>593</v>
      </c>
      <c r="AZ415" s="49" t="s">
        <v>882</v>
      </c>
      <c r="BA415" s="10" t="s">
        <v>855</v>
      </c>
      <c r="BC415" s="12" t="e">
        <f t="shared" si="513"/>
        <v>#REF!</v>
      </c>
      <c r="BD415" s="12" t="e">
        <f t="shared" si="514"/>
        <v>#REF!</v>
      </c>
      <c r="BE415" s="12">
        <v>0</v>
      </c>
      <c r="BF415" s="12" t="e">
        <f t="shared" si="515"/>
        <v>#REF!</v>
      </c>
      <c r="BH415" s="12" t="e">
        <f t="shared" si="516"/>
        <v>#REF!</v>
      </c>
      <c r="BI415" s="12" t="e">
        <f t="shared" si="517"/>
        <v>#REF!</v>
      </c>
      <c r="BJ415" s="12" t="e">
        <f t="shared" si="518"/>
        <v>#REF!</v>
      </c>
      <c r="BK415" s="12"/>
      <c r="BL415" s="12">
        <v>734</v>
      </c>
      <c r="BW415" s="12" t="str">
        <f t="shared" si="519"/>
        <v>21</v>
      </c>
      <c r="BX415" s="3" t="s">
        <v>435</v>
      </c>
    </row>
    <row r="416" spans="1:76">
      <c r="A416" s="1" t="s">
        <v>914</v>
      </c>
      <c r="B416" s="2" t="s">
        <v>852</v>
      </c>
      <c r="C416" s="2" t="s">
        <v>436</v>
      </c>
      <c r="D416" s="349" t="s">
        <v>437</v>
      </c>
      <c r="E416" s="342"/>
      <c r="F416" s="2" t="s">
        <v>68</v>
      </c>
      <c r="G416" s="12" t="e">
        <f>#REF!</f>
        <v>#REF!</v>
      </c>
      <c r="H416" s="12" t="e">
        <f>#REF!</f>
        <v>#REF!</v>
      </c>
      <c r="I416" s="49" t="s">
        <v>554</v>
      </c>
      <c r="J416" s="12" t="e">
        <f t="shared" si="494"/>
        <v>#REF!</v>
      </c>
      <c r="K416" s="12" t="e">
        <f t="shared" si="495"/>
        <v>#REF!</v>
      </c>
      <c r="L416" s="12" t="e">
        <f t="shared" si="496"/>
        <v>#REF!</v>
      </c>
      <c r="M416" s="12" t="e">
        <f t="shared" si="497"/>
        <v>#REF!</v>
      </c>
      <c r="N416" s="12">
        <v>2.9999999999999997E-4</v>
      </c>
      <c r="O416" s="12" t="e">
        <f t="shared" si="498"/>
        <v>#REF!</v>
      </c>
      <c r="P416" s="50" t="s">
        <v>605</v>
      </c>
      <c r="Z416" s="12">
        <f t="shared" si="499"/>
        <v>0</v>
      </c>
      <c r="AB416" s="12">
        <f t="shared" si="500"/>
        <v>0</v>
      </c>
      <c r="AC416" s="12">
        <f t="shared" si="501"/>
        <v>0</v>
      </c>
      <c r="AD416" s="12" t="e">
        <f t="shared" si="502"/>
        <v>#REF!</v>
      </c>
      <c r="AE416" s="12" t="e">
        <f t="shared" si="503"/>
        <v>#REF!</v>
      </c>
      <c r="AF416" s="12">
        <f t="shared" si="504"/>
        <v>0</v>
      </c>
      <c r="AG416" s="12">
        <f t="shared" si="505"/>
        <v>0</v>
      </c>
      <c r="AH416" s="12">
        <f t="shared" si="506"/>
        <v>0</v>
      </c>
      <c r="AI416" s="10" t="s">
        <v>852</v>
      </c>
      <c r="AJ416" s="12">
        <f t="shared" si="507"/>
        <v>0</v>
      </c>
      <c r="AK416" s="12">
        <f t="shared" si="508"/>
        <v>0</v>
      </c>
      <c r="AL416" s="12" t="e">
        <f t="shared" si="509"/>
        <v>#REF!</v>
      </c>
      <c r="AN416" s="12">
        <v>21</v>
      </c>
      <c r="AO416" s="12" t="e">
        <f>H416*0.796243845</f>
        <v>#REF!</v>
      </c>
      <c r="AP416" s="12" t="e">
        <f>H416*(1-0.796243845)</f>
        <v>#REF!</v>
      </c>
      <c r="AQ416" s="49" t="s">
        <v>567</v>
      </c>
      <c r="AV416" s="12" t="e">
        <f t="shared" si="510"/>
        <v>#REF!</v>
      </c>
      <c r="AW416" s="12" t="e">
        <f t="shared" si="511"/>
        <v>#REF!</v>
      </c>
      <c r="AX416" s="12" t="e">
        <f t="shared" si="512"/>
        <v>#REF!</v>
      </c>
      <c r="AY416" s="49" t="s">
        <v>593</v>
      </c>
      <c r="AZ416" s="49" t="s">
        <v>882</v>
      </c>
      <c r="BA416" s="10" t="s">
        <v>855</v>
      </c>
      <c r="BC416" s="12" t="e">
        <f t="shared" si="513"/>
        <v>#REF!</v>
      </c>
      <c r="BD416" s="12" t="e">
        <f t="shared" si="514"/>
        <v>#REF!</v>
      </c>
      <c r="BE416" s="12">
        <v>0</v>
      </c>
      <c r="BF416" s="12" t="e">
        <f t="shared" si="515"/>
        <v>#REF!</v>
      </c>
      <c r="BH416" s="12" t="e">
        <f t="shared" si="516"/>
        <v>#REF!</v>
      </c>
      <c r="BI416" s="12" t="e">
        <f t="shared" si="517"/>
        <v>#REF!</v>
      </c>
      <c r="BJ416" s="12" t="e">
        <f t="shared" si="518"/>
        <v>#REF!</v>
      </c>
      <c r="BK416" s="12"/>
      <c r="BL416" s="12">
        <v>734</v>
      </c>
      <c r="BW416" s="12" t="str">
        <f t="shared" si="519"/>
        <v>21</v>
      </c>
      <c r="BX416" s="3" t="s">
        <v>437</v>
      </c>
    </row>
    <row r="417" spans="1:76">
      <c r="A417" s="1" t="s">
        <v>915</v>
      </c>
      <c r="B417" s="2" t="s">
        <v>852</v>
      </c>
      <c r="C417" s="2" t="s">
        <v>438</v>
      </c>
      <c r="D417" s="349" t="s">
        <v>439</v>
      </c>
      <c r="E417" s="342"/>
      <c r="F417" s="2" t="s">
        <v>68</v>
      </c>
      <c r="G417" s="12" t="e">
        <f>#REF!</f>
        <v>#REF!</v>
      </c>
      <c r="H417" s="12" t="e">
        <f>#REF!</f>
        <v>#REF!</v>
      </c>
      <c r="I417" s="49" t="s">
        <v>554</v>
      </c>
      <c r="J417" s="12" t="e">
        <f t="shared" si="494"/>
        <v>#REF!</v>
      </c>
      <c r="K417" s="12" t="e">
        <f t="shared" si="495"/>
        <v>#REF!</v>
      </c>
      <c r="L417" s="12" t="e">
        <f t="shared" si="496"/>
        <v>#REF!</v>
      </c>
      <c r="M417" s="12" t="e">
        <f t="shared" si="497"/>
        <v>#REF!</v>
      </c>
      <c r="N417" s="12">
        <v>1.0399999999999999E-3</v>
      </c>
      <c r="O417" s="12" t="e">
        <f t="shared" si="498"/>
        <v>#REF!</v>
      </c>
      <c r="P417" s="50" t="s">
        <v>605</v>
      </c>
      <c r="Z417" s="12">
        <f t="shared" si="499"/>
        <v>0</v>
      </c>
      <c r="AB417" s="12">
        <f t="shared" si="500"/>
        <v>0</v>
      </c>
      <c r="AC417" s="12">
        <f t="shared" si="501"/>
        <v>0</v>
      </c>
      <c r="AD417" s="12" t="e">
        <f t="shared" si="502"/>
        <v>#REF!</v>
      </c>
      <c r="AE417" s="12" t="e">
        <f t="shared" si="503"/>
        <v>#REF!</v>
      </c>
      <c r="AF417" s="12">
        <f t="shared" si="504"/>
        <v>0</v>
      </c>
      <c r="AG417" s="12">
        <f t="shared" si="505"/>
        <v>0</v>
      </c>
      <c r="AH417" s="12">
        <f t="shared" si="506"/>
        <v>0</v>
      </c>
      <c r="AI417" s="10" t="s">
        <v>852</v>
      </c>
      <c r="AJ417" s="12">
        <f t="shared" si="507"/>
        <v>0</v>
      </c>
      <c r="AK417" s="12">
        <f t="shared" si="508"/>
        <v>0</v>
      </c>
      <c r="AL417" s="12" t="e">
        <f t="shared" si="509"/>
        <v>#REF!</v>
      </c>
      <c r="AN417" s="12">
        <v>21</v>
      </c>
      <c r="AO417" s="12" t="e">
        <f>H417*0.893386019</f>
        <v>#REF!</v>
      </c>
      <c r="AP417" s="12" t="e">
        <f>H417*(1-0.893386019)</f>
        <v>#REF!</v>
      </c>
      <c r="AQ417" s="49" t="s">
        <v>567</v>
      </c>
      <c r="AV417" s="12" t="e">
        <f t="shared" si="510"/>
        <v>#REF!</v>
      </c>
      <c r="AW417" s="12" t="e">
        <f t="shared" si="511"/>
        <v>#REF!</v>
      </c>
      <c r="AX417" s="12" t="e">
        <f t="shared" si="512"/>
        <v>#REF!</v>
      </c>
      <c r="AY417" s="49" t="s">
        <v>593</v>
      </c>
      <c r="AZ417" s="49" t="s">
        <v>882</v>
      </c>
      <c r="BA417" s="10" t="s">
        <v>855</v>
      </c>
      <c r="BC417" s="12" t="e">
        <f t="shared" si="513"/>
        <v>#REF!</v>
      </c>
      <c r="BD417" s="12" t="e">
        <f t="shared" si="514"/>
        <v>#REF!</v>
      </c>
      <c r="BE417" s="12">
        <v>0</v>
      </c>
      <c r="BF417" s="12" t="e">
        <f t="shared" si="515"/>
        <v>#REF!</v>
      </c>
      <c r="BH417" s="12" t="e">
        <f t="shared" si="516"/>
        <v>#REF!</v>
      </c>
      <c r="BI417" s="12" t="e">
        <f t="shared" si="517"/>
        <v>#REF!</v>
      </c>
      <c r="BJ417" s="12" t="e">
        <f t="shared" si="518"/>
        <v>#REF!</v>
      </c>
      <c r="BK417" s="12"/>
      <c r="BL417" s="12">
        <v>734</v>
      </c>
      <c r="BW417" s="12" t="str">
        <f t="shared" si="519"/>
        <v>21</v>
      </c>
      <c r="BX417" s="3" t="s">
        <v>439</v>
      </c>
    </row>
    <row r="418" spans="1:76">
      <c r="A418" s="46" t="s">
        <v>21</v>
      </c>
      <c r="B418" s="9" t="s">
        <v>852</v>
      </c>
      <c r="C418" s="9" t="s">
        <v>101</v>
      </c>
      <c r="D418" s="359" t="s">
        <v>102</v>
      </c>
      <c r="E418" s="360"/>
      <c r="F418" s="47" t="s">
        <v>20</v>
      </c>
      <c r="G418" s="47" t="s">
        <v>20</v>
      </c>
      <c r="H418" s="47" t="s">
        <v>20</v>
      </c>
      <c r="I418" s="47" t="s">
        <v>20</v>
      </c>
      <c r="J418" s="11" t="e">
        <f>SUM(J419:J420)</f>
        <v>#REF!</v>
      </c>
      <c r="K418" s="11" t="e">
        <f>SUM(K419:K420)</f>
        <v>#REF!</v>
      </c>
      <c r="L418" s="11" t="e">
        <f>SUM(L419:L420)</f>
        <v>#REF!</v>
      </c>
      <c r="M418" s="11" t="e">
        <f>SUM(M419:M420)</f>
        <v>#REF!</v>
      </c>
      <c r="N418" s="10" t="s">
        <v>21</v>
      </c>
      <c r="O418" s="11" t="e">
        <f>SUM(O419:O420)</f>
        <v>#REF!</v>
      </c>
      <c r="P418" s="48" t="s">
        <v>21</v>
      </c>
      <c r="AI418" s="10" t="s">
        <v>852</v>
      </c>
      <c r="AS418" s="11">
        <f>SUM(AJ419:AJ420)</f>
        <v>0</v>
      </c>
      <c r="AT418" s="11">
        <f>SUM(AK419:AK420)</f>
        <v>0</v>
      </c>
      <c r="AU418" s="11" t="e">
        <f>SUM(AL419:AL420)</f>
        <v>#REF!</v>
      </c>
    </row>
    <row r="419" spans="1:76">
      <c r="A419" s="1" t="s">
        <v>916</v>
      </c>
      <c r="B419" s="2" t="s">
        <v>852</v>
      </c>
      <c r="C419" s="2" t="s">
        <v>440</v>
      </c>
      <c r="D419" s="349" t="s">
        <v>441</v>
      </c>
      <c r="E419" s="342"/>
      <c r="F419" s="2" t="s">
        <v>105</v>
      </c>
      <c r="G419" s="12" t="e">
        <f>#REF!</f>
        <v>#REF!</v>
      </c>
      <c r="H419" s="12" t="e">
        <f>#REF!</f>
        <v>#REF!</v>
      </c>
      <c r="I419" s="49" t="s">
        <v>554</v>
      </c>
      <c r="J419" s="12" t="e">
        <f>G419*AO419</f>
        <v>#REF!</v>
      </c>
      <c r="K419" s="12" t="e">
        <f>G419*AP419</f>
        <v>#REF!</v>
      </c>
      <c r="L419" s="12" t="e">
        <f>G419*H419</f>
        <v>#REF!</v>
      </c>
      <c r="M419" s="12" t="e">
        <f>L419*(1+BW419/100)</f>
        <v>#REF!</v>
      </c>
      <c r="N419" s="12">
        <v>1.0499999999999999E-3</v>
      </c>
      <c r="O419" s="12" t="e">
        <f>G419*N419</f>
        <v>#REF!</v>
      </c>
      <c r="P419" s="50" t="s">
        <v>577</v>
      </c>
      <c r="Z419" s="12">
        <f>IF(AQ419="5",BJ419,0)</f>
        <v>0</v>
      </c>
      <c r="AB419" s="12">
        <f>IF(AQ419="1",BH419,0)</f>
        <v>0</v>
      </c>
      <c r="AC419" s="12">
        <f>IF(AQ419="1",BI419,0)</f>
        <v>0</v>
      </c>
      <c r="AD419" s="12" t="e">
        <f>IF(AQ419="7",BH419,0)</f>
        <v>#REF!</v>
      </c>
      <c r="AE419" s="12" t="e">
        <f>IF(AQ419="7",BI419,0)</f>
        <v>#REF!</v>
      </c>
      <c r="AF419" s="12">
        <f>IF(AQ419="2",BH419,0)</f>
        <v>0</v>
      </c>
      <c r="AG419" s="12">
        <f>IF(AQ419="2",BI419,0)</f>
        <v>0</v>
      </c>
      <c r="AH419" s="12">
        <f>IF(AQ419="0",BJ419,0)</f>
        <v>0</v>
      </c>
      <c r="AI419" s="10" t="s">
        <v>852</v>
      </c>
      <c r="AJ419" s="12">
        <f>IF(AN419=0,L419,0)</f>
        <v>0</v>
      </c>
      <c r="AK419" s="12">
        <f>IF(AN419=12,L419,0)</f>
        <v>0</v>
      </c>
      <c r="AL419" s="12" t="e">
        <f>IF(AN419=21,L419,0)</f>
        <v>#REF!</v>
      </c>
      <c r="AN419" s="12">
        <v>21</v>
      </c>
      <c r="AO419" s="12" t="e">
        <f>H419*0.15238806</f>
        <v>#REF!</v>
      </c>
      <c r="AP419" s="12" t="e">
        <f>H419*(1-0.15238806)</f>
        <v>#REF!</v>
      </c>
      <c r="AQ419" s="49" t="s">
        <v>567</v>
      </c>
      <c r="AV419" s="12" t="e">
        <f>AW419+AX419</f>
        <v>#REF!</v>
      </c>
      <c r="AW419" s="12" t="e">
        <f>G419*AO419</f>
        <v>#REF!</v>
      </c>
      <c r="AX419" s="12" t="e">
        <f>G419*AP419</f>
        <v>#REF!</v>
      </c>
      <c r="AY419" s="49" t="s">
        <v>596</v>
      </c>
      <c r="AZ419" s="49" t="s">
        <v>917</v>
      </c>
      <c r="BA419" s="10" t="s">
        <v>855</v>
      </c>
      <c r="BC419" s="12" t="e">
        <f>AW419+AX419</f>
        <v>#REF!</v>
      </c>
      <c r="BD419" s="12" t="e">
        <f>H419/(100-BE419)*100</f>
        <v>#REF!</v>
      </c>
      <c r="BE419" s="12">
        <v>0</v>
      </c>
      <c r="BF419" s="12" t="e">
        <f>O419</f>
        <v>#REF!</v>
      </c>
      <c r="BH419" s="12" t="e">
        <f>G419*AO419</f>
        <v>#REF!</v>
      </c>
      <c r="BI419" s="12" t="e">
        <f>G419*AP419</f>
        <v>#REF!</v>
      </c>
      <c r="BJ419" s="12" t="e">
        <f>G419*H419</f>
        <v>#REF!</v>
      </c>
      <c r="BK419" s="12"/>
      <c r="BL419" s="12">
        <v>767</v>
      </c>
      <c r="BW419" s="12" t="str">
        <f>I419</f>
        <v>21</v>
      </c>
      <c r="BX419" s="3" t="s">
        <v>441</v>
      </c>
    </row>
    <row r="420" spans="1:76">
      <c r="A420" s="1" t="s">
        <v>918</v>
      </c>
      <c r="B420" s="2" t="s">
        <v>852</v>
      </c>
      <c r="C420" s="2" t="s">
        <v>442</v>
      </c>
      <c r="D420" s="349" t="s">
        <v>443</v>
      </c>
      <c r="E420" s="342"/>
      <c r="F420" s="2" t="s">
        <v>105</v>
      </c>
      <c r="G420" s="12" t="e">
        <f>#REF!</f>
        <v>#REF!</v>
      </c>
      <c r="H420" s="12" t="e">
        <f>#REF!</f>
        <v>#REF!</v>
      </c>
      <c r="I420" s="49" t="s">
        <v>554</v>
      </c>
      <c r="J420" s="12" t="e">
        <f>G420*AO420</f>
        <v>#REF!</v>
      </c>
      <c r="K420" s="12" t="e">
        <f>G420*AP420</f>
        <v>#REF!</v>
      </c>
      <c r="L420" s="12" t="e">
        <f>G420*H420</f>
        <v>#REF!</v>
      </c>
      <c r="M420" s="12" t="e">
        <f>L420*(1+BW420/100)</f>
        <v>#REF!</v>
      </c>
      <c r="N420" s="12">
        <v>1.06E-3</v>
      </c>
      <c r="O420" s="12" t="e">
        <f>G420*N420</f>
        <v>#REF!</v>
      </c>
      <c r="P420" s="50" t="s">
        <v>577</v>
      </c>
      <c r="Z420" s="12">
        <f>IF(AQ420="5",BJ420,0)</f>
        <v>0</v>
      </c>
      <c r="AB420" s="12">
        <f>IF(AQ420="1",BH420,0)</f>
        <v>0</v>
      </c>
      <c r="AC420" s="12">
        <f>IF(AQ420="1",BI420,0)</f>
        <v>0</v>
      </c>
      <c r="AD420" s="12" t="e">
        <f>IF(AQ420="7",BH420,0)</f>
        <v>#REF!</v>
      </c>
      <c r="AE420" s="12" t="e">
        <f>IF(AQ420="7",BI420,0)</f>
        <v>#REF!</v>
      </c>
      <c r="AF420" s="12">
        <f>IF(AQ420="2",BH420,0)</f>
        <v>0</v>
      </c>
      <c r="AG420" s="12">
        <f>IF(AQ420="2",BI420,0)</f>
        <v>0</v>
      </c>
      <c r="AH420" s="12">
        <f>IF(AQ420="0",BJ420,0)</f>
        <v>0</v>
      </c>
      <c r="AI420" s="10" t="s">
        <v>852</v>
      </c>
      <c r="AJ420" s="12">
        <f>IF(AN420=0,L420,0)</f>
        <v>0</v>
      </c>
      <c r="AK420" s="12">
        <f>IF(AN420=12,L420,0)</f>
        <v>0</v>
      </c>
      <c r="AL420" s="12" t="e">
        <f>IF(AN420=21,L420,0)</f>
        <v>#REF!</v>
      </c>
      <c r="AN420" s="12">
        <v>21</v>
      </c>
      <c r="AO420" s="12" t="e">
        <f>H420*0.303333333</f>
        <v>#REF!</v>
      </c>
      <c r="AP420" s="12" t="e">
        <f>H420*(1-0.303333333)</f>
        <v>#REF!</v>
      </c>
      <c r="AQ420" s="49" t="s">
        <v>567</v>
      </c>
      <c r="AV420" s="12" t="e">
        <f>AW420+AX420</f>
        <v>#REF!</v>
      </c>
      <c r="AW420" s="12" t="e">
        <f>G420*AO420</f>
        <v>#REF!</v>
      </c>
      <c r="AX420" s="12" t="e">
        <f>G420*AP420</f>
        <v>#REF!</v>
      </c>
      <c r="AY420" s="49" t="s">
        <v>596</v>
      </c>
      <c r="AZ420" s="49" t="s">
        <v>917</v>
      </c>
      <c r="BA420" s="10" t="s">
        <v>855</v>
      </c>
      <c r="BC420" s="12" t="e">
        <f>AW420+AX420</f>
        <v>#REF!</v>
      </c>
      <c r="BD420" s="12" t="e">
        <f>H420/(100-BE420)*100</f>
        <v>#REF!</v>
      </c>
      <c r="BE420" s="12">
        <v>0</v>
      </c>
      <c r="BF420" s="12" t="e">
        <f>O420</f>
        <v>#REF!</v>
      </c>
      <c r="BH420" s="12" t="e">
        <f>G420*AO420</f>
        <v>#REF!</v>
      </c>
      <c r="BI420" s="12" t="e">
        <f>G420*AP420</f>
        <v>#REF!</v>
      </c>
      <c r="BJ420" s="12" t="e">
        <f>G420*H420</f>
        <v>#REF!</v>
      </c>
      <c r="BK420" s="12"/>
      <c r="BL420" s="12">
        <v>767</v>
      </c>
      <c r="BW420" s="12" t="str">
        <f>I420</f>
        <v>21</v>
      </c>
      <c r="BX420" s="3" t="s">
        <v>443</v>
      </c>
    </row>
    <row r="421" spans="1:76">
      <c r="A421" s="46" t="s">
        <v>21</v>
      </c>
      <c r="B421" s="9" t="s">
        <v>852</v>
      </c>
      <c r="C421" s="9" t="s">
        <v>23</v>
      </c>
      <c r="D421" s="359" t="s">
        <v>24</v>
      </c>
      <c r="E421" s="360"/>
      <c r="F421" s="47" t="s">
        <v>20</v>
      </c>
      <c r="G421" s="47" t="s">
        <v>20</v>
      </c>
      <c r="H421" s="47" t="s">
        <v>20</v>
      </c>
      <c r="I421" s="47" t="s">
        <v>20</v>
      </c>
      <c r="J421" s="11" t="e">
        <f>J422</f>
        <v>#REF!</v>
      </c>
      <c r="K421" s="11" t="e">
        <f>K422</f>
        <v>#REF!</v>
      </c>
      <c r="L421" s="11" t="e">
        <f>L422</f>
        <v>#REF!</v>
      </c>
      <c r="M421" s="11" t="e">
        <f>M422</f>
        <v>#REF!</v>
      </c>
      <c r="N421" s="10" t="s">
        <v>21</v>
      </c>
      <c r="O421" s="11" t="e">
        <f>O422</f>
        <v>#REF!</v>
      </c>
      <c r="P421" s="48" t="s">
        <v>21</v>
      </c>
      <c r="AI421" s="10" t="s">
        <v>852</v>
      </c>
    </row>
    <row r="422" spans="1:76">
      <c r="A422" s="46" t="s">
        <v>21</v>
      </c>
      <c r="B422" s="9" t="s">
        <v>852</v>
      </c>
      <c r="C422" s="9" t="s">
        <v>348</v>
      </c>
      <c r="D422" s="359" t="s">
        <v>349</v>
      </c>
      <c r="E422" s="360"/>
      <c r="F422" s="47" t="s">
        <v>20</v>
      </c>
      <c r="G422" s="47" t="s">
        <v>20</v>
      </c>
      <c r="H422" s="47" t="s">
        <v>20</v>
      </c>
      <c r="I422" s="47" t="s">
        <v>20</v>
      </c>
      <c r="J422" s="11" t="e">
        <f>SUM(J423:J423)</f>
        <v>#REF!</v>
      </c>
      <c r="K422" s="11" t="e">
        <f>SUM(K423:K423)</f>
        <v>#REF!</v>
      </c>
      <c r="L422" s="11" t="e">
        <f>SUM(L423:L423)</f>
        <v>#REF!</v>
      </c>
      <c r="M422" s="11" t="e">
        <f>SUM(M423:M423)</f>
        <v>#REF!</v>
      </c>
      <c r="N422" s="10" t="s">
        <v>21</v>
      </c>
      <c r="O422" s="11" t="e">
        <f>SUM(O423:O423)</f>
        <v>#REF!</v>
      </c>
      <c r="P422" s="48" t="s">
        <v>21</v>
      </c>
      <c r="AI422" s="10" t="s">
        <v>852</v>
      </c>
      <c r="AS422" s="11">
        <f>SUM(AJ423:AJ423)</f>
        <v>0</v>
      </c>
      <c r="AT422" s="11">
        <f>SUM(AK423:AK423)</f>
        <v>0</v>
      </c>
      <c r="AU422" s="11" t="e">
        <f>SUM(AL423:AL423)</f>
        <v>#REF!</v>
      </c>
    </row>
    <row r="423" spans="1:76">
      <c r="A423" s="1" t="s">
        <v>919</v>
      </c>
      <c r="B423" s="2" t="s">
        <v>852</v>
      </c>
      <c r="C423" s="2" t="s">
        <v>350</v>
      </c>
      <c r="D423" s="349" t="s">
        <v>447</v>
      </c>
      <c r="E423" s="342"/>
      <c r="F423" s="2" t="s">
        <v>29</v>
      </c>
      <c r="G423" s="12" t="e">
        <f>#REF!</f>
        <v>#REF!</v>
      </c>
      <c r="H423" s="12" t="e">
        <f>#REF!</f>
        <v>#REF!</v>
      </c>
      <c r="I423" s="49" t="s">
        <v>554</v>
      </c>
      <c r="J423" s="12" t="e">
        <f>G423*AO423</f>
        <v>#REF!</v>
      </c>
      <c r="K423" s="12" t="e">
        <f>G423*AP423</f>
        <v>#REF!</v>
      </c>
      <c r="L423" s="12" t="e">
        <f>G423*H423</f>
        <v>#REF!</v>
      </c>
      <c r="M423" s="12" t="e">
        <f>L423*(1+BW423/100)</f>
        <v>#REF!</v>
      </c>
      <c r="N423" s="12">
        <v>0</v>
      </c>
      <c r="O423" s="12" t="e">
        <f>G423*N423</f>
        <v>#REF!</v>
      </c>
      <c r="P423" s="50" t="s">
        <v>605</v>
      </c>
      <c r="Z423" s="12">
        <f>IF(AQ423="5",BJ423,0)</f>
        <v>0</v>
      </c>
      <c r="AB423" s="12">
        <f>IF(AQ423="1",BH423,0)</f>
        <v>0</v>
      </c>
      <c r="AC423" s="12">
        <f>IF(AQ423="1",BI423,0)</f>
        <v>0</v>
      </c>
      <c r="AD423" s="12">
        <f>IF(AQ423="7",BH423,0)</f>
        <v>0</v>
      </c>
      <c r="AE423" s="12">
        <f>IF(AQ423="7",BI423,0)</f>
        <v>0</v>
      </c>
      <c r="AF423" s="12">
        <f>IF(AQ423="2",BH423,0)</f>
        <v>0</v>
      </c>
      <c r="AG423" s="12">
        <f>IF(AQ423="2",BI423,0)</f>
        <v>0</v>
      </c>
      <c r="AH423" s="12">
        <f>IF(AQ423="0",BJ423,0)</f>
        <v>0</v>
      </c>
      <c r="AI423" s="10" t="s">
        <v>852</v>
      </c>
      <c r="AJ423" s="12">
        <f>IF(AN423=0,L423,0)</f>
        <v>0</v>
      </c>
      <c r="AK423" s="12">
        <f>IF(AN423=12,L423,0)</f>
        <v>0</v>
      </c>
      <c r="AL423" s="12" t="e">
        <f>IF(AN423=21,L423,0)</f>
        <v>#REF!</v>
      </c>
      <c r="AN423" s="12">
        <v>21</v>
      </c>
      <c r="AO423" s="12" t="e">
        <f>H423*0</f>
        <v>#REF!</v>
      </c>
      <c r="AP423" s="12" t="e">
        <f>H423*(1-0)</f>
        <v>#REF!</v>
      </c>
      <c r="AQ423" s="49" t="s">
        <v>556</v>
      </c>
      <c r="AV423" s="12" t="e">
        <f>AW423+AX423</f>
        <v>#REF!</v>
      </c>
      <c r="AW423" s="12" t="e">
        <f>G423*AO423</f>
        <v>#REF!</v>
      </c>
      <c r="AX423" s="12" t="e">
        <f>G423*AP423</f>
        <v>#REF!</v>
      </c>
      <c r="AY423" s="49" t="s">
        <v>711</v>
      </c>
      <c r="AZ423" s="49" t="s">
        <v>920</v>
      </c>
      <c r="BA423" s="10" t="s">
        <v>855</v>
      </c>
      <c r="BC423" s="12" t="e">
        <f>AW423+AX423</f>
        <v>#REF!</v>
      </c>
      <c r="BD423" s="12" t="e">
        <f>H423/(100-BE423)*100</f>
        <v>#REF!</v>
      </c>
      <c r="BE423" s="12">
        <v>0</v>
      </c>
      <c r="BF423" s="12" t="e">
        <f>O423</f>
        <v>#REF!</v>
      </c>
      <c r="BH423" s="12" t="e">
        <f>G423*AO423</f>
        <v>#REF!</v>
      </c>
      <c r="BI423" s="12" t="e">
        <f>G423*AP423</f>
        <v>#REF!</v>
      </c>
      <c r="BJ423" s="12" t="e">
        <f>G423*H423</f>
        <v>#REF!</v>
      </c>
      <c r="BK423" s="12"/>
      <c r="BL423" s="12"/>
      <c r="BR423" s="12" t="e">
        <f>G423*H423</f>
        <v>#REF!</v>
      </c>
      <c r="BW423" s="12" t="str">
        <f>I423</f>
        <v>21</v>
      </c>
      <c r="BX423" s="3" t="s">
        <v>447</v>
      </c>
    </row>
    <row r="424" spans="1:76">
      <c r="A424" s="46" t="s">
        <v>21</v>
      </c>
      <c r="B424" s="9" t="s">
        <v>921</v>
      </c>
      <c r="C424" s="9" t="s">
        <v>21</v>
      </c>
      <c r="D424" s="359" t="s">
        <v>448</v>
      </c>
      <c r="E424" s="360"/>
      <c r="F424" s="47" t="s">
        <v>20</v>
      </c>
      <c r="G424" s="47" t="s">
        <v>20</v>
      </c>
      <c r="H424" s="47" t="s">
        <v>20</v>
      </c>
      <c r="I424" s="47" t="s">
        <v>20</v>
      </c>
      <c r="J424" s="11" t="e">
        <f>J425+J435+J437+J453+J455+J463+J475+J491+J495</f>
        <v>#REF!</v>
      </c>
      <c r="K424" s="11" t="e">
        <f>K425+K435+K437+K453+K455+K463+K475+K491+K495</f>
        <v>#REF!</v>
      </c>
      <c r="L424" s="11" t="e">
        <f>L425+L435+L437+L453+L455+L463+L475+L491+L495</f>
        <v>#REF!</v>
      </c>
      <c r="M424" s="11" t="e">
        <f>M425+M435+M437+M453+M455+M463+M475+M491+M495</f>
        <v>#REF!</v>
      </c>
      <c r="N424" s="10" t="s">
        <v>21</v>
      </c>
      <c r="O424" s="11" t="e">
        <f>O425+O435+O437+O453+O455+O463+O475+O491+O495</f>
        <v>#REF!</v>
      </c>
      <c r="P424" s="48" t="s">
        <v>21</v>
      </c>
    </row>
    <row r="425" spans="1:76">
      <c r="A425" s="46" t="s">
        <v>21</v>
      </c>
      <c r="B425" s="9" t="s">
        <v>921</v>
      </c>
      <c r="C425" s="9" t="s">
        <v>54</v>
      </c>
      <c r="D425" s="359" t="s">
        <v>55</v>
      </c>
      <c r="E425" s="360"/>
      <c r="F425" s="47" t="s">
        <v>20</v>
      </c>
      <c r="G425" s="47" t="s">
        <v>20</v>
      </c>
      <c r="H425" s="47" t="s">
        <v>20</v>
      </c>
      <c r="I425" s="47" t="s">
        <v>20</v>
      </c>
      <c r="J425" s="11" t="e">
        <f>SUM(J426:J434)</f>
        <v>#REF!</v>
      </c>
      <c r="K425" s="11" t="e">
        <f>SUM(K426:K434)</f>
        <v>#REF!</v>
      </c>
      <c r="L425" s="11" t="e">
        <f>SUM(L426:L434)</f>
        <v>#REF!</v>
      </c>
      <c r="M425" s="11" t="e">
        <f>SUM(M426:M434)</f>
        <v>#REF!</v>
      </c>
      <c r="N425" s="10" t="s">
        <v>21</v>
      </c>
      <c r="O425" s="11" t="e">
        <f>SUM(O426:O434)</f>
        <v>#REF!</v>
      </c>
      <c r="P425" s="48" t="s">
        <v>21</v>
      </c>
      <c r="AI425" s="10" t="s">
        <v>921</v>
      </c>
      <c r="AS425" s="11">
        <f>SUM(AJ426:AJ434)</f>
        <v>0</v>
      </c>
      <c r="AT425" s="11">
        <f>SUM(AK426:AK434)</f>
        <v>0</v>
      </c>
      <c r="AU425" s="11" t="e">
        <f>SUM(AL426:AL434)</f>
        <v>#REF!</v>
      </c>
    </row>
    <row r="426" spans="1:76">
      <c r="A426" s="1" t="s">
        <v>922</v>
      </c>
      <c r="B426" s="2" t="s">
        <v>921</v>
      </c>
      <c r="C426" s="2" t="s">
        <v>69</v>
      </c>
      <c r="D426" s="349" t="s">
        <v>356</v>
      </c>
      <c r="E426" s="342"/>
      <c r="F426" s="2" t="s">
        <v>68</v>
      </c>
      <c r="G426" s="12" t="e">
        <f>#REF!</f>
        <v>#REF!</v>
      </c>
      <c r="H426" s="12" t="e">
        <f>#REF!</f>
        <v>#REF!</v>
      </c>
      <c r="I426" s="49" t="s">
        <v>554</v>
      </c>
      <c r="J426" s="12" t="e">
        <f t="shared" ref="J426:J434" si="520">G426*AO426</f>
        <v>#REF!</v>
      </c>
      <c r="K426" s="12" t="e">
        <f t="shared" ref="K426:K434" si="521">G426*AP426</f>
        <v>#REF!</v>
      </c>
      <c r="L426" s="12" t="e">
        <f t="shared" ref="L426:L434" si="522">G426*H426</f>
        <v>#REF!</v>
      </c>
      <c r="M426" s="12" t="e">
        <f t="shared" ref="M426:M434" si="523">L426*(1+BW426/100)</f>
        <v>#REF!</v>
      </c>
      <c r="N426" s="12">
        <v>0</v>
      </c>
      <c r="O426" s="12" t="e">
        <f t="shared" ref="O426:O434" si="524">G426*N426</f>
        <v>#REF!</v>
      </c>
      <c r="P426" s="50" t="s">
        <v>577</v>
      </c>
      <c r="Z426" s="12">
        <f t="shared" ref="Z426:Z434" si="525">IF(AQ426="5",BJ426,0)</f>
        <v>0</v>
      </c>
      <c r="AB426" s="12" t="e">
        <f t="shared" ref="AB426:AB434" si="526">IF(AQ426="1",BH426,0)</f>
        <v>#REF!</v>
      </c>
      <c r="AC426" s="12" t="e">
        <f t="shared" ref="AC426:AC434" si="527">IF(AQ426="1",BI426,0)</f>
        <v>#REF!</v>
      </c>
      <c r="AD426" s="12">
        <f t="shared" ref="AD426:AD434" si="528">IF(AQ426="7",BH426,0)</f>
        <v>0</v>
      </c>
      <c r="AE426" s="12">
        <f t="shared" ref="AE426:AE434" si="529">IF(AQ426="7",BI426,0)</f>
        <v>0</v>
      </c>
      <c r="AF426" s="12">
        <f t="shared" ref="AF426:AF434" si="530">IF(AQ426="2",BH426,0)</f>
        <v>0</v>
      </c>
      <c r="AG426" s="12">
        <f t="shared" ref="AG426:AG434" si="531">IF(AQ426="2",BI426,0)</f>
        <v>0</v>
      </c>
      <c r="AH426" s="12">
        <f t="shared" ref="AH426:AH434" si="532">IF(AQ426="0",BJ426,0)</f>
        <v>0</v>
      </c>
      <c r="AI426" s="10" t="s">
        <v>921</v>
      </c>
      <c r="AJ426" s="12">
        <f t="shared" ref="AJ426:AJ434" si="533">IF(AN426=0,L426,0)</f>
        <v>0</v>
      </c>
      <c r="AK426" s="12">
        <f t="shared" ref="AK426:AK434" si="534">IF(AN426=12,L426,0)</f>
        <v>0</v>
      </c>
      <c r="AL426" s="12" t="e">
        <f t="shared" ref="AL426:AL434" si="535">IF(AN426=21,L426,0)</f>
        <v>#REF!</v>
      </c>
      <c r="AN426" s="12">
        <v>21</v>
      </c>
      <c r="AO426" s="12" t="e">
        <f>H426*0</f>
        <v>#REF!</v>
      </c>
      <c r="AP426" s="12" t="e">
        <f>H426*(1-0)</f>
        <v>#REF!</v>
      </c>
      <c r="AQ426" s="49" t="s">
        <v>553</v>
      </c>
      <c r="AV426" s="12" t="e">
        <f t="shared" ref="AV426:AV434" si="536">AW426+AX426</f>
        <v>#REF!</v>
      </c>
      <c r="AW426" s="12" t="e">
        <f t="shared" ref="AW426:AW434" si="537">G426*AO426</f>
        <v>#REF!</v>
      </c>
      <c r="AX426" s="12" t="e">
        <f t="shared" ref="AX426:AX434" si="538">G426*AP426</f>
        <v>#REF!</v>
      </c>
      <c r="AY426" s="49" t="s">
        <v>574</v>
      </c>
      <c r="AZ426" s="49" t="s">
        <v>923</v>
      </c>
      <c r="BA426" s="10" t="s">
        <v>924</v>
      </c>
      <c r="BC426" s="12" t="e">
        <f t="shared" ref="BC426:BC434" si="539">AW426+AX426</f>
        <v>#REF!</v>
      </c>
      <c r="BD426" s="12" t="e">
        <f t="shared" ref="BD426:BD434" si="540">H426/(100-BE426)*100</f>
        <v>#REF!</v>
      </c>
      <c r="BE426" s="12">
        <v>0</v>
      </c>
      <c r="BF426" s="12" t="e">
        <f t="shared" ref="BF426:BF434" si="541">O426</f>
        <v>#REF!</v>
      </c>
      <c r="BH426" s="12" t="e">
        <f t="shared" ref="BH426:BH434" si="542">G426*AO426</f>
        <v>#REF!</v>
      </c>
      <c r="BI426" s="12" t="e">
        <f t="shared" ref="BI426:BI434" si="543">G426*AP426</f>
        <v>#REF!</v>
      </c>
      <c r="BJ426" s="12" t="e">
        <f t="shared" ref="BJ426:BJ434" si="544">G426*H426</f>
        <v>#REF!</v>
      </c>
      <c r="BK426" s="12"/>
      <c r="BL426" s="12">
        <v>0</v>
      </c>
      <c r="BW426" s="12" t="str">
        <f t="shared" ref="BW426:BW434" si="545">I426</f>
        <v>21</v>
      </c>
      <c r="BX426" s="3" t="s">
        <v>356</v>
      </c>
    </row>
    <row r="427" spans="1:76">
      <c r="A427" s="1" t="s">
        <v>925</v>
      </c>
      <c r="B427" s="2" t="s">
        <v>921</v>
      </c>
      <c r="C427" s="2" t="s">
        <v>107</v>
      </c>
      <c r="D427" s="349" t="s">
        <v>108</v>
      </c>
      <c r="E427" s="342"/>
      <c r="F427" s="2" t="s">
        <v>109</v>
      </c>
      <c r="G427" s="12" t="e">
        <f>#REF!</f>
        <v>#REF!</v>
      </c>
      <c r="H427" s="12" t="e">
        <f>#REF!</f>
        <v>#REF!</v>
      </c>
      <c r="I427" s="49" t="s">
        <v>554</v>
      </c>
      <c r="J427" s="12" t="e">
        <f t="shared" si="520"/>
        <v>#REF!</v>
      </c>
      <c r="K427" s="12" t="e">
        <f t="shared" si="521"/>
        <v>#REF!</v>
      </c>
      <c r="L427" s="12" t="e">
        <f t="shared" si="522"/>
        <v>#REF!</v>
      </c>
      <c r="M427" s="12" t="e">
        <f t="shared" si="523"/>
        <v>#REF!</v>
      </c>
      <c r="N427" s="12">
        <v>0</v>
      </c>
      <c r="O427" s="12" t="e">
        <f t="shared" si="524"/>
        <v>#REF!</v>
      </c>
      <c r="P427" s="50" t="s">
        <v>21</v>
      </c>
      <c r="Z427" s="12">
        <f t="shared" si="525"/>
        <v>0</v>
      </c>
      <c r="AB427" s="12" t="e">
        <f t="shared" si="526"/>
        <v>#REF!</v>
      </c>
      <c r="AC427" s="12" t="e">
        <f t="shared" si="527"/>
        <v>#REF!</v>
      </c>
      <c r="AD427" s="12">
        <f t="shared" si="528"/>
        <v>0</v>
      </c>
      <c r="AE427" s="12">
        <f t="shared" si="529"/>
        <v>0</v>
      </c>
      <c r="AF427" s="12">
        <f t="shared" si="530"/>
        <v>0</v>
      </c>
      <c r="AG427" s="12">
        <f t="shared" si="531"/>
        <v>0</v>
      </c>
      <c r="AH427" s="12">
        <f t="shared" si="532"/>
        <v>0</v>
      </c>
      <c r="AI427" s="10" t="s">
        <v>921</v>
      </c>
      <c r="AJ427" s="12">
        <f t="shared" si="533"/>
        <v>0</v>
      </c>
      <c r="AK427" s="12">
        <f t="shared" si="534"/>
        <v>0</v>
      </c>
      <c r="AL427" s="12" t="e">
        <f t="shared" si="535"/>
        <v>#REF!</v>
      </c>
      <c r="AN427" s="12">
        <v>21</v>
      </c>
      <c r="AO427" s="12" t="e">
        <f>H427*0</f>
        <v>#REF!</v>
      </c>
      <c r="AP427" s="12" t="e">
        <f>H427*(1-0)</f>
        <v>#REF!</v>
      </c>
      <c r="AQ427" s="49" t="s">
        <v>553</v>
      </c>
      <c r="AV427" s="12" t="e">
        <f t="shared" si="536"/>
        <v>#REF!</v>
      </c>
      <c r="AW427" s="12" t="e">
        <f t="shared" si="537"/>
        <v>#REF!</v>
      </c>
      <c r="AX427" s="12" t="e">
        <f t="shared" si="538"/>
        <v>#REF!</v>
      </c>
      <c r="AY427" s="49" t="s">
        <v>574</v>
      </c>
      <c r="AZ427" s="49" t="s">
        <v>923</v>
      </c>
      <c r="BA427" s="10" t="s">
        <v>924</v>
      </c>
      <c r="BC427" s="12" t="e">
        <f t="shared" si="539"/>
        <v>#REF!</v>
      </c>
      <c r="BD427" s="12" t="e">
        <f t="shared" si="540"/>
        <v>#REF!</v>
      </c>
      <c r="BE427" s="12">
        <v>0</v>
      </c>
      <c r="BF427" s="12" t="e">
        <f t="shared" si="541"/>
        <v>#REF!</v>
      </c>
      <c r="BH427" s="12" t="e">
        <f t="shared" si="542"/>
        <v>#REF!</v>
      </c>
      <c r="BI427" s="12" t="e">
        <f t="shared" si="543"/>
        <v>#REF!</v>
      </c>
      <c r="BJ427" s="12" t="e">
        <f t="shared" si="544"/>
        <v>#REF!</v>
      </c>
      <c r="BK427" s="12"/>
      <c r="BL427" s="12">
        <v>0</v>
      </c>
      <c r="BW427" s="12" t="str">
        <f t="shared" si="545"/>
        <v>21</v>
      </c>
      <c r="BX427" s="3" t="s">
        <v>108</v>
      </c>
    </row>
    <row r="428" spans="1:76" ht="25.5">
      <c r="A428" s="1" t="s">
        <v>926</v>
      </c>
      <c r="B428" s="2" t="s">
        <v>921</v>
      </c>
      <c r="C428" s="2" t="s">
        <v>110</v>
      </c>
      <c r="D428" s="349" t="s">
        <v>111</v>
      </c>
      <c r="E428" s="342"/>
      <c r="F428" s="2" t="s">
        <v>112</v>
      </c>
      <c r="G428" s="12" t="e">
        <f>#REF!</f>
        <v>#REF!</v>
      </c>
      <c r="H428" s="12" t="e">
        <f>#REF!</f>
        <v>#REF!</v>
      </c>
      <c r="I428" s="49" t="s">
        <v>554</v>
      </c>
      <c r="J428" s="12" t="e">
        <f t="shared" si="520"/>
        <v>#REF!</v>
      </c>
      <c r="K428" s="12" t="e">
        <f t="shared" si="521"/>
        <v>#REF!</v>
      </c>
      <c r="L428" s="12" t="e">
        <f t="shared" si="522"/>
        <v>#REF!</v>
      </c>
      <c r="M428" s="12" t="e">
        <f t="shared" si="523"/>
        <v>#REF!</v>
      </c>
      <c r="N428" s="12">
        <v>0</v>
      </c>
      <c r="O428" s="12" t="e">
        <f t="shared" si="524"/>
        <v>#REF!</v>
      </c>
      <c r="P428" s="50" t="s">
        <v>21</v>
      </c>
      <c r="Z428" s="12">
        <f t="shared" si="525"/>
        <v>0</v>
      </c>
      <c r="AB428" s="12" t="e">
        <f t="shared" si="526"/>
        <v>#REF!</v>
      </c>
      <c r="AC428" s="12" t="e">
        <f t="shared" si="527"/>
        <v>#REF!</v>
      </c>
      <c r="AD428" s="12">
        <f t="shared" si="528"/>
        <v>0</v>
      </c>
      <c r="AE428" s="12">
        <f t="shared" si="529"/>
        <v>0</v>
      </c>
      <c r="AF428" s="12">
        <f t="shared" si="530"/>
        <v>0</v>
      </c>
      <c r="AG428" s="12">
        <f t="shared" si="531"/>
        <v>0</v>
      </c>
      <c r="AH428" s="12">
        <f t="shared" si="532"/>
        <v>0</v>
      </c>
      <c r="AI428" s="10" t="s">
        <v>921</v>
      </c>
      <c r="AJ428" s="12">
        <f t="shared" si="533"/>
        <v>0</v>
      </c>
      <c r="AK428" s="12">
        <f t="shared" si="534"/>
        <v>0</v>
      </c>
      <c r="AL428" s="12" t="e">
        <f t="shared" si="535"/>
        <v>#REF!</v>
      </c>
      <c r="AN428" s="12">
        <v>21</v>
      </c>
      <c r="AO428" s="12" t="e">
        <f>H428*0.298352654</f>
        <v>#REF!</v>
      </c>
      <c r="AP428" s="12" t="e">
        <f>H428*(1-0.298352654)</f>
        <v>#REF!</v>
      </c>
      <c r="AQ428" s="49" t="s">
        <v>553</v>
      </c>
      <c r="AV428" s="12" t="e">
        <f t="shared" si="536"/>
        <v>#REF!</v>
      </c>
      <c r="AW428" s="12" t="e">
        <f t="shared" si="537"/>
        <v>#REF!</v>
      </c>
      <c r="AX428" s="12" t="e">
        <f t="shared" si="538"/>
        <v>#REF!</v>
      </c>
      <c r="AY428" s="49" t="s">
        <v>574</v>
      </c>
      <c r="AZ428" s="49" t="s">
        <v>923</v>
      </c>
      <c r="BA428" s="10" t="s">
        <v>924</v>
      </c>
      <c r="BC428" s="12" t="e">
        <f t="shared" si="539"/>
        <v>#REF!</v>
      </c>
      <c r="BD428" s="12" t="e">
        <f t="shared" si="540"/>
        <v>#REF!</v>
      </c>
      <c r="BE428" s="12">
        <v>0</v>
      </c>
      <c r="BF428" s="12" t="e">
        <f t="shared" si="541"/>
        <v>#REF!</v>
      </c>
      <c r="BH428" s="12" t="e">
        <f t="shared" si="542"/>
        <v>#REF!</v>
      </c>
      <c r="BI428" s="12" t="e">
        <f t="shared" si="543"/>
        <v>#REF!</v>
      </c>
      <c r="BJ428" s="12" t="e">
        <f t="shared" si="544"/>
        <v>#REF!</v>
      </c>
      <c r="BK428" s="12"/>
      <c r="BL428" s="12">
        <v>0</v>
      </c>
      <c r="BW428" s="12" t="str">
        <f t="shared" si="545"/>
        <v>21</v>
      </c>
      <c r="BX428" s="3" t="s">
        <v>111</v>
      </c>
    </row>
    <row r="429" spans="1:76">
      <c r="A429" s="1" t="s">
        <v>927</v>
      </c>
      <c r="B429" s="2" t="s">
        <v>921</v>
      </c>
      <c r="C429" s="2" t="s">
        <v>115</v>
      </c>
      <c r="D429" s="349" t="s">
        <v>116</v>
      </c>
      <c r="E429" s="342"/>
      <c r="F429" s="2" t="s">
        <v>58</v>
      </c>
      <c r="G429" s="12" t="e">
        <f>#REF!</f>
        <v>#REF!</v>
      </c>
      <c r="H429" s="12" t="e">
        <f>#REF!</f>
        <v>#REF!</v>
      </c>
      <c r="I429" s="49" t="s">
        <v>554</v>
      </c>
      <c r="J429" s="12" t="e">
        <f t="shared" si="520"/>
        <v>#REF!</v>
      </c>
      <c r="K429" s="12" t="e">
        <f t="shared" si="521"/>
        <v>#REF!</v>
      </c>
      <c r="L429" s="12" t="e">
        <f t="shared" si="522"/>
        <v>#REF!</v>
      </c>
      <c r="M429" s="12" t="e">
        <f t="shared" si="523"/>
        <v>#REF!</v>
      </c>
      <c r="N429" s="12">
        <v>0</v>
      </c>
      <c r="O429" s="12" t="e">
        <f t="shared" si="524"/>
        <v>#REF!</v>
      </c>
      <c r="P429" s="50" t="s">
        <v>605</v>
      </c>
      <c r="Z429" s="12">
        <f t="shared" si="525"/>
        <v>0</v>
      </c>
      <c r="AB429" s="12" t="e">
        <f t="shared" si="526"/>
        <v>#REF!</v>
      </c>
      <c r="AC429" s="12" t="e">
        <f t="shared" si="527"/>
        <v>#REF!</v>
      </c>
      <c r="AD429" s="12">
        <f t="shared" si="528"/>
        <v>0</v>
      </c>
      <c r="AE429" s="12">
        <f t="shared" si="529"/>
        <v>0</v>
      </c>
      <c r="AF429" s="12">
        <f t="shared" si="530"/>
        <v>0</v>
      </c>
      <c r="AG429" s="12">
        <f t="shared" si="531"/>
        <v>0</v>
      </c>
      <c r="AH429" s="12">
        <f t="shared" si="532"/>
        <v>0</v>
      </c>
      <c r="AI429" s="10" t="s">
        <v>921</v>
      </c>
      <c r="AJ429" s="12">
        <f t="shared" si="533"/>
        <v>0</v>
      </c>
      <c r="AK429" s="12">
        <f t="shared" si="534"/>
        <v>0</v>
      </c>
      <c r="AL429" s="12" t="e">
        <f t="shared" si="535"/>
        <v>#REF!</v>
      </c>
      <c r="AN429" s="12">
        <v>21</v>
      </c>
      <c r="AO429" s="12" t="e">
        <f>H429*0</f>
        <v>#REF!</v>
      </c>
      <c r="AP429" s="12" t="e">
        <f>H429*(1-0)</f>
        <v>#REF!</v>
      </c>
      <c r="AQ429" s="49" t="s">
        <v>553</v>
      </c>
      <c r="AV429" s="12" t="e">
        <f t="shared" si="536"/>
        <v>#REF!</v>
      </c>
      <c r="AW429" s="12" t="e">
        <f t="shared" si="537"/>
        <v>#REF!</v>
      </c>
      <c r="AX429" s="12" t="e">
        <f t="shared" si="538"/>
        <v>#REF!</v>
      </c>
      <c r="AY429" s="49" t="s">
        <v>574</v>
      </c>
      <c r="AZ429" s="49" t="s">
        <v>923</v>
      </c>
      <c r="BA429" s="10" t="s">
        <v>924</v>
      </c>
      <c r="BC429" s="12" t="e">
        <f t="shared" si="539"/>
        <v>#REF!</v>
      </c>
      <c r="BD429" s="12" t="e">
        <f t="shared" si="540"/>
        <v>#REF!</v>
      </c>
      <c r="BE429" s="12">
        <v>0</v>
      </c>
      <c r="BF429" s="12" t="e">
        <f t="shared" si="541"/>
        <v>#REF!</v>
      </c>
      <c r="BH429" s="12" t="e">
        <f t="shared" si="542"/>
        <v>#REF!</v>
      </c>
      <c r="BI429" s="12" t="e">
        <f t="shared" si="543"/>
        <v>#REF!</v>
      </c>
      <c r="BJ429" s="12" t="e">
        <f t="shared" si="544"/>
        <v>#REF!</v>
      </c>
      <c r="BK429" s="12"/>
      <c r="BL429" s="12">
        <v>0</v>
      </c>
      <c r="BW429" s="12" t="str">
        <f t="shared" si="545"/>
        <v>21</v>
      </c>
      <c r="BX429" s="3" t="s">
        <v>116</v>
      </c>
    </row>
    <row r="430" spans="1:76">
      <c r="A430" s="1" t="s">
        <v>928</v>
      </c>
      <c r="B430" s="2" t="s">
        <v>921</v>
      </c>
      <c r="C430" s="2" t="s">
        <v>119</v>
      </c>
      <c r="D430" s="349" t="s">
        <v>120</v>
      </c>
      <c r="E430" s="342"/>
      <c r="F430" s="2" t="s">
        <v>58</v>
      </c>
      <c r="G430" s="12" t="e">
        <f>#REF!</f>
        <v>#REF!</v>
      </c>
      <c r="H430" s="12" t="e">
        <f>#REF!</f>
        <v>#REF!</v>
      </c>
      <c r="I430" s="49" t="s">
        <v>554</v>
      </c>
      <c r="J430" s="12" t="e">
        <f t="shared" si="520"/>
        <v>#REF!</v>
      </c>
      <c r="K430" s="12" t="e">
        <f t="shared" si="521"/>
        <v>#REF!</v>
      </c>
      <c r="L430" s="12" t="e">
        <f t="shared" si="522"/>
        <v>#REF!</v>
      </c>
      <c r="M430" s="12" t="e">
        <f t="shared" si="523"/>
        <v>#REF!</v>
      </c>
      <c r="N430" s="12">
        <v>0</v>
      </c>
      <c r="O430" s="12" t="e">
        <f t="shared" si="524"/>
        <v>#REF!</v>
      </c>
      <c r="P430" s="50" t="s">
        <v>605</v>
      </c>
      <c r="Z430" s="12">
        <f t="shared" si="525"/>
        <v>0</v>
      </c>
      <c r="AB430" s="12" t="e">
        <f t="shared" si="526"/>
        <v>#REF!</v>
      </c>
      <c r="AC430" s="12" t="e">
        <f t="shared" si="527"/>
        <v>#REF!</v>
      </c>
      <c r="AD430" s="12">
        <f t="shared" si="528"/>
        <v>0</v>
      </c>
      <c r="AE430" s="12">
        <f t="shared" si="529"/>
        <v>0</v>
      </c>
      <c r="AF430" s="12">
        <f t="shared" si="530"/>
        <v>0</v>
      </c>
      <c r="AG430" s="12">
        <f t="shared" si="531"/>
        <v>0</v>
      </c>
      <c r="AH430" s="12">
        <f t="shared" si="532"/>
        <v>0</v>
      </c>
      <c r="AI430" s="10" t="s">
        <v>921</v>
      </c>
      <c r="AJ430" s="12">
        <f t="shared" si="533"/>
        <v>0</v>
      </c>
      <c r="AK430" s="12">
        <f t="shared" si="534"/>
        <v>0</v>
      </c>
      <c r="AL430" s="12" t="e">
        <f t="shared" si="535"/>
        <v>#REF!</v>
      </c>
      <c r="AN430" s="12">
        <v>21</v>
      </c>
      <c r="AO430" s="12" t="e">
        <f>H430*0</f>
        <v>#REF!</v>
      </c>
      <c r="AP430" s="12" t="e">
        <f>H430*(1-0)</f>
        <v>#REF!</v>
      </c>
      <c r="AQ430" s="49" t="s">
        <v>553</v>
      </c>
      <c r="AV430" s="12" t="e">
        <f t="shared" si="536"/>
        <v>#REF!</v>
      </c>
      <c r="AW430" s="12" t="e">
        <f t="shared" si="537"/>
        <v>#REF!</v>
      </c>
      <c r="AX430" s="12" t="e">
        <f t="shared" si="538"/>
        <v>#REF!</v>
      </c>
      <c r="AY430" s="49" t="s">
        <v>574</v>
      </c>
      <c r="AZ430" s="49" t="s">
        <v>923</v>
      </c>
      <c r="BA430" s="10" t="s">
        <v>924</v>
      </c>
      <c r="BC430" s="12" t="e">
        <f t="shared" si="539"/>
        <v>#REF!</v>
      </c>
      <c r="BD430" s="12" t="e">
        <f t="shared" si="540"/>
        <v>#REF!</v>
      </c>
      <c r="BE430" s="12">
        <v>0</v>
      </c>
      <c r="BF430" s="12" t="e">
        <f t="shared" si="541"/>
        <v>#REF!</v>
      </c>
      <c r="BH430" s="12" t="e">
        <f t="shared" si="542"/>
        <v>#REF!</v>
      </c>
      <c r="BI430" s="12" t="e">
        <f t="shared" si="543"/>
        <v>#REF!</v>
      </c>
      <c r="BJ430" s="12" t="e">
        <f t="shared" si="544"/>
        <v>#REF!</v>
      </c>
      <c r="BK430" s="12"/>
      <c r="BL430" s="12">
        <v>0</v>
      </c>
      <c r="BW430" s="12" t="str">
        <f t="shared" si="545"/>
        <v>21</v>
      </c>
      <c r="BX430" s="3" t="s">
        <v>120</v>
      </c>
    </row>
    <row r="431" spans="1:76">
      <c r="A431" s="1" t="s">
        <v>929</v>
      </c>
      <c r="B431" s="2" t="s">
        <v>921</v>
      </c>
      <c r="C431" s="2" t="s">
        <v>71</v>
      </c>
      <c r="D431" s="349" t="s">
        <v>72</v>
      </c>
      <c r="E431" s="342"/>
      <c r="F431" s="2" t="s">
        <v>58</v>
      </c>
      <c r="G431" s="12" t="e">
        <f>#REF!</f>
        <v>#REF!</v>
      </c>
      <c r="H431" s="12" t="e">
        <f>#REF!</f>
        <v>#REF!</v>
      </c>
      <c r="I431" s="49" t="s">
        <v>554</v>
      </c>
      <c r="J431" s="12" t="e">
        <f t="shared" si="520"/>
        <v>#REF!</v>
      </c>
      <c r="K431" s="12" t="e">
        <f t="shared" si="521"/>
        <v>#REF!</v>
      </c>
      <c r="L431" s="12" t="e">
        <f t="shared" si="522"/>
        <v>#REF!</v>
      </c>
      <c r="M431" s="12" t="e">
        <f t="shared" si="523"/>
        <v>#REF!</v>
      </c>
      <c r="N431" s="12">
        <v>3.8999999999999999E-4</v>
      </c>
      <c r="O431" s="12" t="e">
        <f t="shared" si="524"/>
        <v>#REF!</v>
      </c>
      <c r="P431" s="50" t="s">
        <v>577</v>
      </c>
      <c r="Z431" s="12">
        <f t="shared" si="525"/>
        <v>0</v>
      </c>
      <c r="AB431" s="12" t="e">
        <f t="shared" si="526"/>
        <v>#REF!</v>
      </c>
      <c r="AC431" s="12" t="e">
        <f t="shared" si="527"/>
        <v>#REF!</v>
      </c>
      <c r="AD431" s="12">
        <f t="shared" si="528"/>
        <v>0</v>
      </c>
      <c r="AE431" s="12">
        <f t="shared" si="529"/>
        <v>0</v>
      </c>
      <c r="AF431" s="12">
        <f t="shared" si="530"/>
        <v>0</v>
      </c>
      <c r="AG431" s="12">
        <f t="shared" si="531"/>
        <v>0</v>
      </c>
      <c r="AH431" s="12">
        <f t="shared" si="532"/>
        <v>0</v>
      </c>
      <c r="AI431" s="10" t="s">
        <v>921</v>
      </c>
      <c r="AJ431" s="12">
        <f t="shared" si="533"/>
        <v>0</v>
      </c>
      <c r="AK431" s="12">
        <f t="shared" si="534"/>
        <v>0</v>
      </c>
      <c r="AL431" s="12" t="e">
        <f t="shared" si="535"/>
        <v>#REF!</v>
      </c>
      <c r="AN431" s="12">
        <v>21</v>
      </c>
      <c r="AO431" s="12" t="e">
        <f>H431*0.615509036</f>
        <v>#REF!</v>
      </c>
      <c r="AP431" s="12" t="e">
        <f>H431*(1-0.615509036)</f>
        <v>#REF!</v>
      </c>
      <c r="AQ431" s="49" t="s">
        <v>553</v>
      </c>
      <c r="AV431" s="12" t="e">
        <f t="shared" si="536"/>
        <v>#REF!</v>
      </c>
      <c r="AW431" s="12" t="e">
        <f t="shared" si="537"/>
        <v>#REF!</v>
      </c>
      <c r="AX431" s="12" t="e">
        <f t="shared" si="538"/>
        <v>#REF!</v>
      </c>
      <c r="AY431" s="49" t="s">
        <v>574</v>
      </c>
      <c r="AZ431" s="49" t="s">
        <v>923</v>
      </c>
      <c r="BA431" s="10" t="s">
        <v>924</v>
      </c>
      <c r="BC431" s="12" t="e">
        <f t="shared" si="539"/>
        <v>#REF!</v>
      </c>
      <c r="BD431" s="12" t="e">
        <f t="shared" si="540"/>
        <v>#REF!</v>
      </c>
      <c r="BE431" s="12">
        <v>0</v>
      </c>
      <c r="BF431" s="12" t="e">
        <f t="shared" si="541"/>
        <v>#REF!</v>
      </c>
      <c r="BH431" s="12" t="e">
        <f t="shared" si="542"/>
        <v>#REF!</v>
      </c>
      <c r="BI431" s="12" t="e">
        <f t="shared" si="543"/>
        <v>#REF!</v>
      </c>
      <c r="BJ431" s="12" t="e">
        <f t="shared" si="544"/>
        <v>#REF!</v>
      </c>
      <c r="BK431" s="12"/>
      <c r="BL431" s="12">
        <v>0</v>
      </c>
      <c r="BW431" s="12" t="str">
        <f t="shared" si="545"/>
        <v>21</v>
      </c>
      <c r="BX431" s="3" t="s">
        <v>72</v>
      </c>
    </row>
    <row r="432" spans="1:76">
      <c r="A432" s="1" t="s">
        <v>930</v>
      </c>
      <c r="B432" s="2" t="s">
        <v>921</v>
      </c>
      <c r="C432" s="2" t="s">
        <v>66</v>
      </c>
      <c r="D432" s="349" t="s">
        <v>67</v>
      </c>
      <c r="E432" s="342"/>
      <c r="F432" s="2" t="s">
        <v>68</v>
      </c>
      <c r="G432" s="12" t="e">
        <f>#REF!</f>
        <v>#REF!</v>
      </c>
      <c r="H432" s="12" t="e">
        <f>#REF!</f>
        <v>#REF!</v>
      </c>
      <c r="I432" s="49" t="s">
        <v>554</v>
      </c>
      <c r="J432" s="12" t="e">
        <f t="shared" si="520"/>
        <v>#REF!</v>
      </c>
      <c r="K432" s="12" t="e">
        <f t="shared" si="521"/>
        <v>#REF!</v>
      </c>
      <c r="L432" s="12" t="e">
        <f t="shared" si="522"/>
        <v>#REF!</v>
      </c>
      <c r="M432" s="12" t="e">
        <f t="shared" si="523"/>
        <v>#REF!</v>
      </c>
      <c r="N432" s="12">
        <v>0</v>
      </c>
      <c r="O432" s="12" t="e">
        <f t="shared" si="524"/>
        <v>#REF!</v>
      </c>
      <c r="P432" s="50" t="s">
        <v>577</v>
      </c>
      <c r="Z432" s="12">
        <f t="shared" si="525"/>
        <v>0</v>
      </c>
      <c r="AB432" s="12" t="e">
        <f t="shared" si="526"/>
        <v>#REF!</v>
      </c>
      <c r="AC432" s="12" t="e">
        <f t="shared" si="527"/>
        <v>#REF!</v>
      </c>
      <c r="AD432" s="12">
        <f t="shared" si="528"/>
        <v>0</v>
      </c>
      <c r="AE432" s="12">
        <f t="shared" si="529"/>
        <v>0</v>
      </c>
      <c r="AF432" s="12">
        <f t="shared" si="530"/>
        <v>0</v>
      </c>
      <c r="AG432" s="12">
        <f t="shared" si="531"/>
        <v>0</v>
      </c>
      <c r="AH432" s="12">
        <f t="shared" si="532"/>
        <v>0</v>
      </c>
      <c r="AI432" s="10" t="s">
        <v>921</v>
      </c>
      <c r="AJ432" s="12">
        <f t="shared" si="533"/>
        <v>0</v>
      </c>
      <c r="AK432" s="12">
        <f t="shared" si="534"/>
        <v>0</v>
      </c>
      <c r="AL432" s="12" t="e">
        <f t="shared" si="535"/>
        <v>#REF!</v>
      </c>
      <c r="AN432" s="12">
        <v>21</v>
      </c>
      <c r="AO432" s="12" t="e">
        <f>H432*0</f>
        <v>#REF!</v>
      </c>
      <c r="AP432" s="12" t="e">
        <f>H432*(1-0)</f>
        <v>#REF!</v>
      </c>
      <c r="AQ432" s="49" t="s">
        <v>553</v>
      </c>
      <c r="AV432" s="12" t="e">
        <f t="shared" si="536"/>
        <v>#REF!</v>
      </c>
      <c r="AW432" s="12" t="e">
        <f t="shared" si="537"/>
        <v>#REF!</v>
      </c>
      <c r="AX432" s="12" t="e">
        <f t="shared" si="538"/>
        <v>#REF!</v>
      </c>
      <c r="AY432" s="49" t="s">
        <v>574</v>
      </c>
      <c r="AZ432" s="49" t="s">
        <v>923</v>
      </c>
      <c r="BA432" s="10" t="s">
        <v>924</v>
      </c>
      <c r="BC432" s="12" t="e">
        <f t="shared" si="539"/>
        <v>#REF!</v>
      </c>
      <c r="BD432" s="12" t="e">
        <f t="shared" si="540"/>
        <v>#REF!</v>
      </c>
      <c r="BE432" s="12">
        <v>0</v>
      </c>
      <c r="BF432" s="12" t="e">
        <f t="shared" si="541"/>
        <v>#REF!</v>
      </c>
      <c r="BH432" s="12" t="e">
        <f t="shared" si="542"/>
        <v>#REF!</v>
      </c>
      <c r="BI432" s="12" t="e">
        <f t="shared" si="543"/>
        <v>#REF!</v>
      </c>
      <c r="BJ432" s="12" t="e">
        <f t="shared" si="544"/>
        <v>#REF!</v>
      </c>
      <c r="BK432" s="12"/>
      <c r="BL432" s="12">
        <v>0</v>
      </c>
      <c r="BW432" s="12" t="str">
        <f t="shared" si="545"/>
        <v>21</v>
      </c>
      <c r="BX432" s="3" t="s">
        <v>67</v>
      </c>
    </row>
    <row r="433" spans="1:76">
      <c r="A433" s="1" t="s">
        <v>931</v>
      </c>
      <c r="B433" s="2" t="s">
        <v>921</v>
      </c>
      <c r="C433" s="2" t="s">
        <v>124</v>
      </c>
      <c r="D433" s="349" t="s">
        <v>125</v>
      </c>
      <c r="E433" s="342"/>
      <c r="F433" s="2" t="s">
        <v>123</v>
      </c>
      <c r="G433" s="12" t="e">
        <f>#REF!</f>
        <v>#REF!</v>
      </c>
      <c r="H433" s="12" t="e">
        <f>#REF!</f>
        <v>#REF!</v>
      </c>
      <c r="I433" s="49" t="s">
        <v>554</v>
      </c>
      <c r="J433" s="12" t="e">
        <f t="shared" si="520"/>
        <v>#REF!</v>
      </c>
      <c r="K433" s="12" t="e">
        <f t="shared" si="521"/>
        <v>#REF!</v>
      </c>
      <c r="L433" s="12" t="e">
        <f t="shared" si="522"/>
        <v>#REF!</v>
      </c>
      <c r="M433" s="12" t="e">
        <f t="shared" si="523"/>
        <v>#REF!</v>
      </c>
      <c r="N433" s="12">
        <v>0</v>
      </c>
      <c r="O433" s="12" t="e">
        <f t="shared" si="524"/>
        <v>#REF!</v>
      </c>
      <c r="P433" s="50" t="s">
        <v>577</v>
      </c>
      <c r="Z433" s="12" t="e">
        <f t="shared" si="525"/>
        <v>#REF!</v>
      </c>
      <c r="AB433" s="12">
        <f t="shared" si="526"/>
        <v>0</v>
      </c>
      <c r="AC433" s="12">
        <f t="shared" si="527"/>
        <v>0</v>
      </c>
      <c r="AD433" s="12">
        <f t="shared" si="528"/>
        <v>0</v>
      </c>
      <c r="AE433" s="12">
        <f t="shared" si="529"/>
        <v>0</v>
      </c>
      <c r="AF433" s="12">
        <f t="shared" si="530"/>
        <v>0</v>
      </c>
      <c r="AG433" s="12">
        <f t="shared" si="531"/>
        <v>0</v>
      </c>
      <c r="AH433" s="12">
        <f t="shared" si="532"/>
        <v>0</v>
      </c>
      <c r="AI433" s="10" t="s">
        <v>921</v>
      </c>
      <c r="AJ433" s="12">
        <f t="shared" si="533"/>
        <v>0</v>
      </c>
      <c r="AK433" s="12">
        <f t="shared" si="534"/>
        <v>0</v>
      </c>
      <c r="AL433" s="12" t="e">
        <f t="shared" si="535"/>
        <v>#REF!</v>
      </c>
      <c r="AN433" s="12">
        <v>21</v>
      </c>
      <c r="AO433" s="12" t="e">
        <f>H433*0</f>
        <v>#REF!</v>
      </c>
      <c r="AP433" s="12" t="e">
        <f>H433*(1-0)</f>
        <v>#REF!</v>
      </c>
      <c r="AQ433" s="49" t="s">
        <v>564</v>
      </c>
      <c r="AV433" s="12" t="e">
        <f t="shared" si="536"/>
        <v>#REF!</v>
      </c>
      <c r="AW433" s="12" t="e">
        <f t="shared" si="537"/>
        <v>#REF!</v>
      </c>
      <c r="AX433" s="12" t="e">
        <f t="shared" si="538"/>
        <v>#REF!</v>
      </c>
      <c r="AY433" s="49" t="s">
        <v>574</v>
      </c>
      <c r="AZ433" s="49" t="s">
        <v>923</v>
      </c>
      <c r="BA433" s="10" t="s">
        <v>924</v>
      </c>
      <c r="BC433" s="12" t="e">
        <f t="shared" si="539"/>
        <v>#REF!</v>
      </c>
      <c r="BD433" s="12" t="e">
        <f t="shared" si="540"/>
        <v>#REF!</v>
      </c>
      <c r="BE433" s="12">
        <v>0</v>
      </c>
      <c r="BF433" s="12" t="e">
        <f t="shared" si="541"/>
        <v>#REF!</v>
      </c>
      <c r="BH433" s="12" t="e">
        <f t="shared" si="542"/>
        <v>#REF!</v>
      </c>
      <c r="BI433" s="12" t="e">
        <f t="shared" si="543"/>
        <v>#REF!</v>
      </c>
      <c r="BJ433" s="12" t="e">
        <f t="shared" si="544"/>
        <v>#REF!</v>
      </c>
      <c r="BK433" s="12"/>
      <c r="BL433" s="12">
        <v>0</v>
      </c>
      <c r="BW433" s="12" t="str">
        <f t="shared" si="545"/>
        <v>21</v>
      </c>
      <c r="BX433" s="3" t="s">
        <v>125</v>
      </c>
    </row>
    <row r="434" spans="1:76">
      <c r="A434" s="1" t="s">
        <v>932</v>
      </c>
      <c r="B434" s="2" t="s">
        <v>921</v>
      </c>
      <c r="C434" s="2" t="s">
        <v>121</v>
      </c>
      <c r="D434" s="349" t="s">
        <v>122</v>
      </c>
      <c r="E434" s="342"/>
      <c r="F434" s="2" t="s">
        <v>123</v>
      </c>
      <c r="G434" s="12" t="e">
        <f>#REF!</f>
        <v>#REF!</v>
      </c>
      <c r="H434" s="12" t="e">
        <f>#REF!</f>
        <v>#REF!</v>
      </c>
      <c r="I434" s="49" t="s">
        <v>554</v>
      </c>
      <c r="J434" s="12" t="e">
        <f t="shared" si="520"/>
        <v>#REF!</v>
      </c>
      <c r="K434" s="12" t="e">
        <f t="shared" si="521"/>
        <v>#REF!</v>
      </c>
      <c r="L434" s="12" t="e">
        <f t="shared" si="522"/>
        <v>#REF!</v>
      </c>
      <c r="M434" s="12" t="e">
        <f t="shared" si="523"/>
        <v>#REF!</v>
      </c>
      <c r="N434" s="12">
        <v>0</v>
      </c>
      <c r="O434" s="12" t="e">
        <f t="shared" si="524"/>
        <v>#REF!</v>
      </c>
      <c r="P434" s="50" t="s">
        <v>577</v>
      </c>
      <c r="Z434" s="12" t="e">
        <f t="shared" si="525"/>
        <v>#REF!</v>
      </c>
      <c r="AB434" s="12">
        <f t="shared" si="526"/>
        <v>0</v>
      </c>
      <c r="AC434" s="12">
        <f t="shared" si="527"/>
        <v>0</v>
      </c>
      <c r="AD434" s="12">
        <f t="shared" si="528"/>
        <v>0</v>
      </c>
      <c r="AE434" s="12">
        <f t="shared" si="529"/>
        <v>0</v>
      </c>
      <c r="AF434" s="12">
        <f t="shared" si="530"/>
        <v>0</v>
      </c>
      <c r="AG434" s="12">
        <f t="shared" si="531"/>
        <v>0</v>
      </c>
      <c r="AH434" s="12">
        <f t="shared" si="532"/>
        <v>0</v>
      </c>
      <c r="AI434" s="10" t="s">
        <v>921</v>
      </c>
      <c r="AJ434" s="12">
        <f t="shared" si="533"/>
        <v>0</v>
      </c>
      <c r="AK434" s="12">
        <f t="shared" si="534"/>
        <v>0</v>
      </c>
      <c r="AL434" s="12" t="e">
        <f t="shared" si="535"/>
        <v>#REF!</v>
      </c>
      <c r="AN434" s="12">
        <v>21</v>
      </c>
      <c r="AO434" s="12" t="e">
        <f>H434*0</f>
        <v>#REF!</v>
      </c>
      <c r="AP434" s="12" t="e">
        <f>H434*(1-0)</f>
        <v>#REF!</v>
      </c>
      <c r="AQ434" s="49" t="s">
        <v>564</v>
      </c>
      <c r="AV434" s="12" t="e">
        <f t="shared" si="536"/>
        <v>#REF!</v>
      </c>
      <c r="AW434" s="12" t="e">
        <f t="shared" si="537"/>
        <v>#REF!</v>
      </c>
      <c r="AX434" s="12" t="e">
        <f t="shared" si="538"/>
        <v>#REF!</v>
      </c>
      <c r="AY434" s="49" t="s">
        <v>574</v>
      </c>
      <c r="AZ434" s="49" t="s">
        <v>923</v>
      </c>
      <c r="BA434" s="10" t="s">
        <v>924</v>
      </c>
      <c r="BC434" s="12" t="e">
        <f t="shared" si="539"/>
        <v>#REF!</v>
      </c>
      <c r="BD434" s="12" t="e">
        <f t="shared" si="540"/>
        <v>#REF!</v>
      </c>
      <c r="BE434" s="12">
        <v>0</v>
      </c>
      <c r="BF434" s="12" t="e">
        <f t="shared" si="541"/>
        <v>#REF!</v>
      </c>
      <c r="BH434" s="12" t="e">
        <f t="shared" si="542"/>
        <v>#REF!</v>
      </c>
      <c r="BI434" s="12" t="e">
        <f t="shared" si="543"/>
        <v>#REF!</v>
      </c>
      <c r="BJ434" s="12" t="e">
        <f t="shared" si="544"/>
        <v>#REF!</v>
      </c>
      <c r="BK434" s="12"/>
      <c r="BL434" s="12">
        <v>0</v>
      </c>
      <c r="BW434" s="12" t="str">
        <f t="shared" si="545"/>
        <v>21</v>
      </c>
      <c r="BX434" s="3" t="s">
        <v>122</v>
      </c>
    </row>
    <row r="435" spans="1:76">
      <c r="A435" s="46" t="s">
        <v>21</v>
      </c>
      <c r="B435" s="9" t="s">
        <v>921</v>
      </c>
      <c r="C435" s="9" t="s">
        <v>59</v>
      </c>
      <c r="D435" s="359" t="s">
        <v>60</v>
      </c>
      <c r="E435" s="360"/>
      <c r="F435" s="47" t="s">
        <v>20</v>
      </c>
      <c r="G435" s="47" t="s">
        <v>20</v>
      </c>
      <c r="H435" s="47" t="s">
        <v>20</v>
      </c>
      <c r="I435" s="47" t="s">
        <v>20</v>
      </c>
      <c r="J435" s="11" t="e">
        <f>SUM(J436:J436)</f>
        <v>#REF!</v>
      </c>
      <c r="K435" s="11" t="e">
        <f>SUM(K436:K436)</f>
        <v>#REF!</v>
      </c>
      <c r="L435" s="11" t="e">
        <f>SUM(L436:L436)</f>
        <v>#REF!</v>
      </c>
      <c r="M435" s="11" t="e">
        <f>SUM(M436:M436)</f>
        <v>#REF!</v>
      </c>
      <c r="N435" s="10" t="s">
        <v>21</v>
      </c>
      <c r="O435" s="11" t="e">
        <f>SUM(O436:O436)</f>
        <v>#REF!</v>
      </c>
      <c r="P435" s="48" t="s">
        <v>21</v>
      </c>
      <c r="AI435" s="10" t="s">
        <v>921</v>
      </c>
      <c r="AS435" s="11">
        <f>SUM(AJ436:AJ436)</f>
        <v>0</v>
      </c>
      <c r="AT435" s="11">
        <f>SUM(AK436:AK436)</f>
        <v>0</v>
      </c>
      <c r="AU435" s="11" t="e">
        <f>SUM(AL436:AL436)</f>
        <v>#REF!</v>
      </c>
    </row>
    <row r="436" spans="1:76">
      <c r="A436" s="1" t="s">
        <v>933</v>
      </c>
      <c r="B436" s="2" t="s">
        <v>921</v>
      </c>
      <c r="C436" s="2" t="s">
        <v>61</v>
      </c>
      <c r="D436" s="349" t="s">
        <v>62</v>
      </c>
      <c r="E436" s="342"/>
      <c r="F436" s="2" t="s">
        <v>63</v>
      </c>
      <c r="G436" s="12" t="e">
        <f>#REF!</f>
        <v>#REF!</v>
      </c>
      <c r="H436" s="12" t="e">
        <f>#REF!</f>
        <v>#REF!</v>
      </c>
      <c r="I436" s="49" t="s">
        <v>554</v>
      </c>
      <c r="J436" s="12" t="e">
        <f>G436*AO436</f>
        <v>#REF!</v>
      </c>
      <c r="K436" s="12" t="e">
        <f>G436*AP436</f>
        <v>#REF!</v>
      </c>
      <c r="L436" s="12" t="e">
        <f>G436*H436</f>
        <v>#REF!</v>
      </c>
      <c r="M436" s="12" t="e">
        <f>L436*(1+BW436/100)</f>
        <v>#REF!</v>
      </c>
      <c r="N436" s="12">
        <v>2.0999999999999999E-3</v>
      </c>
      <c r="O436" s="12" t="e">
        <f>G436*N436</f>
        <v>#REF!</v>
      </c>
      <c r="P436" s="50" t="s">
        <v>577</v>
      </c>
      <c r="Z436" s="12">
        <f>IF(AQ436="5",BJ436,0)</f>
        <v>0</v>
      </c>
      <c r="AB436" s="12">
        <f>IF(AQ436="1",BH436,0)</f>
        <v>0</v>
      </c>
      <c r="AC436" s="12">
        <f>IF(AQ436="1",BI436,0)</f>
        <v>0</v>
      </c>
      <c r="AD436" s="12" t="e">
        <f>IF(AQ436="7",BH436,0)</f>
        <v>#REF!</v>
      </c>
      <c r="AE436" s="12" t="e">
        <f>IF(AQ436="7",BI436,0)</f>
        <v>#REF!</v>
      </c>
      <c r="AF436" s="12">
        <f>IF(AQ436="2",BH436,0)</f>
        <v>0</v>
      </c>
      <c r="AG436" s="12">
        <f>IF(AQ436="2",BI436,0)</f>
        <v>0</v>
      </c>
      <c r="AH436" s="12">
        <f>IF(AQ436="0",BJ436,0)</f>
        <v>0</v>
      </c>
      <c r="AI436" s="10" t="s">
        <v>921</v>
      </c>
      <c r="AJ436" s="12">
        <f>IF(AN436=0,L436,0)</f>
        <v>0</v>
      </c>
      <c r="AK436" s="12">
        <f>IF(AN436=12,L436,0)</f>
        <v>0</v>
      </c>
      <c r="AL436" s="12" t="e">
        <f>IF(AN436=21,L436,0)</f>
        <v>#REF!</v>
      </c>
      <c r="AN436" s="12">
        <v>21</v>
      </c>
      <c r="AO436" s="12" t="e">
        <f>H436*0</f>
        <v>#REF!</v>
      </c>
      <c r="AP436" s="12" t="e">
        <f>H436*(1-0)</f>
        <v>#REF!</v>
      </c>
      <c r="AQ436" s="49" t="s">
        <v>567</v>
      </c>
      <c r="AV436" s="12" t="e">
        <f>AW436+AX436</f>
        <v>#REF!</v>
      </c>
      <c r="AW436" s="12" t="e">
        <f>G436*AO436</f>
        <v>#REF!</v>
      </c>
      <c r="AX436" s="12" t="e">
        <f>G436*AP436</f>
        <v>#REF!</v>
      </c>
      <c r="AY436" s="49" t="s">
        <v>578</v>
      </c>
      <c r="AZ436" s="49" t="s">
        <v>934</v>
      </c>
      <c r="BA436" s="10" t="s">
        <v>924</v>
      </c>
      <c r="BC436" s="12" t="e">
        <f>AW436+AX436</f>
        <v>#REF!</v>
      </c>
      <c r="BD436" s="12" t="e">
        <f>H436/(100-BE436)*100</f>
        <v>#REF!</v>
      </c>
      <c r="BE436" s="12">
        <v>0</v>
      </c>
      <c r="BF436" s="12" t="e">
        <f>O436</f>
        <v>#REF!</v>
      </c>
      <c r="BH436" s="12" t="e">
        <f>G436*AO436</f>
        <v>#REF!</v>
      </c>
      <c r="BI436" s="12" t="e">
        <f>G436*AP436</f>
        <v>#REF!</v>
      </c>
      <c r="BJ436" s="12" t="e">
        <f>G436*H436</f>
        <v>#REF!</v>
      </c>
      <c r="BK436" s="12"/>
      <c r="BL436" s="12">
        <v>713</v>
      </c>
      <c r="BW436" s="12" t="str">
        <f>I436</f>
        <v>21</v>
      </c>
      <c r="BX436" s="3" t="s">
        <v>62</v>
      </c>
    </row>
    <row r="437" spans="1:76">
      <c r="A437" s="46" t="s">
        <v>21</v>
      </c>
      <c r="B437" s="9" t="s">
        <v>921</v>
      </c>
      <c r="C437" s="9" t="s">
        <v>126</v>
      </c>
      <c r="D437" s="359" t="s">
        <v>127</v>
      </c>
      <c r="E437" s="360"/>
      <c r="F437" s="47" t="s">
        <v>20</v>
      </c>
      <c r="G437" s="47" t="s">
        <v>20</v>
      </c>
      <c r="H437" s="47" t="s">
        <v>20</v>
      </c>
      <c r="I437" s="47" t="s">
        <v>20</v>
      </c>
      <c r="J437" s="11" t="e">
        <f>SUM(J438:J452)</f>
        <v>#REF!</v>
      </c>
      <c r="K437" s="11" t="e">
        <f>SUM(K438:K452)</f>
        <v>#REF!</v>
      </c>
      <c r="L437" s="11" t="e">
        <f>SUM(L438:L452)</f>
        <v>#REF!</v>
      </c>
      <c r="M437" s="11" t="e">
        <f>SUM(M438:M452)</f>
        <v>#REF!</v>
      </c>
      <c r="N437" s="10" t="s">
        <v>21</v>
      </c>
      <c r="O437" s="11" t="e">
        <f>SUM(O438:O452)</f>
        <v>#REF!</v>
      </c>
      <c r="P437" s="48" t="s">
        <v>21</v>
      </c>
      <c r="AI437" s="10" t="s">
        <v>921</v>
      </c>
      <c r="AS437" s="11">
        <f>SUM(AJ438:AJ452)</f>
        <v>0</v>
      </c>
      <c r="AT437" s="11">
        <f>SUM(AK438:AK452)</f>
        <v>0</v>
      </c>
      <c r="AU437" s="11" t="e">
        <f>SUM(AL438:AL452)</f>
        <v>#REF!</v>
      </c>
    </row>
    <row r="438" spans="1:76">
      <c r="A438" s="1" t="s">
        <v>935</v>
      </c>
      <c r="B438" s="2" t="s">
        <v>921</v>
      </c>
      <c r="C438" s="2" t="s">
        <v>357</v>
      </c>
      <c r="D438" s="349" t="s">
        <v>358</v>
      </c>
      <c r="E438" s="342"/>
      <c r="F438" s="2" t="s">
        <v>68</v>
      </c>
      <c r="G438" s="12" t="e">
        <f>#REF!</f>
        <v>#REF!</v>
      </c>
      <c r="H438" s="12" t="e">
        <f>#REF!</f>
        <v>#REF!</v>
      </c>
      <c r="I438" s="49" t="s">
        <v>554</v>
      </c>
      <c r="J438" s="12" t="e">
        <f>G438*AO438</f>
        <v>#REF!</v>
      </c>
      <c r="K438" s="12" t="e">
        <f>G438*AP438</f>
        <v>#REF!</v>
      </c>
      <c r="L438" s="12" t="e">
        <f>G438*H438</f>
        <v>#REF!</v>
      </c>
      <c r="M438" s="12" t="e">
        <f>L438*(1+BW438/100)</f>
        <v>#REF!</v>
      </c>
      <c r="N438" s="12">
        <v>2.4399999999999999E-3</v>
      </c>
      <c r="O438" s="12" t="e">
        <f>G438*N438</f>
        <v>#REF!</v>
      </c>
      <c r="P438" s="50" t="s">
        <v>577</v>
      </c>
      <c r="Z438" s="12">
        <f>IF(AQ438="5",BJ438,0)</f>
        <v>0</v>
      </c>
      <c r="AB438" s="12">
        <f>IF(AQ438="1",BH438,0)</f>
        <v>0</v>
      </c>
      <c r="AC438" s="12">
        <f>IF(AQ438="1",BI438,0)</f>
        <v>0</v>
      </c>
      <c r="AD438" s="12" t="e">
        <f>IF(AQ438="7",BH438,0)</f>
        <v>#REF!</v>
      </c>
      <c r="AE438" s="12" t="e">
        <f>IF(AQ438="7",BI438,0)</f>
        <v>#REF!</v>
      </c>
      <c r="AF438" s="12">
        <f>IF(AQ438="2",BH438,0)</f>
        <v>0</v>
      </c>
      <c r="AG438" s="12">
        <f>IF(AQ438="2",BI438,0)</f>
        <v>0</v>
      </c>
      <c r="AH438" s="12">
        <f>IF(AQ438="0",BJ438,0)</f>
        <v>0</v>
      </c>
      <c r="AI438" s="10" t="s">
        <v>921</v>
      </c>
      <c r="AJ438" s="12">
        <f>IF(AN438=0,L438,0)</f>
        <v>0</v>
      </c>
      <c r="AK438" s="12">
        <f>IF(AN438=12,L438,0)</f>
        <v>0</v>
      </c>
      <c r="AL438" s="12" t="e">
        <f>IF(AN438=21,L438,0)</f>
        <v>#REF!</v>
      </c>
      <c r="AN438" s="12">
        <v>21</v>
      </c>
      <c r="AO438" s="12" t="e">
        <f>H438*0</f>
        <v>#REF!</v>
      </c>
      <c r="AP438" s="12" t="e">
        <f>H438*(1-0)</f>
        <v>#REF!</v>
      </c>
      <c r="AQ438" s="49" t="s">
        <v>567</v>
      </c>
      <c r="AV438" s="12" t="e">
        <f>AW438+AX438</f>
        <v>#REF!</v>
      </c>
      <c r="AW438" s="12" t="e">
        <f>G438*AO438</f>
        <v>#REF!</v>
      </c>
      <c r="AX438" s="12" t="e">
        <f>G438*AP438</f>
        <v>#REF!</v>
      </c>
      <c r="AY438" s="49" t="s">
        <v>610</v>
      </c>
      <c r="AZ438" s="49" t="s">
        <v>936</v>
      </c>
      <c r="BA438" s="10" t="s">
        <v>924</v>
      </c>
      <c r="BC438" s="12" t="e">
        <f>AW438+AX438</f>
        <v>#REF!</v>
      </c>
      <c r="BD438" s="12" t="e">
        <f>H438/(100-BE438)*100</f>
        <v>#REF!</v>
      </c>
      <c r="BE438" s="12">
        <v>0</v>
      </c>
      <c r="BF438" s="12" t="e">
        <f>O438</f>
        <v>#REF!</v>
      </c>
      <c r="BH438" s="12" t="e">
        <f>G438*AO438</f>
        <v>#REF!</v>
      </c>
      <c r="BI438" s="12" t="e">
        <f>G438*AP438</f>
        <v>#REF!</v>
      </c>
      <c r="BJ438" s="12" t="e">
        <f>G438*H438</f>
        <v>#REF!</v>
      </c>
      <c r="BK438" s="12"/>
      <c r="BL438" s="12">
        <v>722</v>
      </c>
      <c r="BW438" s="12" t="str">
        <f>I438</f>
        <v>21</v>
      </c>
      <c r="BX438" s="3" t="s">
        <v>358</v>
      </c>
    </row>
    <row r="439" spans="1:76">
      <c r="A439" s="1" t="s">
        <v>937</v>
      </c>
      <c r="B439" s="2" t="s">
        <v>921</v>
      </c>
      <c r="C439" s="2" t="s">
        <v>359</v>
      </c>
      <c r="D439" s="349" t="s">
        <v>360</v>
      </c>
      <c r="E439" s="342"/>
      <c r="F439" s="2" t="s">
        <v>63</v>
      </c>
      <c r="G439" s="12" t="e">
        <f>#REF!</f>
        <v>#REF!</v>
      </c>
      <c r="H439" s="12" t="e">
        <f>#REF!</f>
        <v>#REF!</v>
      </c>
      <c r="I439" s="49" t="s">
        <v>554</v>
      </c>
      <c r="J439" s="12" t="e">
        <f>G439*AO439</f>
        <v>#REF!</v>
      </c>
      <c r="K439" s="12" t="e">
        <f>G439*AP439</f>
        <v>#REF!</v>
      </c>
      <c r="L439" s="12" t="e">
        <f>G439*H439</f>
        <v>#REF!</v>
      </c>
      <c r="M439" s="12" t="e">
        <f>L439*(1+BW439/100)</f>
        <v>#REF!</v>
      </c>
      <c r="N439" s="12">
        <v>2.9E-4</v>
      </c>
      <c r="O439" s="12" t="e">
        <f>G439*N439</f>
        <v>#REF!</v>
      </c>
      <c r="P439" s="50" t="s">
        <v>577</v>
      </c>
      <c r="Z439" s="12">
        <f>IF(AQ439="5",BJ439,0)</f>
        <v>0</v>
      </c>
      <c r="AB439" s="12">
        <f>IF(AQ439="1",BH439,0)</f>
        <v>0</v>
      </c>
      <c r="AC439" s="12">
        <f>IF(AQ439="1",BI439,0)</f>
        <v>0</v>
      </c>
      <c r="AD439" s="12" t="e">
        <f>IF(AQ439="7",BH439,0)</f>
        <v>#REF!</v>
      </c>
      <c r="AE439" s="12" t="e">
        <f>IF(AQ439="7",BI439,0)</f>
        <v>#REF!</v>
      </c>
      <c r="AF439" s="12">
        <f>IF(AQ439="2",BH439,0)</f>
        <v>0</v>
      </c>
      <c r="AG439" s="12">
        <f>IF(AQ439="2",BI439,0)</f>
        <v>0</v>
      </c>
      <c r="AH439" s="12">
        <f>IF(AQ439="0",BJ439,0)</f>
        <v>0</v>
      </c>
      <c r="AI439" s="10" t="s">
        <v>921</v>
      </c>
      <c r="AJ439" s="12">
        <f>IF(AN439=0,L439,0)</f>
        <v>0</v>
      </c>
      <c r="AK439" s="12">
        <f>IF(AN439=12,L439,0)</f>
        <v>0</v>
      </c>
      <c r="AL439" s="12" t="e">
        <f>IF(AN439=21,L439,0)</f>
        <v>#REF!</v>
      </c>
      <c r="AN439" s="12">
        <v>21</v>
      </c>
      <c r="AO439" s="12" t="e">
        <f>H439*0</f>
        <v>#REF!</v>
      </c>
      <c r="AP439" s="12" t="e">
        <f>H439*(1-0)</f>
        <v>#REF!</v>
      </c>
      <c r="AQ439" s="49" t="s">
        <v>567</v>
      </c>
      <c r="AV439" s="12" t="e">
        <f>AW439+AX439</f>
        <v>#REF!</v>
      </c>
      <c r="AW439" s="12" t="e">
        <f>G439*AO439</f>
        <v>#REF!</v>
      </c>
      <c r="AX439" s="12" t="e">
        <f>G439*AP439</f>
        <v>#REF!</v>
      </c>
      <c r="AY439" s="49" t="s">
        <v>610</v>
      </c>
      <c r="AZ439" s="49" t="s">
        <v>936</v>
      </c>
      <c r="BA439" s="10" t="s">
        <v>924</v>
      </c>
      <c r="BC439" s="12" t="e">
        <f>AW439+AX439</f>
        <v>#REF!</v>
      </c>
      <c r="BD439" s="12" t="e">
        <f>H439/(100-BE439)*100</f>
        <v>#REF!</v>
      </c>
      <c r="BE439" s="12">
        <v>0</v>
      </c>
      <c r="BF439" s="12" t="e">
        <f>O439</f>
        <v>#REF!</v>
      </c>
      <c r="BH439" s="12" t="e">
        <f>G439*AO439</f>
        <v>#REF!</v>
      </c>
      <c r="BI439" s="12" t="e">
        <f>G439*AP439</f>
        <v>#REF!</v>
      </c>
      <c r="BJ439" s="12" t="e">
        <f>G439*H439</f>
        <v>#REF!</v>
      </c>
      <c r="BK439" s="12"/>
      <c r="BL439" s="12">
        <v>722</v>
      </c>
      <c r="BW439" s="12" t="str">
        <f>I439</f>
        <v>21</v>
      </c>
      <c r="BX439" s="3" t="s">
        <v>360</v>
      </c>
    </row>
    <row r="440" spans="1:76">
      <c r="A440" s="1" t="s">
        <v>938</v>
      </c>
      <c r="B440" s="2" t="s">
        <v>921</v>
      </c>
      <c r="C440" s="2" t="s">
        <v>361</v>
      </c>
      <c r="D440" s="349" t="s">
        <v>362</v>
      </c>
      <c r="E440" s="342"/>
      <c r="F440" s="2" t="s">
        <v>68</v>
      </c>
      <c r="G440" s="12" t="e">
        <f>#REF!</f>
        <v>#REF!</v>
      </c>
      <c r="H440" s="12" t="e">
        <f>#REF!</f>
        <v>#REF!</v>
      </c>
      <c r="I440" s="49" t="s">
        <v>554</v>
      </c>
      <c r="J440" s="12" t="e">
        <f>G440*AO440</f>
        <v>#REF!</v>
      </c>
      <c r="K440" s="12" t="e">
        <f>G440*AP440</f>
        <v>#REF!</v>
      </c>
      <c r="L440" s="12" t="e">
        <f>G440*H440</f>
        <v>#REF!</v>
      </c>
      <c r="M440" s="12" t="e">
        <f>L440*(1+BW440/100)</f>
        <v>#REF!</v>
      </c>
      <c r="N440" s="12">
        <v>6.0200000000000002E-3</v>
      </c>
      <c r="O440" s="12" t="e">
        <f>G440*N440</f>
        <v>#REF!</v>
      </c>
      <c r="P440" s="50" t="s">
        <v>577</v>
      </c>
      <c r="Z440" s="12">
        <f>IF(AQ440="5",BJ440,0)</f>
        <v>0</v>
      </c>
      <c r="AB440" s="12">
        <f>IF(AQ440="1",BH440,0)</f>
        <v>0</v>
      </c>
      <c r="AC440" s="12">
        <f>IF(AQ440="1",BI440,0)</f>
        <v>0</v>
      </c>
      <c r="AD440" s="12" t="e">
        <f>IF(AQ440="7",BH440,0)</f>
        <v>#REF!</v>
      </c>
      <c r="AE440" s="12" t="e">
        <f>IF(AQ440="7",BI440,0)</f>
        <v>#REF!</v>
      </c>
      <c r="AF440" s="12">
        <f>IF(AQ440="2",BH440,0)</f>
        <v>0</v>
      </c>
      <c r="AG440" s="12">
        <f>IF(AQ440="2",BI440,0)</f>
        <v>0</v>
      </c>
      <c r="AH440" s="12">
        <f>IF(AQ440="0",BJ440,0)</f>
        <v>0</v>
      </c>
      <c r="AI440" s="10" t="s">
        <v>921</v>
      </c>
      <c r="AJ440" s="12">
        <f>IF(AN440=0,L440,0)</f>
        <v>0</v>
      </c>
      <c r="AK440" s="12">
        <f>IF(AN440=12,L440,0)</f>
        <v>0</v>
      </c>
      <c r="AL440" s="12" t="e">
        <f>IF(AN440=21,L440,0)</f>
        <v>#REF!</v>
      </c>
      <c r="AN440" s="12">
        <v>21</v>
      </c>
      <c r="AO440" s="12" t="e">
        <f>H440*0.591079336</f>
        <v>#REF!</v>
      </c>
      <c r="AP440" s="12" t="e">
        <f>H440*(1-0.591079336)</f>
        <v>#REF!</v>
      </c>
      <c r="AQ440" s="49" t="s">
        <v>567</v>
      </c>
      <c r="AV440" s="12" t="e">
        <f>AW440+AX440</f>
        <v>#REF!</v>
      </c>
      <c r="AW440" s="12" t="e">
        <f>G440*AO440</f>
        <v>#REF!</v>
      </c>
      <c r="AX440" s="12" t="e">
        <f>G440*AP440</f>
        <v>#REF!</v>
      </c>
      <c r="AY440" s="49" t="s">
        <v>610</v>
      </c>
      <c r="AZ440" s="49" t="s">
        <v>936</v>
      </c>
      <c r="BA440" s="10" t="s">
        <v>924</v>
      </c>
      <c r="BC440" s="12" t="e">
        <f>AW440+AX440</f>
        <v>#REF!</v>
      </c>
      <c r="BD440" s="12" t="e">
        <f>H440/(100-BE440)*100</f>
        <v>#REF!</v>
      </c>
      <c r="BE440" s="12">
        <v>0</v>
      </c>
      <c r="BF440" s="12" t="e">
        <f>O440</f>
        <v>#REF!</v>
      </c>
      <c r="BH440" s="12" t="e">
        <f>G440*AO440</f>
        <v>#REF!</v>
      </c>
      <c r="BI440" s="12" t="e">
        <f>G440*AP440</f>
        <v>#REF!</v>
      </c>
      <c r="BJ440" s="12" t="e">
        <f>G440*H440</f>
        <v>#REF!</v>
      </c>
      <c r="BK440" s="12"/>
      <c r="BL440" s="12">
        <v>722</v>
      </c>
      <c r="BW440" s="12" t="str">
        <f>I440</f>
        <v>21</v>
      </c>
      <c r="BX440" s="3" t="s">
        <v>362</v>
      </c>
    </row>
    <row r="441" spans="1:76">
      <c r="A441" s="1" t="s">
        <v>939</v>
      </c>
      <c r="B441" s="2" t="s">
        <v>921</v>
      </c>
      <c r="C441" s="2" t="s">
        <v>136</v>
      </c>
      <c r="D441" s="349" t="s">
        <v>137</v>
      </c>
      <c r="E441" s="342"/>
      <c r="F441" s="2" t="s">
        <v>63</v>
      </c>
      <c r="G441" s="12" t="e">
        <f>#REF!</f>
        <v>#REF!</v>
      </c>
      <c r="H441" s="12" t="e">
        <f>#REF!</f>
        <v>#REF!</v>
      </c>
      <c r="I441" s="49" t="s">
        <v>554</v>
      </c>
      <c r="J441" s="12" t="e">
        <f>G441*AO441</f>
        <v>#REF!</v>
      </c>
      <c r="K441" s="12" t="e">
        <f>G441*AP441</f>
        <v>#REF!</v>
      </c>
      <c r="L441" s="12" t="e">
        <f>G441*H441</f>
        <v>#REF!</v>
      </c>
      <c r="M441" s="12" t="e">
        <f>L441*(1+BW441/100)</f>
        <v>#REF!</v>
      </c>
      <c r="N441" s="12">
        <v>5.3499999999999997E-3</v>
      </c>
      <c r="O441" s="12" t="e">
        <f>G441*N441</f>
        <v>#REF!</v>
      </c>
      <c r="P441" s="50" t="s">
        <v>577</v>
      </c>
      <c r="Z441" s="12">
        <f>IF(AQ441="5",BJ441,0)</f>
        <v>0</v>
      </c>
      <c r="AB441" s="12">
        <f>IF(AQ441="1",BH441,0)</f>
        <v>0</v>
      </c>
      <c r="AC441" s="12">
        <f>IF(AQ441="1",BI441,0)</f>
        <v>0</v>
      </c>
      <c r="AD441" s="12" t="e">
        <f>IF(AQ441="7",BH441,0)</f>
        <v>#REF!</v>
      </c>
      <c r="AE441" s="12" t="e">
        <f>IF(AQ441="7",BI441,0)</f>
        <v>#REF!</v>
      </c>
      <c r="AF441" s="12">
        <f>IF(AQ441="2",BH441,0)</f>
        <v>0</v>
      </c>
      <c r="AG441" s="12">
        <f>IF(AQ441="2",BI441,0)</f>
        <v>0</v>
      </c>
      <c r="AH441" s="12">
        <f>IF(AQ441="0",BJ441,0)</f>
        <v>0</v>
      </c>
      <c r="AI441" s="10" t="s">
        <v>921</v>
      </c>
      <c r="AJ441" s="12">
        <f>IF(AN441=0,L441,0)</f>
        <v>0</v>
      </c>
      <c r="AK441" s="12">
        <f>IF(AN441=12,L441,0)</f>
        <v>0</v>
      </c>
      <c r="AL441" s="12" t="e">
        <f>IF(AN441=21,L441,0)</f>
        <v>#REF!</v>
      </c>
      <c r="AN441" s="12">
        <v>21</v>
      </c>
      <c r="AO441" s="12" t="e">
        <f>H441*0.334193548</f>
        <v>#REF!</v>
      </c>
      <c r="AP441" s="12" t="e">
        <f>H441*(1-0.334193548)</f>
        <v>#REF!</v>
      </c>
      <c r="AQ441" s="49" t="s">
        <v>567</v>
      </c>
      <c r="AV441" s="12" t="e">
        <f>AW441+AX441</f>
        <v>#REF!</v>
      </c>
      <c r="AW441" s="12" t="e">
        <f>G441*AO441</f>
        <v>#REF!</v>
      </c>
      <c r="AX441" s="12" t="e">
        <f>G441*AP441</f>
        <v>#REF!</v>
      </c>
      <c r="AY441" s="49" t="s">
        <v>610</v>
      </c>
      <c r="AZ441" s="49" t="s">
        <v>936</v>
      </c>
      <c r="BA441" s="10" t="s">
        <v>924</v>
      </c>
      <c r="BC441" s="12" t="e">
        <f>AW441+AX441</f>
        <v>#REF!</v>
      </c>
      <c r="BD441" s="12" t="e">
        <f>H441/(100-BE441)*100</f>
        <v>#REF!</v>
      </c>
      <c r="BE441" s="12">
        <v>0</v>
      </c>
      <c r="BF441" s="12" t="e">
        <f>O441</f>
        <v>#REF!</v>
      </c>
      <c r="BH441" s="12" t="e">
        <f>G441*AO441</f>
        <v>#REF!</v>
      </c>
      <c r="BI441" s="12" t="e">
        <f>G441*AP441</f>
        <v>#REF!</v>
      </c>
      <c r="BJ441" s="12" t="e">
        <f>G441*H441</f>
        <v>#REF!</v>
      </c>
      <c r="BK441" s="12"/>
      <c r="BL441" s="12">
        <v>722</v>
      </c>
      <c r="BW441" s="12" t="str">
        <f>I441</f>
        <v>21</v>
      </c>
      <c r="BX441" s="3" t="s">
        <v>137</v>
      </c>
    </row>
    <row r="442" spans="1:76">
      <c r="A442" s="1" t="s">
        <v>940</v>
      </c>
      <c r="B442" s="2" t="s">
        <v>921</v>
      </c>
      <c r="C442" s="2" t="s">
        <v>143</v>
      </c>
      <c r="D442" s="349" t="s">
        <v>363</v>
      </c>
      <c r="E442" s="342"/>
      <c r="F442" s="2" t="s">
        <v>63</v>
      </c>
      <c r="G442" s="12" t="e">
        <f>#REF!</f>
        <v>#REF!</v>
      </c>
      <c r="H442" s="12" t="e">
        <f>#REF!</f>
        <v>#REF!</v>
      </c>
      <c r="I442" s="49" t="s">
        <v>554</v>
      </c>
      <c r="J442" s="12" t="e">
        <f>G442*AO442</f>
        <v>#REF!</v>
      </c>
      <c r="K442" s="12" t="e">
        <f>G442*AP442</f>
        <v>#REF!</v>
      </c>
      <c r="L442" s="12" t="e">
        <f>G442*H442</f>
        <v>#REF!</v>
      </c>
      <c r="M442" s="12" t="e">
        <f>L442*(1+BW442/100)</f>
        <v>#REF!</v>
      </c>
      <c r="N442" s="12">
        <v>6.9999999999999994E-5</v>
      </c>
      <c r="O442" s="12" t="e">
        <f>G442*N442</f>
        <v>#REF!</v>
      </c>
      <c r="P442" s="50" t="s">
        <v>577</v>
      </c>
      <c r="Z442" s="12">
        <f>IF(AQ442="5",BJ442,0)</f>
        <v>0</v>
      </c>
      <c r="AB442" s="12">
        <f>IF(AQ442="1",BH442,0)</f>
        <v>0</v>
      </c>
      <c r="AC442" s="12">
        <f>IF(AQ442="1",BI442,0)</f>
        <v>0</v>
      </c>
      <c r="AD442" s="12" t="e">
        <f>IF(AQ442="7",BH442,0)</f>
        <v>#REF!</v>
      </c>
      <c r="AE442" s="12" t="e">
        <f>IF(AQ442="7",BI442,0)</f>
        <v>#REF!</v>
      </c>
      <c r="AF442" s="12">
        <f>IF(AQ442="2",BH442,0)</f>
        <v>0</v>
      </c>
      <c r="AG442" s="12">
        <f>IF(AQ442="2",BI442,0)</f>
        <v>0</v>
      </c>
      <c r="AH442" s="12">
        <f>IF(AQ442="0",BJ442,0)</f>
        <v>0</v>
      </c>
      <c r="AI442" s="10" t="s">
        <v>921</v>
      </c>
      <c r="AJ442" s="12">
        <f>IF(AN442=0,L442,0)</f>
        <v>0</v>
      </c>
      <c r="AK442" s="12">
        <f>IF(AN442=12,L442,0)</f>
        <v>0</v>
      </c>
      <c r="AL442" s="12" t="e">
        <f>IF(AN442=21,L442,0)</f>
        <v>#REF!</v>
      </c>
      <c r="AN442" s="12">
        <v>21</v>
      </c>
      <c r="AO442" s="12" t="e">
        <f>H442*0.599757869</f>
        <v>#REF!</v>
      </c>
      <c r="AP442" s="12" t="e">
        <f>H442*(1-0.599757869)</f>
        <v>#REF!</v>
      </c>
      <c r="AQ442" s="49" t="s">
        <v>567</v>
      </c>
      <c r="AV442" s="12" t="e">
        <f>AW442+AX442</f>
        <v>#REF!</v>
      </c>
      <c r="AW442" s="12" t="e">
        <f>G442*AO442</f>
        <v>#REF!</v>
      </c>
      <c r="AX442" s="12" t="e">
        <f>G442*AP442</f>
        <v>#REF!</v>
      </c>
      <c r="AY442" s="49" t="s">
        <v>610</v>
      </c>
      <c r="AZ442" s="49" t="s">
        <v>936</v>
      </c>
      <c r="BA442" s="10" t="s">
        <v>924</v>
      </c>
      <c r="BC442" s="12" t="e">
        <f>AW442+AX442</f>
        <v>#REF!</v>
      </c>
      <c r="BD442" s="12" t="e">
        <f>H442/(100-BE442)*100</f>
        <v>#REF!</v>
      </c>
      <c r="BE442" s="12">
        <v>0</v>
      </c>
      <c r="BF442" s="12" t="e">
        <f>O442</f>
        <v>#REF!</v>
      </c>
      <c r="BH442" s="12" t="e">
        <f>G442*AO442</f>
        <v>#REF!</v>
      </c>
      <c r="BI442" s="12" t="e">
        <f>G442*AP442</f>
        <v>#REF!</v>
      </c>
      <c r="BJ442" s="12" t="e">
        <f>G442*H442</f>
        <v>#REF!</v>
      </c>
      <c r="BK442" s="12"/>
      <c r="BL442" s="12">
        <v>722</v>
      </c>
      <c r="BW442" s="12" t="str">
        <f>I442</f>
        <v>21</v>
      </c>
      <c r="BX442" s="3" t="s">
        <v>363</v>
      </c>
    </row>
    <row r="443" spans="1:76">
      <c r="A443" s="51"/>
      <c r="C443" s="13" t="s">
        <v>117</v>
      </c>
      <c r="D443" s="363" t="s">
        <v>142</v>
      </c>
      <c r="E443" s="364"/>
      <c r="F443" s="364"/>
      <c r="G443" s="364"/>
      <c r="H443" s="364"/>
      <c r="I443" s="364"/>
      <c r="J443" s="364"/>
      <c r="K443" s="364"/>
      <c r="L443" s="364"/>
      <c r="M443" s="364"/>
      <c r="N443" s="364"/>
      <c r="O443" s="364"/>
      <c r="P443" s="365"/>
      <c r="BX443" s="14" t="s">
        <v>142</v>
      </c>
    </row>
    <row r="444" spans="1:76">
      <c r="A444" s="1" t="s">
        <v>941</v>
      </c>
      <c r="B444" s="2" t="s">
        <v>921</v>
      </c>
      <c r="C444" s="2" t="s">
        <v>364</v>
      </c>
      <c r="D444" s="349" t="s">
        <v>365</v>
      </c>
      <c r="E444" s="342"/>
      <c r="F444" s="2" t="s">
        <v>63</v>
      </c>
      <c r="G444" s="12" t="e">
        <f>#REF!</f>
        <v>#REF!</v>
      </c>
      <c r="H444" s="12" t="e">
        <f>#REF!</f>
        <v>#REF!</v>
      </c>
      <c r="I444" s="49" t="s">
        <v>554</v>
      </c>
      <c r="J444" s="12" t="e">
        <f t="shared" ref="J444:J452" si="546">G444*AO444</f>
        <v>#REF!</v>
      </c>
      <c r="K444" s="12" t="e">
        <f t="shared" ref="K444:K452" si="547">G444*AP444</f>
        <v>#REF!</v>
      </c>
      <c r="L444" s="12" t="e">
        <f t="shared" ref="L444:L452" si="548">G444*H444</f>
        <v>#REF!</v>
      </c>
      <c r="M444" s="12" t="e">
        <f t="shared" ref="M444:M452" si="549">L444*(1+BW444/100)</f>
        <v>#REF!</v>
      </c>
      <c r="N444" s="12">
        <v>4.0000000000000003E-5</v>
      </c>
      <c r="O444" s="12" t="e">
        <f t="shared" ref="O444:O452" si="550">G444*N444</f>
        <v>#REF!</v>
      </c>
      <c r="P444" s="50" t="s">
        <v>577</v>
      </c>
      <c r="Z444" s="12">
        <f t="shared" ref="Z444:Z452" si="551">IF(AQ444="5",BJ444,0)</f>
        <v>0</v>
      </c>
      <c r="AB444" s="12">
        <f t="shared" ref="AB444:AB452" si="552">IF(AQ444="1",BH444,0)</f>
        <v>0</v>
      </c>
      <c r="AC444" s="12">
        <f t="shared" ref="AC444:AC452" si="553">IF(AQ444="1",BI444,0)</f>
        <v>0</v>
      </c>
      <c r="AD444" s="12" t="e">
        <f t="shared" ref="AD444:AD452" si="554">IF(AQ444="7",BH444,0)</f>
        <v>#REF!</v>
      </c>
      <c r="AE444" s="12" t="e">
        <f t="shared" ref="AE444:AE452" si="555">IF(AQ444="7",BI444,0)</f>
        <v>#REF!</v>
      </c>
      <c r="AF444" s="12">
        <f t="shared" ref="AF444:AF452" si="556">IF(AQ444="2",BH444,0)</f>
        <v>0</v>
      </c>
      <c r="AG444" s="12">
        <f t="shared" ref="AG444:AG452" si="557">IF(AQ444="2",BI444,0)</f>
        <v>0</v>
      </c>
      <c r="AH444" s="12">
        <f t="shared" ref="AH444:AH452" si="558">IF(AQ444="0",BJ444,0)</f>
        <v>0</v>
      </c>
      <c r="AI444" s="10" t="s">
        <v>921</v>
      </c>
      <c r="AJ444" s="12">
        <f t="shared" ref="AJ444:AJ452" si="559">IF(AN444=0,L444,0)</f>
        <v>0</v>
      </c>
      <c r="AK444" s="12">
        <f t="shared" ref="AK444:AK452" si="560">IF(AN444=12,L444,0)</f>
        <v>0</v>
      </c>
      <c r="AL444" s="12" t="e">
        <f t="shared" ref="AL444:AL452" si="561">IF(AN444=21,L444,0)</f>
        <v>#REF!</v>
      </c>
      <c r="AN444" s="12">
        <v>21</v>
      </c>
      <c r="AO444" s="12" t="e">
        <f>H444*0.347100252</f>
        <v>#REF!</v>
      </c>
      <c r="AP444" s="12" t="e">
        <f>H444*(1-0.347100252)</f>
        <v>#REF!</v>
      </c>
      <c r="AQ444" s="49" t="s">
        <v>567</v>
      </c>
      <c r="AV444" s="12" t="e">
        <f t="shared" ref="AV444:AV452" si="562">AW444+AX444</f>
        <v>#REF!</v>
      </c>
      <c r="AW444" s="12" t="e">
        <f t="shared" ref="AW444:AW452" si="563">G444*AO444</f>
        <v>#REF!</v>
      </c>
      <c r="AX444" s="12" t="e">
        <f t="shared" ref="AX444:AX452" si="564">G444*AP444</f>
        <v>#REF!</v>
      </c>
      <c r="AY444" s="49" t="s">
        <v>610</v>
      </c>
      <c r="AZ444" s="49" t="s">
        <v>936</v>
      </c>
      <c r="BA444" s="10" t="s">
        <v>924</v>
      </c>
      <c r="BC444" s="12" t="e">
        <f t="shared" ref="BC444:BC452" si="565">AW444+AX444</f>
        <v>#REF!</v>
      </c>
      <c r="BD444" s="12" t="e">
        <f t="shared" ref="BD444:BD452" si="566">H444/(100-BE444)*100</f>
        <v>#REF!</v>
      </c>
      <c r="BE444" s="12">
        <v>0</v>
      </c>
      <c r="BF444" s="12" t="e">
        <f t="shared" ref="BF444:BF452" si="567">O444</f>
        <v>#REF!</v>
      </c>
      <c r="BH444" s="12" t="e">
        <f t="shared" ref="BH444:BH452" si="568">G444*AO444</f>
        <v>#REF!</v>
      </c>
      <c r="BI444" s="12" t="e">
        <f t="shared" ref="BI444:BI452" si="569">G444*AP444</f>
        <v>#REF!</v>
      </c>
      <c r="BJ444" s="12" t="e">
        <f t="shared" ref="BJ444:BJ452" si="570">G444*H444</f>
        <v>#REF!</v>
      </c>
      <c r="BK444" s="12"/>
      <c r="BL444" s="12">
        <v>722</v>
      </c>
      <c r="BW444" s="12" t="str">
        <f t="shared" ref="BW444:BW452" si="571">I444</f>
        <v>21</v>
      </c>
      <c r="BX444" s="3" t="s">
        <v>365</v>
      </c>
    </row>
    <row r="445" spans="1:76">
      <c r="A445" s="1" t="s">
        <v>942</v>
      </c>
      <c r="B445" s="2" t="s">
        <v>921</v>
      </c>
      <c r="C445" s="2" t="s">
        <v>366</v>
      </c>
      <c r="D445" s="349" t="s">
        <v>367</v>
      </c>
      <c r="E445" s="342"/>
      <c r="F445" s="2" t="s">
        <v>68</v>
      </c>
      <c r="G445" s="12" t="e">
        <f>#REF!</f>
        <v>#REF!</v>
      </c>
      <c r="H445" s="12" t="e">
        <f>#REF!</f>
        <v>#REF!</v>
      </c>
      <c r="I445" s="49" t="s">
        <v>554</v>
      </c>
      <c r="J445" s="12" t="e">
        <f t="shared" si="546"/>
        <v>#REF!</v>
      </c>
      <c r="K445" s="12" t="e">
        <f t="shared" si="547"/>
        <v>#REF!</v>
      </c>
      <c r="L445" s="12" t="e">
        <f t="shared" si="548"/>
        <v>#REF!</v>
      </c>
      <c r="M445" s="12" t="e">
        <f t="shared" si="549"/>
        <v>#REF!</v>
      </c>
      <c r="N445" s="12">
        <v>1E-3</v>
      </c>
      <c r="O445" s="12" t="e">
        <f t="shared" si="550"/>
        <v>#REF!</v>
      </c>
      <c r="P445" s="50" t="s">
        <v>577</v>
      </c>
      <c r="Z445" s="12">
        <f t="shared" si="551"/>
        <v>0</v>
      </c>
      <c r="AB445" s="12">
        <f t="shared" si="552"/>
        <v>0</v>
      </c>
      <c r="AC445" s="12">
        <f t="shared" si="553"/>
        <v>0</v>
      </c>
      <c r="AD445" s="12" t="e">
        <f t="shared" si="554"/>
        <v>#REF!</v>
      </c>
      <c r="AE445" s="12" t="e">
        <f t="shared" si="555"/>
        <v>#REF!</v>
      </c>
      <c r="AF445" s="12">
        <f t="shared" si="556"/>
        <v>0</v>
      </c>
      <c r="AG445" s="12">
        <f t="shared" si="557"/>
        <v>0</v>
      </c>
      <c r="AH445" s="12">
        <f t="shared" si="558"/>
        <v>0</v>
      </c>
      <c r="AI445" s="10" t="s">
        <v>921</v>
      </c>
      <c r="AJ445" s="12">
        <f t="shared" si="559"/>
        <v>0</v>
      </c>
      <c r="AK445" s="12">
        <f t="shared" si="560"/>
        <v>0</v>
      </c>
      <c r="AL445" s="12" t="e">
        <f t="shared" si="561"/>
        <v>#REF!</v>
      </c>
      <c r="AN445" s="12">
        <v>21</v>
      </c>
      <c r="AO445" s="12" t="e">
        <f>H445*0.945125475</f>
        <v>#REF!</v>
      </c>
      <c r="AP445" s="12" t="e">
        <f>H445*(1-0.945125475)</f>
        <v>#REF!</v>
      </c>
      <c r="AQ445" s="49" t="s">
        <v>567</v>
      </c>
      <c r="AV445" s="12" t="e">
        <f t="shared" si="562"/>
        <v>#REF!</v>
      </c>
      <c r="AW445" s="12" t="e">
        <f t="shared" si="563"/>
        <v>#REF!</v>
      </c>
      <c r="AX445" s="12" t="e">
        <f t="shared" si="564"/>
        <v>#REF!</v>
      </c>
      <c r="AY445" s="49" t="s">
        <v>610</v>
      </c>
      <c r="AZ445" s="49" t="s">
        <v>936</v>
      </c>
      <c r="BA445" s="10" t="s">
        <v>924</v>
      </c>
      <c r="BC445" s="12" t="e">
        <f t="shared" si="565"/>
        <v>#REF!</v>
      </c>
      <c r="BD445" s="12" t="e">
        <f t="shared" si="566"/>
        <v>#REF!</v>
      </c>
      <c r="BE445" s="12">
        <v>0</v>
      </c>
      <c r="BF445" s="12" t="e">
        <f t="shared" si="567"/>
        <v>#REF!</v>
      </c>
      <c r="BH445" s="12" t="e">
        <f t="shared" si="568"/>
        <v>#REF!</v>
      </c>
      <c r="BI445" s="12" t="e">
        <f t="shared" si="569"/>
        <v>#REF!</v>
      </c>
      <c r="BJ445" s="12" t="e">
        <f t="shared" si="570"/>
        <v>#REF!</v>
      </c>
      <c r="BK445" s="12"/>
      <c r="BL445" s="12">
        <v>722</v>
      </c>
      <c r="BW445" s="12" t="str">
        <f t="shared" si="571"/>
        <v>21</v>
      </c>
      <c r="BX445" s="3" t="s">
        <v>367</v>
      </c>
    </row>
    <row r="446" spans="1:76">
      <c r="A446" s="1" t="s">
        <v>943</v>
      </c>
      <c r="B446" s="2" t="s">
        <v>921</v>
      </c>
      <c r="C446" s="2" t="s">
        <v>368</v>
      </c>
      <c r="D446" s="349" t="s">
        <v>369</v>
      </c>
      <c r="E446" s="342"/>
      <c r="F446" s="2" t="s">
        <v>68</v>
      </c>
      <c r="G446" s="12" t="e">
        <f>#REF!</f>
        <v>#REF!</v>
      </c>
      <c r="H446" s="12" t="e">
        <f>#REF!</f>
        <v>#REF!</v>
      </c>
      <c r="I446" s="49" t="s">
        <v>554</v>
      </c>
      <c r="J446" s="12" t="e">
        <f t="shared" si="546"/>
        <v>#REF!</v>
      </c>
      <c r="K446" s="12" t="e">
        <f t="shared" si="547"/>
        <v>#REF!</v>
      </c>
      <c r="L446" s="12" t="e">
        <f t="shared" si="548"/>
        <v>#REF!</v>
      </c>
      <c r="M446" s="12" t="e">
        <f t="shared" si="549"/>
        <v>#REF!</v>
      </c>
      <c r="N446" s="12">
        <v>1.5E-3</v>
      </c>
      <c r="O446" s="12" t="e">
        <f t="shared" si="550"/>
        <v>#REF!</v>
      </c>
      <c r="P446" s="50" t="s">
        <v>577</v>
      </c>
      <c r="Z446" s="12">
        <f t="shared" si="551"/>
        <v>0</v>
      </c>
      <c r="AB446" s="12">
        <f t="shared" si="552"/>
        <v>0</v>
      </c>
      <c r="AC446" s="12">
        <f t="shared" si="553"/>
        <v>0</v>
      </c>
      <c r="AD446" s="12" t="e">
        <f t="shared" si="554"/>
        <v>#REF!</v>
      </c>
      <c r="AE446" s="12" t="e">
        <f t="shared" si="555"/>
        <v>#REF!</v>
      </c>
      <c r="AF446" s="12">
        <f t="shared" si="556"/>
        <v>0</v>
      </c>
      <c r="AG446" s="12">
        <f t="shared" si="557"/>
        <v>0</v>
      </c>
      <c r="AH446" s="12">
        <f t="shared" si="558"/>
        <v>0</v>
      </c>
      <c r="AI446" s="10" t="s">
        <v>921</v>
      </c>
      <c r="AJ446" s="12">
        <f t="shared" si="559"/>
        <v>0</v>
      </c>
      <c r="AK446" s="12">
        <f t="shared" si="560"/>
        <v>0</v>
      </c>
      <c r="AL446" s="12" t="e">
        <f t="shared" si="561"/>
        <v>#REF!</v>
      </c>
      <c r="AN446" s="12">
        <v>21</v>
      </c>
      <c r="AO446" s="12" t="e">
        <f>H446*0.958778158</f>
        <v>#REF!</v>
      </c>
      <c r="AP446" s="12" t="e">
        <f>H446*(1-0.958778158)</f>
        <v>#REF!</v>
      </c>
      <c r="AQ446" s="49" t="s">
        <v>567</v>
      </c>
      <c r="AV446" s="12" t="e">
        <f t="shared" si="562"/>
        <v>#REF!</v>
      </c>
      <c r="AW446" s="12" t="e">
        <f t="shared" si="563"/>
        <v>#REF!</v>
      </c>
      <c r="AX446" s="12" t="e">
        <f t="shared" si="564"/>
        <v>#REF!</v>
      </c>
      <c r="AY446" s="49" t="s">
        <v>610</v>
      </c>
      <c r="AZ446" s="49" t="s">
        <v>936</v>
      </c>
      <c r="BA446" s="10" t="s">
        <v>924</v>
      </c>
      <c r="BC446" s="12" t="e">
        <f t="shared" si="565"/>
        <v>#REF!</v>
      </c>
      <c r="BD446" s="12" t="e">
        <f t="shared" si="566"/>
        <v>#REF!</v>
      </c>
      <c r="BE446" s="12">
        <v>0</v>
      </c>
      <c r="BF446" s="12" t="e">
        <f t="shared" si="567"/>
        <v>#REF!</v>
      </c>
      <c r="BH446" s="12" t="e">
        <f t="shared" si="568"/>
        <v>#REF!</v>
      </c>
      <c r="BI446" s="12" t="e">
        <f t="shared" si="569"/>
        <v>#REF!</v>
      </c>
      <c r="BJ446" s="12" t="e">
        <f t="shared" si="570"/>
        <v>#REF!</v>
      </c>
      <c r="BK446" s="12"/>
      <c r="BL446" s="12">
        <v>722</v>
      </c>
      <c r="BW446" s="12" t="str">
        <f t="shared" si="571"/>
        <v>21</v>
      </c>
      <c r="BX446" s="3" t="s">
        <v>369</v>
      </c>
    </row>
    <row r="447" spans="1:76">
      <c r="A447" s="1" t="s">
        <v>944</v>
      </c>
      <c r="B447" s="2" t="s">
        <v>921</v>
      </c>
      <c r="C447" s="2" t="s">
        <v>149</v>
      </c>
      <c r="D447" s="349" t="s">
        <v>150</v>
      </c>
      <c r="E447" s="342"/>
      <c r="F447" s="2" t="s">
        <v>68</v>
      </c>
      <c r="G447" s="12" t="e">
        <f>#REF!</f>
        <v>#REF!</v>
      </c>
      <c r="H447" s="12" t="e">
        <f>#REF!</f>
        <v>#REF!</v>
      </c>
      <c r="I447" s="49" t="s">
        <v>554</v>
      </c>
      <c r="J447" s="12" t="e">
        <f t="shared" si="546"/>
        <v>#REF!</v>
      </c>
      <c r="K447" s="12" t="e">
        <f t="shared" si="547"/>
        <v>#REF!</v>
      </c>
      <c r="L447" s="12" t="e">
        <f t="shared" si="548"/>
        <v>#REF!</v>
      </c>
      <c r="M447" s="12" t="e">
        <f t="shared" si="549"/>
        <v>#REF!</v>
      </c>
      <c r="N447" s="12">
        <v>3.2000000000000003E-4</v>
      </c>
      <c r="O447" s="12" t="e">
        <f t="shared" si="550"/>
        <v>#REF!</v>
      </c>
      <c r="P447" s="50" t="s">
        <v>605</v>
      </c>
      <c r="Z447" s="12">
        <f t="shared" si="551"/>
        <v>0</v>
      </c>
      <c r="AB447" s="12">
        <f t="shared" si="552"/>
        <v>0</v>
      </c>
      <c r="AC447" s="12">
        <f t="shared" si="553"/>
        <v>0</v>
      </c>
      <c r="AD447" s="12" t="e">
        <f t="shared" si="554"/>
        <v>#REF!</v>
      </c>
      <c r="AE447" s="12" t="e">
        <f t="shared" si="555"/>
        <v>#REF!</v>
      </c>
      <c r="AF447" s="12">
        <f t="shared" si="556"/>
        <v>0</v>
      </c>
      <c r="AG447" s="12">
        <f t="shared" si="557"/>
        <v>0</v>
      </c>
      <c r="AH447" s="12">
        <f t="shared" si="558"/>
        <v>0</v>
      </c>
      <c r="AI447" s="10" t="s">
        <v>921</v>
      </c>
      <c r="AJ447" s="12">
        <f t="shared" si="559"/>
        <v>0</v>
      </c>
      <c r="AK447" s="12">
        <f t="shared" si="560"/>
        <v>0</v>
      </c>
      <c r="AL447" s="12" t="e">
        <f t="shared" si="561"/>
        <v>#REF!</v>
      </c>
      <c r="AN447" s="12">
        <v>21</v>
      </c>
      <c r="AO447" s="12" t="e">
        <f>H447*0.767472727</f>
        <v>#REF!</v>
      </c>
      <c r="AP447" s="12" t="e">
        <f>H447*(1-0.767472727)</f>
        <v>#REF!</v>
      </c>
      <c r="AQ447" s="49" t="s">
        <v>567</v>
      </c>
      <c r="AV447" s="12" t="e">
        <f t="shared" si="562"/>
        <v>#REF!</v>
      </c>
      <c r="AW447" s="12" t="e">
        <f t="shared" si="563"/>
        <v>#REF!</v>
      </c>
      <c r="AX447" s="12" t="e">
        <f t="shared" si="564"/>
        <v>#REF!</v>
      </c>
      <c r="AY447" s="49" t="s">
        <v>610</v>
      </c>
      <c r="AZ447" s="49" t="s">
        <v>936</v>
      </c>
      <c r="BA447" s="10" t="s">
        <v>924</v>
      </c>
      <c r="BC447" s="12" t="e">
        <f t="shared" si="565"/>
        <v>#REF!</v>
      </c>
      <c r="BD447" s="12" t="e">
        <f t="shared" si="566"/>
        <v>#REF!</v>
      </c>
      <c r="BE447" s="12">
        <v>0</v>
      </c>
      <c r="BF447" s="12" t="e">
        <f t="shared" si="567"/>
        <v>#REF!</v>
      </c>
      <c r="BH447" s="12" t="e">
        <f t="shared" si="568"/>
        <v>#REF!</v>
      </c>
      <c r="BI447" s="12" t="e">
        <f t="shared" si="569"/>
        <v>#REF!</v>
      </c>
      <c r="BJ447" s="12" t="e">
        <f t="shared" si="570"/>
        <v>#REF!</v>
      </c>
      <c r="BK447" s="12"/>
      <c r="BL447" s="12">
        <v>722</v>
      </c>
      <c r="BW447" s="12" t="str">
        <f t="shared" si="571"/>
        <v>21</v>
      </c>
      <c r="BX447" s="3" t="s">
        <v>150</v>
      </c>
    </row>
    <row r="448" spans="1:76">
      <c r="A448" s="1" t="s">
        <v>945</v>
      </c>
      <c r="B448" s="2" t="s">
        <v>921</v>
      </c>
      <c r="C448" s="2" t="s">
        <v>370</v>
      </c>
      <c r="D448" s="349" t="s">
        <v>371</v>
      </c>
      <c r="E448" s="342"/>
      <c r="F448" s="2" t="s">
        <v>68</v>
      </c>
      <c r="G448" s="12" t="e">
        <f>#REF!</f>
        <v>#REF!</v>
      </c>
      <c r="H448" s="12" t="e">
        <f>#REF!</f>
        <v>#REF!</v>
      </c>
      <c r="I448" s="49" t="s">
        <v>554</v>
      </c>
      <c r="J448" s="12" t="e">
        <f t="shared" si="546"/>
        <v>#REF!</v>
      </c>
      <c r="K448" s="12" t="e">
        <f t="shared" si="547"/>
        <v>#REF!</v>
      </c>
      <c r="L448" s="12" t="e">
        <f t="shared" si="548"/>
        <v>#REF!</v>
      </c>
      <c r="M448" s="12" t="e">
        <f t="shared" si="549"/>
        <v>#REF!</v>
      </c>
      <c r="N448" s="12">
        <v>5.1999999999999995E-4</v>
      </c>
      <c r="O448" s="12" t="e">
        <f t="shared" si="550"/>
        <v>#REF!</v>
      </c>
      <c r="P448" s="50" t="s">
        <v>605</v>
      </c>
      <c r="Z448" s="12">
        <f t="shared" si="551"/>
        <v>0</v>
      </c>
      <c r="AB448" s="12">
        <f t="shared" si="552"/>
        <v>0</v>
      </c>
      <c r="AC448" s="12">
        <f t="shared" si="553"/>
        <v>0</v>
      </c>
      <c r="AD448" s="12" t="e">
        <f t="shared" si="554"/>
        <v>#REF!</v>
      </c>
      <c r="AE448" s="12" t="e">
        <f t="shared" si="555"/>
        <v>#REF!</v>
      </c>
      <c r="AF448" s="12">
        <f t="shared" si="556"/>
        <v>0</v>
      </c>
      <c r="AG448" s="12">
        <f t="shared" si="557"/>
        <v>0</v>
      </c>
      <c r="AH448" s="12">
        <f t="shared" si="558"/>
        <v>0</v>
      </c>
      <c r="AI448" s="10" t="s">
        <v>921</v>
      </c>
      <c r="AJ448" s="12">
        <f t="shared" si="559"/>
        <v>0</v>
      </c>
      <c r="AK448" s="12">
        <f t="shared" si="560"/>
        <v>0</v>
      </c>
      <c r="AL448" s="12" t="e">
        <f t="shared" si="561"/>
        <v>#REF!</v>
      </c>
      <c r="AN448" s="12">
        <v>21</v>
      </c>
      <c r="AO448" s="12" t="e">
        <f>H448*0.869366701</f>
        <v>#REF!</v>
      </c>
      <c r="AP448" s="12" t="e">
        <f>H448*(1-0.869366701)</f>
        <v>#REF!</v>
      </c>
      <c r="AQ448" s="49" t="s">
        <v>567</v>
      </c>
      <c r="AV448" s="12" t="e">
        <f t="shared" si="562"/>
        <v>#REF!</v>
      </c>
      <c r="AW448" s="12" t="e">
        <f t="shared" si="563"/>
        <v>#REF!</v>
      </c>
      <c r="AX448" s="12" t="e">
        <f t="shared" si="564"/>
        <v>#REF!</v>
      </c>
      <c r="AY448" s="49" t="s">
        <v>610</v>
      </c>
      <c r="AZ448" s="49" t="s">
        <v>936</v>
      </c>
      <c r="BA448" s="10" t="s">
        <v>924</v>
      </c>
      <c r="BC448" s="12" t="e">
        <f t="shared" si="565"/>
        <v>#REF!</v>
      </c>
      <c r="BD448" s="12" t="e">
        <f t="shared" si="566"/>
        <v>#REF!</v>
      </c>
      <c r="BE448" s="12">
        <v>0</v>
      </c>
      <c r="BF448" s="12" t="e">
        <f t="shared" si="567"/>
        <v>#REF!</v>
      </c>
      <c r="BH448" s="12" t="e">
        <f t="shared" si="568"/>
        <v>#REF!</v>
      </c>
      <c r="BI448" s="12" t="e">
        <f t="shared" si="569"/>
        <v>#REF!</v>
      </c>
      <c r="BJ448" s="12" t="e">
        <f t="shared" si="570"/>
        <v>#REF!</v>
      </c>
      <c r="BK448" s="12"/>
      <c r="BL448" s="12">
        <v>722</v>
      </c>
      <c r="BW448" s="12" t="str">
        <f t="shared" si="571"/>
        <v>21</v>
      </c>
      <c r="BX448" s="3" t="s">
        <v>371</v>
      </c>
    </row>
    <row r="449" spans="1:76">
      <c r="A449" s="1" t="s">
        <v>946</v>
      </c>
      <c r="B449" s="2" t="s">
        <v>921</v>
      </c>
      <c r="C449" s="2" t="s">
        <v>372</v>
      </c>
      <c r="D449" s="349" t="s">
        <v>373</v>
      </c>
      <c r="E449" s="342"/>
      <c r="F449" s="2" t="s">
        <v>68</v>
      </c>
      <c r="G449" s="12" t="e">
        <f>#REF!</f>
        <v>#REF!</v>
      </c>
      <c r="H449" s="12" t="e">
        <f>#REF!</f>
        <v>#REF!</v>
      </c>
      <c r="I449" s="49" t="s">
        <v>554</v>
      </c>
      <c r="J449" s="12" t="e">
        <f t="shared" si="546"/>
        <v>#REF!</v>
      </c>
      <c r="K449" s="12" t="e">
        <f t="shared" si="547"/>
        <v>#REF!</v>
      </c>
      <c r="L449" s="12" t="e">
        <f t="shared" si="548"/>
        <v>#REF!</v>
      </c>
      <c r="M449" s="12" t="e">
        <f t="shared" si="549"/>
        <v>#REF!</v>
      </c>
      <c r="N449" s="12">
        <v>5.0000000000000001E-4</v>
      </c>
      <c r="O449" s="12" t="e">
        <f t="shared" si="550"/>
        <v>#REF!</v>
      </c>
      <c r="P449" s="50" t="s">
        <v>605</v>
      </c>
      <c r="Z449" s="12">
        <f t="shared" si="551"/>
        <v>0</v>
      </c>
      <c r="AB449" s="12">
        <f t="shared" si="552"/>
        <v>0</v>
      </c>
      <c r="AC449" s="12">
        <f t="shared" si="553"/>
        <v>0</v>
      </c>
      <c r="AD449" s="12" t="e">
        <f t="shared" si="554"/>
        <v>#REF!</v>
      </c>
      <c r="AE449" s="12" t="e">
        <f t="shared" si="555"/>
        <v>#REF!</v>
      </c>
      <c r="AF449" s="12">
        <f t="shared" si="556"/>
        <v>0</v>
      </c>
      <c r="AG449" s="12">
        <f t="shared" si="557"/>
        <v>0</v>
      </c>
      <c r="AH449" s="12">
        <f t="shared" si="558"/>
        <v>0</v>
      </c>
      <c r="AI449" s="10" t="s">
        <v>921</v>
      </c>
      <c r="AJ449" s="12">
        <f t="shared" si="559"/>
        <v>0</v>
      </c>
      <c r="AK449" s="12">
        <f t="shared" si="560"/>
        <v>0</v>
      </c>
      <c r="AL449" s="12" t="e">
        <f t="shared" si="561"/>
        <v>#REF!</v>
      </c>
      <c r="AN449" s="12">
        <v>21</v>
      </c>
      <c r="AO449" s="12" t="e">
        <f>H449*0.767894737</f>
        <v>#REF!</v>
      </c>
      <c r="AP449" s="12" t="e">
        <f>H449*(1-0.767894737)</f>
        <v>#REF!</v>
      </c>
      <c r="AQ449" s="49" t="s">
        <v>567</v>
      </c>
      <c r="AV449" s="12" t="e">
        <f t="shared" si="562"/>
        <v>#REF!</v>
      </c>
      <c r="AW449" s="12" t="e">
        <f t="shared" si="563"/>
        <v>#REF!</v>
      </c>
      <c r="AX449" s="12" t="e">
        <f t="shared" si="564"/>
        <v>#REF!</v>
      </c>
      <c r="AY449" s="49" t="s">
        <v>610</v>
      </c>
      <c r="AZ449" s="49" t="s">
        <v>936</v>
      </c>
      <c r="BA449" s="10" t="s">
        <v>924</v>
      </c>
      <c r="BC449" s="12" t="e">
        <f t="shared" si="565"/>
        <v>#REF!</v>
      </c>
      <c r="BD449" s="12" t="e">
        <f t="shared" si="566"/>
        <v>#REF!</v>
      </c>
      <c r="BE449" s="12">
        <v>0</v>
      </c>
      <c r="BF449" s="12" t="e">
        <f t="shared" si="567"/>
        <v>#REF!</v>
      </c>
      <c r="BH449" s="12" t="e">
        <f t="shared" si="568"/>
        <v>#REF!</v>
      </c>
      <c r="BI449" s="12" t="e">
        <f t="shared" si="569"/>
        <v>#REF!</v>
      </c>
      <c r="BJ449" s="12" t="e">
        <f t="shared" si="570"/>
        <v>#REF!</v>
      </c>
      <c r="BK449" s="12"/>
      <c r="BL449" s="12">
        <v>722</v>
      </c>
      <c r="BW449" s="12" t="str">
        <f t="shared" si="571"/>
        <v>21</v>
      </c>
      <c r="BX449" s="3" t="s">
        <v>373</v>
      </c>
    </row>
    <row r="450" spans="1:76">
      <c r="A450" s="1" t="s">
        <v>947</v>
      </c>
      <c r="B450" s="2" t="s">
        <v>921</v>
      </c>
      <c r="C450" s="2" t="s">
        <v>156</v>
      </c>
      <c r="D450" s="349" t="s">
        <v>157</v>
      </c>
      <c r="E450" s="342"/>
      <c r="F450" s="2" t="s">
        <v>68</v>
      </c>
      <c r="G450" s="12" t="e">
        <f>#REF!</f>
        <v>#REF!</v>
      </c>
      <c r="H450" s="12" t="e">
        <f>#REF!</f>
        <v>#REF!</v>
      </c>
      <c r="I450" s="49" t="s">
        <v>554</v>
      </c>
      <c r="J450" s="12" t="e">
        <f t="shared" si="546"/>
        <v>#REF!</v>
      </c>
      <c r="K450" s="12" t="e">
        <f t="shared" si="547"/>
        <v>#REF!</v>
      </c>
      <c r="L450" s="12" t="e">
        <f t="shared" si="548"/>
        <v>#REF!</v>
      </c>
      <c r="M450" s="12" t="e">
        <f t="shared" si="549"/>
        <v>#REF!</v>
      </c>
      <c r="N450" s="12">
        <v>3.6999999999999999E-4</v>
      </c>
      <c r="O450" s="12" t="e">
        <f t="shared" si="550"/>
        <v>#REF!</v>
      </c>
      <c r="P450" s="50" t="s">
        <v>605</v>
      </c>
      <c r="Z450" s="12">
        <f t="shared" si="551"/>
        <v>0</v>
      </c>
      <c r="AB450" s="12">
        <f t="shared" si="552"/>
        <v>0</v>
      </c>
      <c r="AC450" s="12">
        <f t="shared" si="553"/>
        <v>0</v>
      </c>
      <c r="AD450" s="12" t="e">
        <f t="shared" si="554"/>
        <v>#REF!</v>
      </c>
      <c r="AE450" s="12" t="e">
        <f t="shared" si="555"/>
        <v>#REF!</v>
      </c>
      <c r="AF450" s="12">
        <f t="shared" si="556"/>
        <v>0</v>
      </c>
      <c r="AG450" s="12">
        <f t="shared" si="557"/>
        <v>0</v>
      </c>
      <c r="AH450" s="12">
        <f t="shared" si="558"/>
        <v>0</v>
      </c>
      <c r="AI450" s="10" t="s">
        <v>921</v>
      </c>
      <c r="AJ450" s="12">
        <f t="shared" si="559"/>
        <v>0</v>
      </c>
      <c r="AK450" s="12">
        <f t="shared" si="560"/>
        <v>0</v>
      </c>
      <c r="AL450" s="12" t="e">
        <f t="shared" si="561"/>
        <v>#REF!</v>
      </c>
      <c r="AN450" s="12">
        <v>21</v>
      </c>
      <c r="AO450" s="12" t="e">
        <f>H450*0.901698693</f>
        <v>#REF!</v>
      </c>
      <c r="AP450" s="12" t="e">
        <f>H450*(1-0.901698693)</f>
        <v>#REF!</v>
      </c>
      <c r="AQ450" s="49" t="s">
        <v>567</v>
      </c>
      <c r="AV450" s="12" t="e">
        <f t="shared" si="562"/>
        <v>#REF!</v>
      </c>
      <c r="AW450" s="12" t="e">
        <f t="shared" si="563"/>
        <v>#REF!</v>
      </c>
      <c r="AX450" s="12" t="e">
        <f t="shared" si="564"/>
        <v>#REF!</v>
      </c>
      <c r="AY450" s="49" t="s">
        <v>610</v>
      </c>
      <c r="AZ450" s="49" t="s">
        <v>936</v>
      </c>
      <c r="BA450" s="10" t="s">
        <v>924</v>
      </c>
      <c r="BC450" s="12" t="e">
        <f t="shared" si="565"/>
        <v>#REF!</v>
      </c>
      <c r="BD450" s="12" t="e">
        <f t="shared" si="566"/>
        <v>#REF!</v>
      </c>
      <c r="BE450" s="12">
        <v>0</v>
      </c>
      <c r="BF450" s="12" t="e">
        <f t="shared" si="567"/>
        <v>#REF!</v>
      </c>
      <c r="BH450" s="12" t="e">
        <f t="shared" si="568"/>
        <v>#REF!</v>
      </c>
      <c r="BI450" s="12" t="e">
        <f t="shared" si="569"/>
        <v>#REF!</v>
      </c>
      <c r="BJ450" s="12" t="e">
        <f t="shared" si="570"/>
        <v>#REF!</v>
      </c>
      <c r="BK450" s="12"/>
      <c r="BL450" s="12">
        <v>722</v>
      </c>
      <c r="BW450" s="12" t="str">
        <f t="shared" si="571"/>
        <v>21</v>
      </c>
      <c r="BX450" s="3" t="s">
        <v>157</v>
      </c>
    </row>
    <row r="451" spans="1:76">
      <c r="A451" s="1" t="s">
        <v>948</v>
      </c>
      <c r="B451" s="2" t="s">
        <v>921</v>
      </c>
      <c r="C451" s="2" t="s">
        <v>162</v>
      </c>
      <c r="D451" s="349" t="s">
        <v>374</v>
      </c>
      <c r="E451" s="342"/>
      <c r="F451" s="2" t="s">
        <v>68</v>
      </c>
      <c r="G451" s="12" t="e">
        <f>#REF!</f>
        <v>#REF!</v>
      </c>
      <c r="H451" s="12" t="e">
        <f>#REF!</f>
        <v>#REF!</v>
      </c>
      <c r="I451" s="49" t="s">
        <v>554</v>
      </c>
      <c r="J451" s="12" t="e">
        <f t="shared" si="546"/>
        <v>#REF!</v>
      </c>
      <c r="K451" s="12" t="e">
        <f t="shared" si="547"/>
        <v>#REF!</v>
      </c>
      <c r="L451" s="12" t="e">
        <f t="shared" si="548"/>
        <v>#REF!</v>
      </c>
      <c r="M451" s="12" t="e">
        <f t="shared" si="549"/>
        <v>#REF!</v>
      </c>
      <c r="N451" s="12">
        <v>0</v>
      </c>
      <c r="O451" s="12" t="e">
        <f t="shared" si="550"/>
        <v>#REF!</v>
      </c>
      <c r="P451" s="50" t="s">
        <v>21</v>
      </c>
      <c r="Z451" s="12">
        <f t="shared" si="551"/>
        <v>0</v>
      </c>
      <c r="AB451" s="12">
        <f t="shared" si="552"/>
        <v>0</v>
      </c>
      <c r="AC451" s="12">
        <f t="shared" si="553"/>
        <v>0</v>
      </c>
      <c r="AD451" s="12" t="e">
        <f t="shared" si="554"/>
        <v>#REF!</v>
      </c>
      <c r="AE451" s="12" t="e">
        <f t="shared" si="555"/>
        <v>#REF!</v>
      </c>
      <c r="AF451" s="12">
        <f t="shared" si="556"/>
        <v>0</v>
      </c>
      <c r="AG451" s="12">
        <f t="shared" si="557"/>
        <v>0</v>
      </c>
      <c r="AH451" s="12">
        <f t="shared" si="558"/>
        <v>0</v>
      </c>
      <c r="AI451" s="10" t="s">
        <v>921</v>
      </c>
      <c r="AJ451" s="12">
        <f t="shared" si="559"/>
        <v>0</v>
      </c>
      <c r="AK451" s="12">
        <f t="shared" si="560"/>
        <v>0</v>
      </c>
      <c r="AL451" s="12" t="e">
        <f t="shared" si="561"/>
        <v>#REF!</v>
      </c>
      <c r="AN451" s="12">
        <v>21</v>
      </c>
      <c r="AO451" s="12" t="e">
        <f>H451*0.930503731</f>
        <v>#REF!</v>
      </c>
      <c r="AP451" s="12" t="e">
        <f>H451*(1-0.930503731)</f>
        <v>#REF!</v>
      </c>
      <c r="AQ451" s="49" t="s">
        <v>567</v>
      </c>
      <c r="AV451" s="12" t="e">
        <f t="shared" si="562"/>
        <v>#REF!</v>
      </c>
      <c r="AW451" s="12" t="e">
        <f t="shared" si="563"/>
        <v>#REF!</v>
      </c>
      <c r="AX451" s="12" t="e">
        <f t="shared" si="564"/>
        <v>#REF!</v>
      </c>
      <c r="AY451" s="49" t="s">
        <v>610</v>
      </c>
      <c r="AZ451" s="49" t="s">
        <v>936</v>
      </c>
      <c r="BA451" s="10" t="s">
        <v>924</v>
      </c>
      <c r="BC451" s="12" t="e">
        <f t="shared" si="565"/>
        <v>#REF!</v>
      </c>
      <c r="BD451" s="12" t="e">
        <f t="shared" si="566"/>
        <v>#REF!</v>
      </c>
      <c r="BE451" s="12">
        <v>0</v>
      </c>
      <c r="BF451" s="12" t="e">
        <f t="shared" si="567"/>
        <v>#REF!</v>
      </c>
      <c r="BH451" s="12" t="e">
        <f t="shared" si="568"/>
        <v>#REF!</v>
      </c>
      <c r="BI451" s="12" t="e">
        <f t="shared" si="569"/>
        <v>#REF!</v>
      </c>
      <c r="BJ451" s="12" t="e">
        <f t="shared" si="570"/>
        <v>#REF!</v>
      </c>
      <c r="BK451" s="12"/>
      <c r="BL451" s="12">
        <v>722</v>
      </c>
      <c r="BW451" s="12" t="str">
        <f t="shared" si="571"/>
        <v>21</v>
      </c>
      <c r="BX451" s="3" t="s">
        <v>374</v>
      </c>
    </row>
    <row r="452" spans="1:76">
      <c r="A452" s="1" t="s">
        <v>949</v>
      </c>
      <c r="B452" s="2" t="s">
        <v>921</v>
      </c>
      <c r="C452" s="2" t="s">
        <v>375</v>
      </c>
      <c r="D452" s="349" t="s">
        <v>445</v>
      </c>
      <c r="E452" s="342"/>
      <c r="F452" s="2" t="s">
        <v>68</v>
      </c>
      <c r="G452" s="12" t="e">
        <f>#REF!</f>
        <v>#REF!</v>
      </c>
      <c r="H452" s="12" t="e">
        <f>#REF!</f>
        <v>#REF!</v>
      </c>
      <c r="I452" s="49" t="s">
        <v>554</v>
      </c>
      <c r="J452" s="12" t="e">
        <f t="shared" si="546"/>
        <v>#REF!</v>
      </c>
      <c r="K452" s="12" t="e">
        <f t="shared" si="547"/>
        <v>#REF!</v>
      </c>
      <c r="L452" s="12" t="e">
        <f t="shared" si="548"/>
        <v>#REF!</v>
      </c>
      <c r="M452" s="12" t="e">
        <f t="shared" si="549"/>
        <v>#REF!</v>
      </c>
      <c r="N452" s="12">
        <v>0.04</v>
      </c>
      <c r="O452" s="12" t="e">
        <f t="shared" si="550"/>
        <v>#REF!</v>
      </c>
      <c r="P452" s="50" t="s">
        <v>605</v>
      </c>
      <c r="Z452" s="12">
        <f t="shared" si="551"/>
        <v>0</v>
      </c>
      <c r="AB452" s="12">
        <f t="shared" si="552"/>
        <v>0</v>
      </c>
      <c r="AC452" s="12">
        <f t="shared" si="553"/>
        <v>0</v>
      </c>
      <c r="AD452" s="12" t="e">
        <f t="shared" si="554"/>
        <v>#REF!</v>
      </c>
      <c r="AE452" s="12" t="e">
        <f t="shared" si="555"/>
        <v>#REF!</v>
      </c>
      <c r="AF452" s="12">
        <f t="shared" si="556"/>
        <v>0</v>
      </c>
      <c r="AG452" s="12">
        <f t="shared" si="557"/>
        <v>0</v>
      </c>
      <c r="AH452" s="12">
        <f t="shared" si="558"/>
        <v>0</v>
      </c>
      <c r="AI452" s="10" t="s">
        <v>921</v>
      </c>
      <c r="AJ452" s="12">
        <f t="shared" si="559"/>
        <v>0</v>
      </c>
      <c r="AK452" s="12">
        <f t="shared" si="560"/>
        <v>0</v>
      </c>
      <c r="AL452" s="12" t="e">
        <f t="shared" si="561"/>
        <v>#REF!</v>
      </c>
      <c r="AN452" s="12">
        <v>21</v>
      </c>
      <c r="AO452" s="12" t="e">
        <f>H452*1</f>
        <v>#REF!</v>
      </c>
      <c r="AP452" s="12" t="e">
        <f>H452*(1-1)</f>
        <v>#REF!</v>
      </c>
      <c r="AQ452" s="49" t="s">
        <v>567</v>
      </c>
      <c r="AV452" s="12" t="e">
        <f t="shared" si="562"/>
        <v>#REF!</v>
      </c>
      <c r="AW452" s="12" t="e">
        <f t="shared" si="563"/>
        <v>#REF!</v>
      </c>
      <c r="AX452" s="12" t="e">
        <f t="shared" si="564"/>
        <v>#REF!</v>
      </c>
      <c r="AY452" s="49" t="s">
        <v>610</v>
      </c>
      <c r="AZ452" s="49" t="s">
        <v>936</v>
      </c>
      <c r="BA452" s="10" t="s">
        <v>924</v>
      </c>
      <c r="BC452" s="12" t="e">
        <f t="shared" si="565"/>
        <v>#REF!</v>
      </c>
      <c r="BD452" s="12" t="e">
        <f t="shared" si="566"/>
        <v>#REF!</v>
      </c>
      <c r="BE452" s="12">
        <v>0</v>
      </c>
      <c r="BF452" s="12" t="e">
        <f t="shared" si="567"/>
        <v>#REF!</v>
      </c>
      <c r="BH452" s="12" t="e">
        <f t="shared" si="568"/>
        <v>#REF!</v>
      </c>
      <c r="BI452" s="12" t="e">
        <f t="shared" si="569"/>
        <v>#REF!</v>
      </c>
      <c r="BJ452" s="12" t="e">
        <f t="shared" si="570"/>
        <v>#REF!</v>
      </c>
      <c r="BK452" s="12"/>
      <c r="BL452" s="12">
        <v>722</v>
      </c>
      <c r="BW452" s="12" t="str">
        <f t="shared" si="571"/>
        <v>21</v>
      </c>
      <c r="BX452" s="3" t="s">
        <v>445</v>
      </c>
    </row>
    <row r="453" spans="1:76">
      <c r="A453" s="46" t="s">
        <v>21</v>
      </c>
      <c r="B453" s="9" t="s">
        <v>921</v>
      </c>
      <c r="C453" s="9" t="s">
        <v>380</v>
      </c>
      <c r="D453" s="359" t="s">
        <v>381</v>
      </c>
      <c r="E453" s="360"/>
      <c r="F453" s="47" t="s">
        <v>20</v>
      </c>
      <c r="G453" s="47" t="s">
        <v>20</v>
      </c>
      <c r="H453" s="47" t="s">
        <v>20</v>
      </c>
      <c r="I453" s="47" t="s">
        <v>20</v>
      </c>
      <c r="J453" s="11" t="e">
        <f>SUM(J454:J454)</f>
        <v>#REF!</v>
      </c>
      <c r="K453" s="11" t="e">
        <f>SUM(K454:K454)</f>
        <v>#REF!</v>
      </c>
      <c r="L453" s="11" t="e">
        <f>SUM(L454:L454)</f>
        <v>#REF!</v>
      </c>
      <c r="M453" s="11" t="e">
        <f>SUM(M454:M454)</f>
        <v>#REF!</v>
      </c>
      <c r="N453" s="10" t="s">
        <v>21</v>
      </c>
      <c r="O453" s="11" t="e">
        <f>SUM(O454:O454)</f>
        <v>#REF!</v>
      </c>
      <c r="P453" s="48" t="s">
        <v>21</v>
      </c>
      <c r="AI453" s="10" t="s">
        <v>921</v>
      </c>
      <c r="AS453" s="11">
        <f>SUM(AJ454:AJ454)</f>
        <v>0</v>
      </c>
      <c r="AT453" s="11">
        <f>SUM(AK454:AK454)</f>
        <v>0</v>
      </c>
      <c r="AU453" s="11" t="e">
        <f>SUM(AL454:AL454)</f>
        <v>#REF!</v>
      </c>
    </row>
    <row r="454" spans="1:76">
      <c r="A454" s="1" t="s">
        <v>950</v>
      </c>
      <c r="B454" s="2" t="s">
        <v>921</v>
      </c>
      <c r="C454" s="2" t="s">
        <v>83</v>
      </c>
      <c r="D454" s="349" t="s">
        <v>255</v>
      </c>
      <c r="E454" s="342"/>
      <c r="F454" s="2" t="s">
        <v>58</v>
      </c>
      <c r="G454" s="12" t="e">
        <f>#REF!</f>
        <v>#REF!</v>
      </c>
      <c r="H454" s="12" t="e">
        <f>#REF!</f>
        <v>#REF!</v>
      </c>
      <c r="I454" s="49" t="s">
        <v>554</v>
      </c>
      <c r="J454" s="12" t="e">
        <f>G454*AO454</f>
        <v>#REF!</v>
      </c>
      <c r="K454" s="12" t="e">
        <f>G454*AP454</f>
        <v>#REF!</v>
      </c>
      <c r="L454" s="12" t="e">
        <f>G454*H454</f>
        <v>#REF!</v>
      </c>
      <c r="M454" s="12" t="e">
        <f>L454*(1+BW454/100)</f>
        <v>#REF!</v>
      </c>
      <c r="N454" s="12">
        <v>0</v>
      </c>
      <c r="O454" s="12" t="e">
        <f>G454*N454</f>
        <v>#REF!</v>
      </c>
      <c r="P454" s="50" t="s">
        <v>21</v>
      </c>
      <c r="Z454" s="12">
        <f>IF(AQ454="5",BJ454,0)</f>
        <v>0</v>
      </c>
      <c r="AB454" s="12">
        <f>IF(AQ454="1",BH454,0)</f>
        <v>0</v>
      </c>
      <c r="AC454" s="12">
        <f>IF(AQ454="1",BI454,0)</f>
        <v>0</v>
      </c>
      <c r="AD454" s="12" t="e">
        <f>IF(AQ454="7",BH454,0)</f>
        <v>#REF!</v>
      </c>
      <c r="AE454" s="12" t="e">
        <f>IF(AQ454="7",BI454,0)</f>
        <v>#REF!</v>
      </c>
      <c r="AF454" s="12">
        <f>IF(AQ454="2",BH454,0)</f>
        <v>0</v>
      </c>
      <c r="AG454" s="12">
        <f>IF(AQ454="2",BI454,0)</f>
        <v>0</v>
      </c>
      <c r="AH454" s="12">
        <f>IF(AQ454="0",BJ454,0)</f>
        <v>0</v>
      </c>
      <c r="AI454" s="10" t="s">
        <v>921</v>
      </c>
      <c r="AJ454" s="12">
        <f>IF(AN454=0,L454,0)</f>
        <v>0</v>
      </c>
      <c r="AK454" s="12">
        <f>IF(AN454=12,L454,0)</f>
        <v>0</v>
      </c>
      <c r="AL454" s="12" t="e">
        <f>IF(AN454=21,L454,0)</f>
        <v>#REF!</v>
      </c>
      <c r="AN454" s="12">
        <v>21</v>
      </c>
      <c r="AO454" s="12" t="e">
        <f>H454*0.346020761</f>
        <v>#REF!</v>
      </c>
      <c r="AP454" s="12" t="e">
        <f>H454*(1-0.346020761)</f>
        <v>#REF!</v>
      </c>
      <c r="AQ454" s="49" t="s">
        <v>567</v>
      </c>
      <c r="AV454" s="12" t="e">
        <f>AW454+AX454</f>
        <v>#REF!</v>
      </c>
      <c r="AW454" s="12" t="e">
        <f>G454*AO454</f>
        <v>#REF!</v>
      </c>
      <c r="AX454" s="12" t="e">
        <f>G454*AP454</f>
        <v>#REF!</v>
      </c>
      <c r="AY454" s="49" t="s">
        <v>745</v>
      </c>
      <c r="AZ454" s="49" t="s">
        <v>951</v>
      </c>
      <c r="BA454" s="10" t="s">
        <v>924</v>
      </c>
      <c r="BC454" s="12" t="e">
        <f>AW454+AX454</f>
        <v>#REF!</v>
      </c>
      <c r="BD454" s="12" t="e">
        <f>H454/(100-BE454)*100</f>
        <v>#REF!</v>
      </c>
      <c r="BE454" s="12">
        <v>0</v>
      </c>
      <c r="BF454" s="12" t="e">
        <f>O454</f>
        <v>#REF!</v>
      </c>
      <c r="BH454" s="12" t="e">
        <f>G454*AO454</f>
        <v>#REF!</v>
      </c>
      <c r="BI454" s="12" t="e">
        <f>G454*AP454</f>
        <v>#REF!</v>
      </c>
      <c r="BJ454" s="12" t="e">
        <f>G454*H454</f>
        <v>#REF!</v>
      </c>
      <c r="BK454" s="12"/>
      <c r="BL454" s="12">
        <v>73</v>
      </c>
      <c r="BW454" s="12" t="str">
        <f>I454</f>
        <v>21</v>
      </c>
      <c r="BX454" s="3" t="s">
        <v>255</v>
      </c>
    </row>
    <row r="455" spans="1:76">
      <c r="A455" s="46" t="s">
        <v>21</v>
      </c>
      <c r="B455" s="9" t="s">
        <v>921</v>
      </c>
      <c r="C455" s="9" t="s">
        <v>64</v>
      </c>
      <c r="D455" s="359" t="s">
        <v>65</v>
      </c>
      <c r="E455" s="360"/>
      <c r="F455" s="47" t="s">
        <v>20</v>
      </c>
      <c r="G455" s="47" t="s">
        <v>20</v>
      </c>
      <c r="H455" s="47" t="s">
        <v>20</v>
      </c>
      <c r="I455" s="47" t="s">
        <v>20</v>
      </c>
      <c r="J455" s="11" t="e">
        <f>SUM(J456:J462)</f>
        <v>#REF!</v>
      </c>
      <c r="K455" s="11" t="e">
        <f>SUM(K456:K462)</f>
        <v>#REF!</v>
      </c>
      <c r="L455" s="11" t="e">
        <f>SUM(L456:L462)</f>
        <v>#REF!</v>
      </c>
      <c r="M455" s="11" t="e">
        <f>SUM(M456:M462)</f>
        <v>#REF!</v>
      </c>
      <c r="N455" s="10" t="s">
        <v>21</v>
      </c>
      <c r="O455" s="11" t="e">
        <f>SUM(O456:O462)</f>
        <v>#REF!</v>
      </c>
      <c r="P455" s="48" t="s">
        <v>21</v>
      </c>
      <c r="AI455" s="10" t="s">
        <v>921</v>
      </c>
      <c r="AS455" s="11">
        <f>SUM(AJ456:AJ462)</f>
        <v>0</v>
      </c>
      <c r="AT455" s="11">
        <f>SUM(AK456:AK462)</f>
        <v>0</v>
      </c>
      <c r="AU455" s="11" t="e">
        <f>SUM(AL456:AL462)</f>
        <v>#REF!</v>
      </c>
    </row>
    <row r="456" spans="1:76">
      <c r="A456" s="1" t="s">
        <v>952</v>
      </c>
      <c r="B456" s="2" t="s">
        <v>921</v>
      </c>
      <c r="C456" s="2" t="s">
        <v>382</v>
      </c>
      <c r="D456" s="349" t="s">
        <v>114</v>
      </c>
      <c r="E456" s="342"/>
      <c r="F456" s="2" t="s">
        <v>58</v>
      </c>
      <c r="G456" s="12" t="e">
        <f>#REF!</f>
        <v>#REF!</v>
      </c>
      <c r="H456" s="12" t="e">
        <f>#REF!</f>
        <v>#REF!</v>
      </c>
      <c r="I456" s="49" t="s">
        <v>554</v>
      </c>
      <c r="J456" s="12" t="e">
        <f t="shared" ref="J456:J462" si="572">G456*AO456</f>
        <v>#REF!</v>
      </c>
      <c r="K456" s="12" t="e">
        <f t="shared" ref="K456:K462" si="573">G456*AP456</f>
        <v>#REF!</v>
      </c>
      <c r="L456" s="12" t="e">
        <f t="shared" ref="L456:L462" si="574">G456*H456</f>
        <v>#REF!</v>
      </c>
      <c r="M456" s="12" t="e">
        <f t="shared" ref="M456:M462" si="575">L456*(1+BW456/100)</f>
        <v>#REF!</v>
      </c>
      <c r="N456" s="12">
        <v>1.1299999999999999E-3</v>
      </c>
      <c r="O456" s="12" t="e">
        <f t="shared" ref="O456:O462" si="576">G456*N456</f>
        <v>#REF!</v>
      </c>
      <c r="P456" s="50" t="s">
        <v>577</v>
      </c>
      <c r="Z456" s="12">
        <f t="shared" ref="Z456:Z462" si="577">IF(AQ456="5",BJ456,0)</f>
        <v>0</v>
      </c>
      <c r="AB456" s="12">
        <f t="shared" ref="AB456:AB462" si="578">IF(AQ456="1",BH456,0)</f>
        <v>0</v>
      </c>
      <c r="AC456" s="12">
        <f t="shared" ref="AC456:AC462" si="579">IF(AQ456="1",BI456,0)</f>
        <v>0</v>
      </c>
      <c r="AD456" s="12" t="e">
        <f t="shared" ref="AD456:AD462" si="580">IF(AQ456="7",BH456,0)</f>
        <v>#REF!</v>
      </c>
      <c r="AE456" s="12" t="e">
        <f t="shared" ref="AE456:AE462" si="581">IF(AQ456="7",BI456,0)</f>
        <v>#REF!</v>
      </c>
      <c r="AF456" s="12">
        <f t="shared" ref="AF456:AF462" si="582">IF(AQ456="2",BH456,0)</f>
        <v>0</v>
      </c>
      <c r="AG456" s="12">
        <f t="shared" ref="AG456:AG462" si="583">IF(AQ456="2",BI456,0)</f>
        <v>0</v>
      </c>
      <c r="AH456" s="12">
        <f t="shared" ref="AH456:AH462" si="584">IF(AQ456="0",BJ456,0)</f>
        <v>0</v>
      </c>
      <c r="AI456" s="10" t="s">
        <v>921</v>
      </c>
      <c r="AJ456" s="12">
        <f t="shared" ref="AJ456:AJ462" si="585">IF(AN456=0,L456,0)</f>
        <v>0</v>
      </c>
      <c r="AK456" s="12">
        <f t="shared" ref="AK456:AK462" si="586">IF(AN456=12,L456,0)</f>
        <v>0</v>
      </c>
      <c r="AL456" s="12" t="e">
        <f t="shared" ref="AL456:AL462" si="587">IF(AN456=21,L456,0)</f>
        <v>#REF!</v>
      </c>
      <c r="AN456" s="12">
        <v>21</v>
      </c>
      <c r="AO456" s="12" t="e">
        <f>H456*0.628766234</f>
        <v>#REF!</v>
      </c>
      <c r="AP456" s="12" t="e">
        <f>H456*(1-0.628766234)</f>
        <v>#REF!</v>
      </c>
      <c r="AQ456" s="49" t="s">
        <v>567</v>
      </c>
      <c r="AV456" s="12" t="e">
        <f t="shared" ref="AV456:AV462" si="588">AW456+AX456</f>
        <v>#REF!</v>
      </c>
      <c r="AW456" s="12" t="e">
        <f t="shared" ref="AW456:AW462" si="589">G456*AO456</f>
        <v>#REF!</v>
      </c>
      <c r="AX456" s="12" t="e">
        <f t="shared" ref="AX456:AX462" si="590">G456*AP456</f>
        <v>#REF!</v>
      </c>
      <c r="AY456" s="49" t="s">
        <v>580</v>
      </c>
      <c r="AZ456" s="49" t="s">
        <v>951</v>
      </c>
      <c r="BA456" s="10" t="s">
        <v>924</v>
      </c>
      <c r="BC456" s="12" t="e">
        <f t="shared" ref="BC456:BC462" si="591">AW456+AX456</f>
        <v>#REF!</v>
      </c>
      <c r="BD456" s="12" t="e">
        <f t="shared" ref="BD456:BD462" si="592">H456/(100-BE456)*100</f>
        <v>#REF!</v>
      </c>
      <c r="BE456" s="12">
        <v>0</v>
      </c>
      <c r="BF456" s="12" t="e">
        <f t="shared" ref="BF456:BF462" si="593">O456</f>
        <v>#REF!</v>
      </c>
      <c r="BH456" s="12" t="e">
        <f t="shared" ref="BH456:BH462" si="594">G456*AO456</f>
        <v>#REF!</v>
      </c>
      <c r="BI456" s="12" t="e">
        <f t="shared" ref="BI456:BI462" si="595">G456*AP456</f>
        <v>#REF!</v>
      </c>
      <c r="BJ456" s="12" t="e">
        <f t="shared" ref="BJ456:BJ462" si="596">G456*H456</f>
        <v>#REF!</v>
      </c>
      <c r="BK456" s="12"/>
      <c r="BL456" s="12">
        <v>732</v>
      </c>
      <c r="BW456" s="12" t="str">
        <f t="shared" ref="BW456:BW462" si="597">I456</f>
        <v>21</v>
      </c>
      <c r="BX456" s="3" t="s">
        <v>114</v>
      </c>
    </row>
    <row r="457" spans="1:76">
      <c r="A457" s="1" t="s">
        <v>953</v>
      </c>
      <c r="B457" s="2" t="s">
        <v>921</v>
      </c>
      <c r="C457" s="2" t="s">
        <v>383</v>
      </c>
      <c r="D457" s="349" t="s">
        <v>384</v>
      </c>
      <c r="E457" s="342"/>
      <c r="F457" s="2" t="s">
        <v>63</v>
      </c>
      <c r="G457" s="12" t="e">
        <f>#REF!</f>
        <v>#REF!</v>
      </c>
      <c r="H457" s="12" t="e">
        <f>#REF!</f>
        <v>#REF!</v>
      </c>
      <c r="I457" s="49" t="s">
        <v>554</v>
      </c>
      <c r="J457" s="12" t="e">
        <f t="shared" si="572"/>
        <v>#REF!</v>
      </c>
      <c r="K457" s="12" t="e">
        <f t="shared" si="573"/>
        <v>#REF!</v>
      </c>
      <c r="L457" s="12" t="e">
        <f t="shared" si="574"/>
        <v>#REF!</v>
      </c>
      <c r="M457" s="12" t="e">
        <f t="shared" si="575"/>
        <v>#REF!</v>
      </c>
      <c r="N457" s="12">
        <v>7.7420000000000003E-2</v>
      </c>
      <c r="O457" s="12" t="e">
        <f t="shared" si="576"/>
        <v>#REF!</v>
      </c>
      <c r="P457" s="50" t="s">
        <v>577</v>
      </c>
      <c r="Z457" s="12">
        <f t="shared" si="577"/>
        <v>0</v>
      </c>
      <c r="AB457" s="12">
        <f t="shared" si="578"/>
        <v>0</v>
      </c>
      <c r="AC457" s="12">
        <f t="shared" si="579"/>
        <v>0</v>
      </c>
      <c r="AD457" s="12" t="e">
        <f t="shared" si="580"/>
        <v>#REF!</v>
      </c>
      <c r="AE457" s="12" t="e">
        <f t="shared" si="581"/>
        <v>#REF!</v>
      </c>
      <c r="AF457" s="12">
        <f t="shared" si="582"/>
        <v>0</v>
      </c>
      <c r="AG457" s="12">
        <f t="shared" si="583"/>
        <v>0</v>
      </c>
      <c r="AH457" s="12">
        <f t="shared" si="584"/>
        <v>0</v>
      </c>
      <c r="AI457" s="10" t="s">
        <v>921</v>
      </c>
      <c r="AJ457" s="12">
        <f t="shared" si="585"/>
        <v>0</v>
      </c>
      <c r="AK457" s="12">
        <f t="shared" si="586"/>
        <v>0</v>
      </c>
      <c r="AL457" s="12" t="e">
        <f t="shared" si="587"/>
        <v>#REF!</v>
      </c>
      <c r="AN457" s="12">
        <v>21</v>
      </c>
      <c r="AO457" s="12" t="e">
        <f>H457*0</f>
        <v>#REF!</v>
      </c>
      <c r="AP457" s="12" t="e">
        <f>H457*(1-0)</f>
        <v>#REF!</v>
      </c>
      <c r="AQ457" s="49" t="s">
        <v>567</v>
      </c>
      <c r="AV457" s="12" t="e">
        <f t="shared" si="588"/>
        <v>#REF!</v>
      </c>
      <c r="AW457" s="12" t="e">
        <f t="shared" si="589"/>
        <v>#REF!</v>
      </c>
      <c r="AX457" s="12" t="e">
        <f t="shared" si="590"/>
        <v>#REF!</v>
      </c>
      <c r="AY457" s="49" t="s">
        <v>580</v>
      </c>
      <c r="AZ457" s="49" t="s">
        <v>951</v>
      </c>
      <c r="BA457" s="10" t="s">
        <v>924</v>
      </c>
      <c r="BC457" s="12" t="e">
        <f t="shared" si="591"/>
        <v>#REF!</v>
      </c>
      <c r="BD457" s="12" t="e">
        <f t="shared" si="592"/>
        <v>#REF!</v>
      </c>
      <c r="BE457" s="12">
        <v>0</v>
      </c>
      <c r="BF457" s="12" t="e">
        <f t="shared" si="593"/>
        <v>#REF!</v>
      </c>
      <c r="BH457" s="12" t="e">
        <f t="shared" si="594"/>
        <v>#REF!</v>
      </c>
      <c r="BI457" s="12" t="e">
        <f t="shared" si="595"/>
        <v>#REF!</v>
      </c>
      <c r="BJ457" s="12" t="e">
        <f t="shared" si="596"/>
        <v>#REF!</v>
      </c>
      <c r="BK457" s="12"/>
      <c r="BL457" s="12">
        <v>732</v>
      </c>
      <c r="BW457" s="12" t="str">
        <f t="shared" si="597"/>
        <v>21</v>
      </c>
      <c r="BX457" s="3" t="s">
        <v>384</v>
      </c>
    </row>
    <row r="458" spans="1:76">
      <c r="A458" s="1" t="s">
        <v>954</v>
      </c>
      <c r="B458" s="2" t="s">
        <v>921</v>
      </c>
      <c r="C458" s="2" t="s">
        <v>385</v>
      </c>
      <c r="D458" s="349" t="s">
        <v>386</v>
      </c>
      <c r="E458" s="342"/>
      <c r="F458" s="2" t="s">
        <v>68</v>
      </c>
      <c r="G458" s="12" t="e">
        <f>#REF!</f>
        <v>#REF!</v>
      </c>
      <c r="H458" s="12" t="e">
        <f>#REF!</f>
        <v>#REF!</v>
      </c>
      <c r="I458" s="49" t="s">
        <v>554</v>
      </c>
      <c r="J458" s="12" t="e">
        <f t="shared" si="572"/>
        <v>#REF!</v>
      </c>
      <c r="K458" s="12" t="e">
        <f t="shared" si="573"/>
        <v>#REF!</v>
      </c>
      <c r="L458" s="12" t="e">
        <f t="shared" si="574"/>
        <v>#REF!</v>
      </c>
      <c r="M458" s="12" t="e">
        <f t="shared" si="575"/>
        <v>#REF!</v>
      </c>
      <c r="N458" s="12">
        <v>6.5329999999999999E-2</v>
      </c>
      <c r="O458" s="12" t="e">
        <f t="shared" si="576"/>
        <v>#REF!</v>
      </c>
      <c r="P458" s="50" t="s">
        <v>605</v>
      </c>
      <c r="Z458" s="12">
        <f t="shared" si="577"/>
        <v>0</v>
      </c>
      <c r="AB458" s="12">
        <f t="shared" si="578"/>
        <v>0</v>
      </c>
      <c r="AC458" s="12">
        <f t="shared" si="579"/>
        <v>0</v>
      </c>
      <c r="AD458" s="12" t="e">
        <f t="shared" si="580"/>
        <v>#REF!</v>
      </c>
      <c r="AE458" s="12" t="e">
        <f t="shared" si="581"/>
        <v>#REF!</v>
      </c>
      <c r="AF458" s="12">
        <f t="shared" si="582"/>
        <v>0</v>
      </c>
      <c r="AG458" s="12">
        <f t="shared" si="583"/>
        <v>0</v>
      </c>
      <c r="AH458" s="12">
        <f t="shared" si="584"/>
        <v>0</v>
      </c>
      <c r="AI458" s="10" t="s">
        <v>921</v>
      </c>
      <c r="AJ458" s="12">
        <f t="shared" si="585"/>
        <v>0</v>
      </c>
      <c r="AK458" s="12">
        <f t="shared" si="586"/>
        <v>0</v>
      </c>
      <c r="AL458" s="12" t="e">
        <f t="shared" si="587"/>
        <v>#REF!</v>
      </c>
      <c r="AN458" s="12">
        <v>21</v>
      </c>
      <c r="AO458" s="12" t="e">
        <f>H458*0.674383346</f>
        <v>#REF!</v>
      </c>
      <c r="AP458" s="12" t="e">
        <f>H458*(1-0.674383346)</f>
        <v>#REF!</v>
      </c>
      <c r="AQ458" s="49" t="s">
        <v>567</v>
      </c>
      <c r="AV458" s="12" t="e">
        <f t="shared" si="588"/>
        <v>#REF!</v>
      </c>
      <c r="AW458" s="12" t="e">
        <f t="shared" si="589"/>
        <v>#REF!</v>
      </c>
      <c r="AX458" s="12" t="e">
        <f t="shared" si="590"/>
        <v>#REF!</v>
      </c>
      <c r="AY458" s="49" t="s">
        <v>580</v>
      </c>
      <c r="AZ458" s="49" t="s">
        <v>951</v>
      </c>
      <c r="BA458" s="10" t="s">
        <v>924</v>
      </c>
      <c r="BC458" s="12" t="e">
        <f t="shared" si="591"/>
        <v>#REF!</v>
      </c>
      <c r="BD458" s="12" t="e">
        <f t="shared" si="592"/>
        <v>#REF!</v>
      </c>
      <c r="BE458" s="12">
        <v>0</v>
      </c>
      <c r="BF458" s="12" t="e">
        <f t="shared" si="593"/>
        <v>#REF!</v>
      </c>
      <c r="BH458" s="12" t="e">
        <f t="shared" si="594"/>
        <v>#REF!</v>
      </c>
      <c r="BI458" s="12" t="e">
        <f t="shared" si="595"/>
        <v>#REF!</v>
      </c>
      <c r="BJ458" s="12" t="e">
        <f t="shared" si="596"/>
        <v>#REF!</v>
      </c>
      <c r="BK458" s="12"/>
      <c r="BL458" s="12">
        <v>732</v>
      </c>
      <c r="BW458" s="12" t="str">
        <f t="shared" si="597"/>
        <v>21</v>
      </c>
      <c r="BX458" s="3" t="s">
        <v>386</v>
      </c>
    </row>
    <row r="459" spans="1:76">
      <c r="A459" s="1" t="s">
        <v>955</v>
      </c>
      <c r="B459" s="2" t="s">
        <v>921</v>
      </c>
      <c r="C459" s="2" t="s">
        <v>387</v>
      </c>
      <c r="D459" s="349" t="s">
        <v>388</v>
      </c>
      <c r="E459" s="342"/>
      <c r="F459" s="2" t="s">
        <v>68</v>
      </c>
      <c r="G459" s="12" t="e">
        <f>#REF!</f>
        <v>#REF!</v>
      </c>
      <c r="H459" s="12" t="e">
        <f>#REF!</f>
        <v>#REF!</v>
      </c>
      <c r="I459" s="49" t="s">
        <v>554</v>
      </c>
      <c r="J459" s="12" t="e">
        <f t="shared" si="572"/>
        <v>#REF!</v>
      </c>
      <c r="K459" s="12" t="e">
        <f t="shared" si="573"/>
        <v>#REF!</v>
      </c>
      <c r="L459" s="12" t="e">
        <f t="shared" si="574"/>
        <v>#REF!</v>
      </c>
      <c r="M459" s="12" t="e">
        <f t="shared" si="575"/>
        <v>#REF!</v>
      </c>
      <c r="N459" s="12">
        <v>7.417E-2</v>
      </c>
      <c r="O459" s="12" t="e">
        <f t="shared" si="576"/>
        <v>#REF!</v>
      </c>
      <c r="P459" s="50" t="s">
        <v>577</v>
      </c>
      <c r="Z459" s="12">
        <f t="shared" si="577"/>
        <v>0</v>
      </c>
      <c r="AB459" s="12">
        <f t="shared" si="578"/>
        <v>0</v>
      </c>
      <c r="AC459" s="12">
        <f t="shared" si="579"/>
        <v>0</v>
      </c>
      <c r="AD459" s="12" t="e">
        <f t="shared" si="580"/>
        <v>#REF!</v>
      </c>
      <c r="AE459" s="12" t="e">
        <f t="shared" si="581"/>
        <v>#REF!</v>
      </c>
      <c r="AF459" s="12">
        <f t="shared" si="582"/>
        <v>0</v>
      </c>
      <c r="AG459" s="12">
        <f t="shared" si="583"/>
        <v>0</v>
      </c>
      <c r="AH459" s="12">
        <f t="shared" si="584"/>
        <v>0</v>
      </c>
      <c r="AI459" s="10" t="s">
        <v>921</v>
      </c>
      <c r="AJ459" s="12">
        <f t="shared" si="585"/>
        <v>0</v>
      </c>
      <c r="AK459" s="12">
        <f t="shared" si="586"/>
        <v>0</v>
      </c>
      <c r="AL459" s="12" t="e">
        <f t="shared" si="587"/>
        <v>#REF!</v>
      </c>
      <c r="AN459" s="12">
        <v>21</v>
      </c>
      <c r="AO459" s="12" t="e">
        <f>H459*0.47508805</f>
        <v>#REF!</v>
      </c>
      <c r="AP459" s="12" t="e">
        <f>H459*(1-0.47508805)</f>
        <v>#REF!</v>
      </c>
      <c r="AQ459" s="49" t="s">
        <v>567</v>
      </c>
      <c r="AV459" s="12" t="e">
        <f t="shared" si="588"/>
        <v>#REF!</v>
      </c>
      <c r="AW459" s="12" t="e">
        <f t="shared" si="589"/>
        <v>#REF!</v>
      </c>
      <c r="AX459" s="12" t="e">
        <f t="shared" si="590"/>
        <v>#REF!</v>
      </c>
      <c r="AY459" s="49" t="s">
        <v>580</v>
      </c>
      <c r="AZ459" s="49" t="s">
        <v>951</v>
      </c>
      <c r="BA459" s="10" t="s">
        <v>924</v>
      </c>
      <c r="BC459" s="12" t="e">
        <f t="shared" si="591"/>
        <v>#REF!</v>
      </c>
      <c r="BD459" s="12" t="e">
        <f t="shared" si="592"/>
        <v>#REF!</v>
      </c>
      <c r="BE459" s="12">
        <v>0</v>
      </c>
      <c r="BF459" s="12" t="e">
        <f t="shared" si="593"/>
        <v>#REF!</v>
      </c>
      <c r="BH459" s="12" t="e">
        <f t="shared" si="594"/>
        <v>#REF!</v>
      </c>
      <c r="BI459" s="12" t="e">
        <f t="shared" si="595"/>
        <v>#REF!</v>
      </c>
      <c r="BJ459" s="12" t="e">
        <f t="shared" si="596"/>
        <v>#REF!</v>
      </c>
      <c r="BK459" s="12"/>
      <c r="BL459" s="12">
        <v>732</v>
      </c>
      <c r="BW459" s="12" t="str">
        <f t="shared" si="597"/>
        <v>21</v>
      </c>
      <c r="BX459" s="3" t="s">
        <v>388</v>
      </c>
    </row>
    <row r="460" spans="1:76">
      <c r="A460" s="1" t="s">
        <v>956</v>
      </c>
      <c r="B460" s="2" t="s">
        <v>921</v>
      </c>
      <c r="C460" s="2" t="s">
        <v>179</v>
      </c>
      <c r="D460" s="349" t="s">
        <v>389</v>
      </c>
      <c r="E460" s="342"/>
      <c r="F460" s="2" t="s">
        <v>21</v>
      </c>
      <c r="G460" s="12" t="e">
        <f>#REF!</f>
        <v>#REF!</v>
      </c>
      <c r="H460" s="12" t="e">
        <f>#REF!</f>
        <v>#REF!</v>
      </c>
      <c r="I460" s="49" t="s">
        <v>554</v>
      </c>
      <c r="J460" s="12" t="e">
        <f t="shared" si="572"/>
        <v>#REF!</v>
      </c>
      <c r="K460" s="12" t="e">
        <f t="shared" si="573"/>
        <v>#REF!</v>
      </c>
      <c r="L460" s="12" t="e">
        <f t="shared" si="574"/>
        <v>#REF!</v>
      </c>
      <c r="M460" s="12" t="e">
        <f t="shared" si="575"/>
        <v>#REF!</v>
      </c>
      <c r="N460" s="12">
        <v>0</v>
      </c>
      <c r="O460" s="12" t="e">
        <f t="shared" si="576"/>
        <v>#REF!</v>
      </c>
      <c r="P460" s="50" t="s">
        <v>21</v>
      </c>
      <c r="Z460" s="12">
        <f t="shared" si="577"/>
        <v>0</v>
      </c>
      <c r="AB460" s="12">
        <f t="shared" si="578"/>
        <v>0</v>
      </c>
      <c r="AC460" s="12">
        <f t="shared" si="579"/>
        <v>0</v>
      </c>
      <c r="AD460" s="12" t="e">
        <f t="shared" si="580"/>
        <v>#REF!</v>
      </c>
      <c r="AE460" s="12" t="e">
        <f t="shared" si="581"/>
        <v>#REF!</v>
      </c>
      <c r="AF460" s="12">
        <f t="shared" si="582"/>
        <v>0</v>
      </c>
      <c r="AG460" s="12">
        <f t="shared" si="583"/>
        <v>0</v>
      </c>
      <c r="AH460" s="12">
        <f t="shared" si="584"/>
        <v>0</v>
      </c>
      <c r="AI460" s="10" t="s">
        <v>921</v>
      </c>
      <c r="AJ460" s="12">
        <f t="shared" si="585"/>
        <v>0</v>
      </c>
      <c r="AK460" s="12">
        <f t="shared" si="586"/>
        <v>0</v>
      </c>
      <c r="AL460" s="12" t="e">
        <f t="shared" si="587"/>
        <v>#REF!</v>
      </c>
      <c r="AN460" s="12">
        <v>21</v>
      </c>
      <c r="AO460" s="12" t="e">
        <f>H460*0.974240082</f>
        <v>#REF!</v>
      </c>
      <c r="AP460" s="12" t="e">
        <f>H460*(1-0.974240082)</f>
        <v>#REF!</v>
      </c>
      <c r="AQ460" s="49" t="s">
        <v>567</v>
      </c>
      <c r="AV460" s="12" t="e">
        <f t="shared" si="588"/>
        <v>#REF!</v>
      </c>
      <c r="AW460" s="12" t="e">
        <f t="shared" si="589"/>
        <v>#REF!</v>
      </c>
      <c r="AX460" s="12" t="e">
        <f t="shared" si="590"/>
        <v>#REF!</v>
      </c>
      <c r="AY460" s="49" t="s">
        <v>580</v>
      </c>
      <c r="AZ460" s="49" t="s">
        <v>951</v>
      </c>
      <c r="BA460" s="10" t="s">
        <v>924</v>
      </c>
      <c r="BC460" s="12" t="e">
        <f t="shared" si="591"/>
        <v>#REF!</v>
      </c>
      <c r="BD460" s="12" t="e">
        <f t="shared" si="592"/>
        <v>#REF!</v>
      </c>
      <c r="BE460" s="12">
        <v>0</v>
      </c>
      <c r="BF460" s="12" t="e">
        <f t="shared" si="593"/>
        <v>#REF!</v>
      </c>
      <c r="BH460" s="12" t="e">
        <f t="shared" si="594"/>
        <v>#REF!</v>
      </c>
      <c r="BI460" s="12" t="e">
        <f t="shared" si="595"/>
        <v>#REF!</v>
      </c>
      <c r="BJ460" s="12" t="e">
        <f t="shared" si="596"/>
        <v>#REF!</v>
      </c>
      <c r="BK460" s="12"/>
      <c r="BL460" s="12">
        <v>732</v>
      </c>
      <c r="BW460" s="12" t="str">
        <f t="shared" si="597"/>
        <v>21</v>
      </c>
      <c r="BX460" s="3" t="s">
        <v>389</v>
      </c>
    </row>
    <row r="461" spans="1:76">
      <c r="A461" s="1" t="s">
        <v>957</v>
      </c>
      <c r="B461" s="2" t="s">
        <v>921</v>
      </c>
      <c r="C461" s="2" t="s">
        <v>390</v>
      </c>
      <c r="D461" s="349" t="s">
        <v>391</v>
      </c>
      <c r="E461" s="342"/>
      <c r="F461" s="2" t="s">
        <v>58</v>
      </c>
      <c r="G461" s="12" t="e">
        <f>#REF!</f>
        <v>#REF!</v>
      </c>
      <c r="H461" s="12" t="e">
        <f>#REF!</f>
        <v>#REF!</v>
      </c>
      <c r="I461" s="49" t="s">
        <v>554</v>
      </c>
      <c r="J461" s="12" t="e">
        <f t="shared" si="572"/>
        <v>#REF!</v>
      </c>
      <c r="K461" s="12" t="e">
        <f t="shared" si="573"/>
        <v>#REF!</v>
      </c>
      <c r="L461" s="12" t="e">
        <f t="shared" si="574"/>
        <v>#REF!</v>
      </c>
      <c r="M461" s="12" t="e">
        <f t="shared" si="575"/>
        <v>#REF!</v>
      </c>
      <c r="N461" s="12">
        <v>1.9820000000000001E-2</v>
      </c>
      <c r="O461" s="12" t="e">
        <f t="shared" si="576"/>
        <v>#REF!</v>
      </c>
      <c r="P461" s="50" t="s">
        <v>605</v>
      </c>
      <c r="Z461" s="12">
        <f t="shared" si="577"/>
        <v>0</v>
      </c>
      <c r="AB461" s="12">
        <f t="shared" si="578"/>
        <v>0</v>
      </c>
      <c r="AC461" s="12">
        <f t="shared" si="579"/>
        <v>0</v>
      </c>
      <c r="AD461" s="12" t="e">
        <f t="shared" si="580"/>
        <v>#REF!</v>
      </c>
      <c r="AE461" s="12" t="e">
        <f t="shared" si="581"/>
        <v>#REF!</v>
      </c>
      <c r="AF461" s="12">
        <f t="shared" si="582"/>
        <v>0</v>
      </c>
      <c r="AG461" s="12">
        <f t="shared" si="583"/>
        <v>0</v>
      </c>
      <c r="AH461" s="12">
        <f t="shared" si="584"/>
        <v>0</v>
      </c>
      <c r="AI461" s="10" t="s">
        <v>921</v>
      </c>
      <c r="AJ461" s="12">
        <f t="shared" si="585"/>
        <v>0</v>
      </c>
      <c r="AK461" s="12">
        <f t="shared" si="586"/>
        <v>0</v>
      </c>
      <c r="AL461" s="12" t="e">
        <f t="shared" si="587"/>
        <v>#REF!</v>
      </c>
      <c r="AN461" s="12">
        <v>21</v>
      </c>
      <c r="AO461" s="12" t="e">
        <f>H461*0.642985042</f>
        <v>#REF!</v>
      </c>
      <c r="AP461" s="12" t="e">
        <f>H461*(1-0.642985042)</f>
        <v>#REF!</v>
      </c>
      <c r="AQ461" s="49" t="s">
        <v>567</v>
      </c>
      <c r="AV461" s="12" t="e">
        <f t="shared" si="588"/>
        <v>#REF!</v>
      </c>
      <c r="AW461" s="12" t="e">
        <f t="shared" si="589"/>
        <v>#REF!</v>
      </c>
      <c r="AX461" s="12" t="e">
        <f t="shared" si="590"/>
        <v>#REF!</v>
      </c>
      <c r="AY461" s="49" t="s">
        <v>580</v>
      </c>
      <c r="AZ461" s="49" t="s">
        <v>951</v>
      </c>
      <c r="BA461" s="10" t="s">
        <v>924</v>
      </c>
      <c r="BC461" s="12" t="e">
        <f t="shared" si="591"/>
        <v>#REF!</v>
      </c>
      <c r="BD461" s="12" t="e">
        <f t="shared" si="592"/>
        <v>#REF!</v>
      </c>
      <c r="BE461" s="12">
        <v>0</v>
      </c>
      <c r="BF461" s="12" t="e">
        <f t="shared" si="593"/>
        <v>#REF!</v>
      </c>
      <c r="BH461" s="12" t="e">
        <f t="shared" si="594"/>
        <v>#REF!</v>
      </c>
      <c r="BI461" s="12" t="e">
        <f t="shared" si="595"/>
        <v>#REF!</v>
      </c>
      <c r="BJ461" s="12" t="e">
        <f t="shared" si="596"/>
        <v>#REF!</v>
      </c>
      <c r="BK461" s="12"/>
      <c r="BL461" s="12">
        <v>732</v>
      </c>
      <c r="BW461" s="12" t="str">
        <f t="shared" si="597"/>
        <v>21</v>
      </c>
      <c r="BX461" s="3" t="s">
        <v>391</v>
      </c>
    </row>
    <row r="462" spans="1:76" ht="25.5">
      <c r="A462" s="1" t="s">
        <v>958</v>
      </c>
      <c r="B462" s="2" t="s">
        <v>921</v>
      </c>
      <c r="C462" s="2" t="s">
        <v>392</v>
      </c>
      <c r="D462" s="349" t="s">
        <v>446</v>
      </c>
      <c r="E462" s="342"/>
      <c r="F462" s="2" t="s">
        <v>68</v>
      </c>
      <c r="G462" s="12" t="e">
        <f>#REF!</f>
        <v>#REF!</v>
      </c>
      <c r="H462" s="12" t="e">
        <f>#REF!</f>
        <v>#REF!</v>
      </c>
      <c r="I462" s="49" t="s">
        <v>554</v>
      </c>
      <c r="J462" s="12" t="e">
        <f t="shared" si="572"/>
        <v>#REF!</v>
      </c>
      <c r="K462" s="12" t="e">
        <f t="shared" si="573"/>
        <v>#REF!</v>
      </c>
      <c r="L462" s="12" t="e">
        <f t="shared" si="574"/>
        <v>#REF!</v>
      </c>
      <c r="M462" s="12" t="e">
        <f t="shared" si="575"/>
        <v>#REF!</v>
      </c>
      <c r="N462" s="12">
        <v>1.9E-3</v>
      </c>
      <c r="O462" s="12" t="e">
        <f t="shared" si="576"/>
        <v>#REF!</v>
      </c>
      <c r="P462" s="50" t="s">
        <v>605</v>
      </c>
      <c r="Z462" s="12">
        <f t="shared" si="577"/>
        <v>0</v>
      </c>
      <c r="AB462" s="12">
        <f t="shared" si="578"/>
        <v>0</v>
      </c>
      <c r="AC462" s="12">
        <f t="shared" si="579"/>
        <v>0</v>
      </c>
      <c r="AD462" s="12" t="e">
        <f t="shared" si="580"/>
        <v>#REF!</v>
      </c>
      <c r="AE462" s="12" t="e">
        <f t="shared" si="581"/>
        <v>#REF!</v>
      </c>
      <c r="AF462" s="12">
        <f t="shared" si="582"/>
        <v>0</v>
      </c>
      <c r="AG462" s="12">
        <f t="shared" si="583"/>
        <v>0</v>
      </c>
      <c r="AH462" s="12">
        <f t="shared" si="584"/>
        <v>0</v>
      </c>
      <c r="AI462" s="10" t="s">
        <v>921</v>
      </c>
      <c r="AJ462" s="12">
        <f t="shared" si="585"/>
        <v>0</v>
      </c>
      <c r="AK462" s="12">
        <f t="shared" si="586"/>
        <v>0</v>
      </c>
      <c r="AL462" s="12" t="e">
        <f t="shared" si="587"/>
        <v>#REF!</v>
      </c>
      <c r="AN462" s="12">
        <v>21</v>
      </c>
      <c r="AO462" s="12" t="e">
        <f>H462*1</f>
        <v>#REF!</v>
      </c>
      <c r="AP462" s="12" t="e">
        <f>H462*(1-1)</f>
        <v>#REF!</v>
      </c>
      <c r="AQ462" s="49" t="s">
        <v>567</v>
      </c>
      <c r="AV462" s="12" t="e">
        <f t="shared" si="588"/>
        <v>#REF!</v>
      </c>
      <c r="AW462" s="12" t="e">
        <f t="shared" si="589"/>
        <v>#REF!</v>
      </c>
      <c r="AX462" s="12" t="e">
        <f t="shared" si="590"/>
        <v>#REF!</v>
      </c>
      <c r="AY462" s="49" t="s">
        <v>580</v>
      </c>
      <c r="AZ462" s="49" t="s">
        <v>951</v>
      </c>
      <c r="BA462" s="10" t="s">
        <v>924</v>
      </c>
      <c r="BC462" s="12" t="e">
        <f t="shared" si="591"/>
        <v>#REF!</v>
      </c>
      <c r="BD462" s="12" t="e">
        <f t="shared" si="592"/>
        <v>#REF!</v>
      </c>
      <c r="BE462" s="12">
        <v>0</v>
      </c>
      <c r="BF462" s="12" t="e">
        <f t="shared" si="593"/>
        <v>#REF!</v>
      </c>
      <c r="BH462" s="12" t="e">
        <f t="shared" si="594"/>
        <v>#REF!</v>
      </c>
      <c r="BI462" s="12" t="e">
        <f t="shared" si="595"/>
        <v>#REF!</v>
      </c>
      <c r="BJ462" s="12" t="e">
        <f t="shared" si="596"/>
        <v>#REF!</v>
      </c>
      <c r="BK462" s="12"/>
      <c r="BL462" s="12">
        <v>732</v>
      </c>
      <c r="BW462" s="12" t="str">
        <f t="shared" si="597"/>
        <v>21</v>
      </c>
      <c r="BX462" s="3" t="s">
        <v>446</v>
      </c>
    </row>
    <row r="463" spans="1:76">
      <c r="A463" s="46" t="s">
        <v>21</v>
      </c>
      <c r="B463" s="9" t="s">
        <v>921</v>
      </c>
      <c r="C463" s="9" t="s">
        <v>85</v>
      </c>
      <c r="D463" s="359" t="s">
        <v>86</v>
      </c>
      <c r="E463" s="360"/>
      <c r="F463" s="47" t="s">
        <v>20</v>
      </c>
      <c r="G463" s="47" t="s">
        <v>20</v>
      </c>
      <c r="H463" s="47" t="s">
        <v>20</v>
      </c>
      <c r="I463" s="47" t="s">
        <v>20</v>
      </c>
      <c r="J463" s="11" t="e">
        <f>SUM(J464:J474)</f>
        <v>#REF!</v>
      </c>
      <c r="K463" s="11" t="e">
        <f>SUM(K464:K474)</f>
        <v>#REF!</v>
      </c>
      <c r="L463" s="11" t="e">
        <f>SUM(L464:L474)</f>
        <v>#REF!</v>
      </c>
      <c r="M463" s="11" t="e">
        <f>SUM(M464:M474)</f>
        <v>#REF!</v>
      </c>
      <c r="N463" s="10" t="s">
        <v>21</v>
      </c>
      <c r="O463" s="11" t="e">
        <f>SUM(O464:O474)</f>
        <v>#REF!</v>
      </c>
      <c r="P463" s="48" t="s">
        <v>21</v>
      </c>
      <c r="AI463" s="10" t="s">
        <v>921</v>
      </c>
      <c r="AS463" s="11">
        <f>SUM(AJ464:AJ474)</f>
        <v>0</v>
      </c>
      <c r="AT463" s="11">
        <f>SUM(AK464:AK474)</f>
        <v>0</v>
      </c>
      <c r="AU463" s="11" t="e">
        <f>SUM(AL464:AL474)</f>
        <v>#REF!</v>
      </c>
    </row>
    <row r="464" spans="1:76">
      <c r="A464" s="1" t="s">
        <v>959</v>
      </c>
      <c r="B464" s="2" t="s">
        <v>921</v>
      </c>
      <c r="C464" s="2" t="s">
        <v>394</v>
      </c>
      <c r="D464" s="349" t="s">
        <v>395</v>
      </c>
      <c r="E464" s="342"/>
      <c r="F464" s="2" t="s">
        <v>68</v>
      </c>
      <c r="G464" s="12" t="e">
        <f>#REF!</f>
        <v>#REF!</v>
      </c>
      <c r="H464" s="12" t="e">
        <f>#REF!</f>
        <v>#REF!</v>
      </c>
      <c r="I464" s="49" t="s">
        <v>554</v>
      </c>
      <c r="J464" s="12" t="e">
        <f t="shared" ref="J464:J474" si="598">G464*AO464</f>
        <v>#REF!</v>
      </c>
      <c r="K464" s="12" t="e">
        <f t="shared" ref="K464:K474" si="599">G464*AP464</f>
        <v>#REF!</v>
      </c>
      <c r="L464" s="12" t="e">
        <f t="shared" ref="L464:L474" si="600">G464*H464</f>
        <v>#REF!</v>
      </c>
      <c r="M464" s="12" t="e">
        <f t="shared" ref="M464:M474" si="601">L464*(1+BW464/100)</f>
        <v>#REF!</v>
      </c>
      <c r="N464" s="12">
        <v>2.1700000000000001E-3</v>
      </c>
      <c r="O464" s="12" t="e">
        <f t="shared" ref="O464:O474" si="602">G464*N464</f>
        <v>#REF!</v>
      </c>
      <c r="P464" s="50" t="s">
        <v>577</v>
      </c>
      <c r="Z464" s="12">
        <f t="shared" ref="Z464:Z474" si="603">IF(AQ464="5",BJ464,0)</f>
        <v>0</v>
      </c>
      <c r="AB464" s="12">
        <f t="shared" ref="AB464:AB474" si="604">IF(AQ464="1",BH464,0)</f>
        <v>0</v>
      </c>
      <c r="AC464" s="12">
        <f t="shared" ref="AC464:AC474" si="605">IF(AQ464="1",BI464,0)</f>
        <v>0</v>
      </c>
      <c r="AD464" s="12" t="e">
        <f t="shared" ref="AD464:AD474" si="606">IF(AQ464="7",BH464,0)</f>
        <v>#REF!</v>
      </c>
      <c r="AE464" s="12" t="e">
        <f t="shared" ref="AE464:AE474" si="607">IF(AQ464="7",BI464,0)</f>
        <v>#REF!</v>
      </c>
      <c r="AF464" s="12">
        <f t="shared" ref="AF464:AF474" si="608">IF(AQ464="2",BH464,0)</f>
        <v>0</v>
      </c>
      <c r="AG464" s="12">
        <f t="shared" ref="AG464:AG474" si="609">IF(AQ464="2",BI464,0)</f>
        <v>0</v>
      </c>
      <c r="AH464" s="12">
        <f t="shared" ref="AH464:AH474" si="610">IF(AQ464="0",BJ464,0)</f>
        <v>0</v>
      </c>
      <c r="AI464" s="10" t="s">
        <v>921</v>
      </c>
      <c r="AJ464" s="12">
        <f t="shared" ref="AJ464:AJ474" si="611">IF(AN464=0,L464,0)</f>
        <v>0</v>
      </c>
      <c r="AK464" s="12">
        <f t="shared" ref="AK464:AK474" si="612">IF(AN464=12,L464,0)</f>
        <v>0</v>
      </c>
      <c r="AL464" s="12" t="e">
        <f t="shared" ref="AL464:AL474" si="613">IF(AN464=21,L464,0)</f>
        <v>#REF!</v>
      </c>
      <c r="AN464" s="12">
        <v>21</v>
      </c>
      <c r="AO464" s="12" t="e">
        <f>H464*0.593006993</f>
        <v>#REF!</v>
      </c>
      <c r="AP464" s="12" t="e">
        <f>H464*(1-0.593006993)</f>
        <v>#REF!</v>
      </c>
      <c r="AQ464" s="49" t="s">
        <v>567</v>
      </c>
      <c r="AV464" s="12" t="e">
        <f t="shared" ref="AV464:AV474" si="614">AW464+AX464</f>
        <v>#REF!</v>
      </c>
      <c r="AW464" s="12" t="e">
        <f t="shared" ref="AW464:AW474" si="615">G464*AO464</f>
        <v>#REF!</v>
      </c>
      <c r="AX464" s="12" t="e">
        <f t="shared" ref="AX464:AX474" si="616">G464*AP464</f>
        <v>#REF!</v>
      </c>
      <c r="AY464" s="49" t="s">
        <v>588</v>
      </c>
      <c r="AZ464" s="49" t="s">
        <v>951</v>
      </c>
      <c r="BA464" s="10" t="s">
        <v>924</v>
      </c>
      <c r="BC464" s="12" t="e">
        <f t="shared" ref="BC464:BC474" si="617">AW464+AX464</f>
        <v>#REF!</v>
      </c>
      <c r="BD464" s="12" t="e">
        <f t="shared" ref="BD464:BD474" si="618">H464/(100-BE464)*100</f>
        <v>#REF!</v>
      </c>
      <c r="BE464" s="12">
        <v>0</v>
      </c>
      <c r="BF464" s="12" t="e">
        <f t="shared" ref="BF464:BF474" si="619">O464</f>
        <v>#REF!</v>
      </c>
      <c r="BH464" s="12" t="e">
        <f t="shared" ref="BH464:BH474" si="620">G464*AO464</f>
        <v>#REF!</v>
      </c>
      <c r="BI464" s="12" t="e">
        <f t="shared" ref="BI464:BI474" si="621">G464*AP464</f>
        <v>#REF!</v>
      </c>
      <c r="BJ464" s="12" t="e">
        <f t="shared" ref="BJ464:BJ474" si="622">G464*H464</f>
        <v>#REF!</v>
      </c>
      <c r="BK464" s="12"/>
      <c r="BL464" s="12">
        <v>733</v>
      </c>
      <c r="BW464" s="12" t="str">
        <f t="shared" ref="BW464:BW474" si="623">I464</f>
        <v>21</v>
      </c>
      <c r="BX464" s="3" t="s">
        <v>395</v>
      </c>
    </row>
    <row r="465" spans="1:76">
      <c r="A465" s="1" t="s">
        <v>960</v>
      </c>
      <c r="B465" s="2" t="s">
        <v>921</v>
      </c>
      <c r="C465" s="2" t="s">
        <v>396</v>
      </c>
      <c r="D465" s="349" t="s">
        <v>397</v>
      </c>
      <c r="E465" s="342"/>
      <c r="F465" s="2" t="s">
        <v>68</v>
      </c>
      <c r="G465" s="12" t="e">
        <f>#REF!</f>
        <v>#REF!</v>
      </c>
      <c r="H465" s="12" t="e">
        <f>#REF!</f>
        <v>#REF!</v>
      </c>
      <c r="I465" s="49" t="s">
        <v>554</v>
      </c>
      <c r="J465" s="12" t="e">
        <f t="shared" si="598"/>
        <v>#REF!</v>
      </c>
      <c r="K465" s="12" t="e">
        <f t="shared" si="599"/>
        <v>#REF!</v>
      </c>
      <c r="L465" s="12" t="e">
        <f t="shared" si="600"/>
        <v>#REF!</v>
      </c>
      <c r="M465" s="12" t="e">
        <f t="shared" si="601"/>
        <v>#REF!</v>
      </c>
      <c r="N465" s="12">
        <v>2.1000000000000001E-4</v>
      </c>
      <c r="O465" s="12" t="e">
        <f t="shared" si="602"/>
        <v>#REF!</v>
      </c>
      <c r="P465" s="50" t="s">
        <v>577</v>
      </c>
      <c r="Z465" s="12">
        <f t="shared" si="603"/>
        <v>0</v>
      </c>
      <c r="AB465" s="12">
        <f t="shared" si="604"/>
        <v>0</v>
      </c>
      <c r="AC465" s="12">
        <f t="shared" si="605"/>
        <v>0</v>
      </c>
      <c r="AD465" s="12" t="e">
        <f t="shared" si="606"/>
        <v>#REF!</v>
      </c>
      <c r="AE465" s="12" t="e">
        <f t="shared" si="607"/>
        <v>#REF!</v>
      </c>
      <c r="AF465" s="12">
        <f t="shared" si="608"/>
        <v>0</v>
      </c>
      <c r="AG465" s="12">
        <f t="shared" si="609"/>
        <v>0</v>
      </c>
      <c r="AH465" s="12">
        <f t="shared" si="610"/>
        <v>0</v>
      </c>
      <c r="AI465" s="10" t="s">
        <v>921</v>
      </c>
      <c r="AJ465" s="12">
        <f t="shared" si="611"/>
        <v>0</v>
      </c>
      <c r="AK465" s="12">
        <f t="shared" si="612"/>
        <v>0</v>
      </c>
      <c r="AL465" s="12" t="e">
        <f t="shared" si="613"/>
        <v>#REF!</v>
      </c>
      <c r="AN465" s="12">
        <v>21</v>
      </c>
      <c r="AO465" s="12" t="e">
        <f>H465*0.236903409</f>
        <v>#REF!</v>
      </c>
      <c r="AP465" s="12" t="e">
        <f>H465*(1-0.236903409)</f>
        <v>#REF!</v>
      </c>
      <c r="AQ465" s="49" t="s">
        <v>567</v>
      </c>
      <c r="AV465" s="12" t="e">
        <f t="shared" si="614"/>
        <v>#REF!</v>
      </c>
      <c r="AW465" s="12" t="e">
        <f t="shared" si="615"/>
        <v>#REF!</v>
      </c>
      <c r="AX465" s="12" t="e">
        <f t="shared" si="616"/>
        <v>#REF!</v>
      </c>
      <c r="AY465" s="49" t="s">
        <v>588</v>
      </c>
      <c r="AZ465" s="49" t="s">
        <v>951</v>
      </c>
      <c r="BA465" s="10" t="s">
        <v>924</v>
      </c>
      <c r="BC465" s="12" t="e">
        <f t="shared" si="617"/>
        <v>#REF!</v>
      </c>
      <c r="BD465" s="12" t="e">
        <f t="shared" si="618"/>
        <v>#REF!</v>
      </c>
      <c r="BE465" s="12">
        <v>0</v>
      </c>
      <c r="BF465" s="12" t="e">
        <f t="shared" si="619"/>
        <v>#REF!</v>
      </c>
      <c r="BH465" s="12" t="e">
        <f t="shared" si="620"/>
        <v>#REF!</v>
      </c>
      <c r="BI465" s="12" t="e">
        <f t="shared" si="621"/>
        <v>#REF!</v>
      </c>
      <c r="BJ465" s="12" t="e">
        <f t="shared" si="622"/>
        <v>#REF!</v>
      </c>
      <c r="BK465" s="12"/>
      <c r="BL465" s="12">
        <v>733</v>
      </c>
      <c r="BW465" s="12" t="str">
        <f t="shared" si="623"/>
        <v>21</v>
      </c>
      <c r="BX465" s="3" t="s">
        <v>397</v>
      </c>
    </row>
    <row r="466" spans="1:76">
      <c r="A466" s="1" t="s">
        <v>961</v>
      </c>
      <c r="B466" s="2" t="s">
        <v>921</v>
      </c>
      <c r="C466" s="2" t="s">
        <v>398</v>
      </c>
      <c r="D466" s="349" t="s">
        <v>399</v>
      </c>
      <c r="E466" s="342"/>
      <c r="F466" s="2" t="s">
        <v>68</v>
      </c>
      <c r="G466" s="12" t="e">
        <f>#REF!</f>
        <v>#REF!</v>
      </c>
      <c r="H466" s="12" t="e">
        <f>#REF!</f>
        <v>#REF!</v>
      </c>
      <c r="I466" s="49" t="s">
        <v>554</v>
      </c>
      <c r="J466" s="12" t="e">
        <f t="shared" si="598"/>
        <v>#REF!</v>
      </c>
      <c r="K466" s="12" t="e">
        <f t="shared" si="599"/>
        <v>#REF!</v>
      </c>
      <c r="L466" s="12" t="e">
        <f t="shared" si="600"/>
        <v>#REF!</v>
      </c>
      <c r="M466" s="12" t="e">
        <f t="shared" si="601"/>
        <v>#REF!</v>
      </c>
      <c r="N466" s="12">
        <v>1.3999999999999999E-4</v>
      </c>
      <c r="O466" s="12" t="e">
        <f t="shared" si="602"/>
        <v>#REF!</v>
      </c>
      <c r="P466" s="50" t="s">
        <v>605</v>
      </c>
      <c r="Z466" s="12">
        <f t="shared" si="603"/>
        <v>0</v>
      </c>
      <c r="AB466" s="12">
        <f t="shared" si="604"/>
        <v>0</v>
      </c>
      <c r="AC466" s="12">
        <f t="shared" si="605"/>
        <v>0</v>
      </c>
      <c r="AD466" s="12" t="e">
        <f t="shared" si="606"/>
        <v>#REF!</v>
      </c>
      <c r="AE466" s="12" t="e">
        <f t="shared" si="607"/>
        <v>#REF!</v>
      </c>
      <c r="AF466" s="12">
        <f t="shared" si="608"/>
        <v>0</v>
      </c>
      <c r="AG466" s="12">
        <f t="shared" si="609"/>
        <v>0</v>
      </c>
      <c r="AH466" s="12">
        <f t="shared" si="610"/>
        <v>0</v>
      </c>
      <c r="AI466" s="10" t="s">
        <v>921</v>
      </c>
      <c r="AJ466" s="12">
        <f t="shared" si="611"/>
        <v>0</v>
      </c>
      <c r="AK466" s="12">
        <f t="shared" si="612"/>
        <v>0</v>
      </c>
      <c r="AL466" s="12" t="e">
        <f t="shared" si="613"/>
        <v>#REF!</v>
      </c>
      <c r="AN466" s="12">
        <v>21</v>
      </c>
      <c r="AO466" s="12" t="e">
        <f>H466*0.345851429</f>
        <v>#REF!</v>
      </c>
      <c r="AP466" s="12" t="e">
        <f>H466*(1-0.345851429)</f>
        <v>#REF!</v>
      </c>
      <c r="AQ466" s="49" t="s">
        <v>567</v>
      </c>
      <c r="AV466" s="12" t="e">
        <f t="shared" si="614"/>
        <v>#REF!</v>
      </c>
      <c r="AW466" s="12" t="e">
        <f t="shared" si="615"/>
        <v>#REF!</v>
      </c>
      <c r="AX466" s="12" t="e">
        <f t="shared" si="616"/>
        <v>#REF!</v>
      </c>
      <c r="AY466" s="49" t="s">
        <v>588</v>
      </c>
      <c r="AZ466" s="49" t="s">
        <v>951</v>
      </c>
      <c r="BA466" s="10" t="s">
        <v>924</v>
      </c>
      <c r="BC466" s="12" t="e">
        <f t="shared" si="617"/>
        <v>#REF!</v>
      </c>
      <c r="BD466" s="12" t="e">
        <f t="shared" si="618"/>
        <v>#REF!</v>
      </c>
      <c r="BE466" s="12">
        <v>0</v>
      </c>
      <c r="BF466" s="12" t="e">
        <f t="shared" si="619"/>
        <v>#REF!</v>
      </c>
      <c r="BH466" s="12" t="e">
        <f t="shared" si="620"/>
        <v>#REF!</v>
      </c>
      <c r="BI466" s="12" t="e">
        <f t="shared" si="621"/>
        <v>#REF!</v>
      </c>
      <c r="BJ466" s="12" t="e">
        <f t="shared" si="622"/>
        <v>#REF!</v>
      </c>
      <c r="BK466" s="12"/>
      <c r="BL466" s="12">
        <v>733</v>
      </c>
      <c r="BW466" s="12" t="str">
        <f t="shared" si="623"/>
        <v>21</v>
      </c>
      <c r="BX466" s="3" t="s">
        <v>399</v>
      </c>
    </row>
    <row r="467" spans="1:76">
      <c r="A467" s="1" t="s">
        <v>962</v>
      </c>
      <c r="B467" s="2" t="s">
        <v>921</v>
      </c>
      <c r="C467" s="2" t="s">
        <v>400</v>
      </c>
      <c r="D467" s="349" t="s">
        <v>401</v>
      </c>
      <c r="E467" s="342"/>
      <c r="F467" s="2" t="s">
        <v>63</v>
      </c>
      <c r="G467" s="12" t="e">
        <f>#REF!</f>
        <v>#REF!</v>
      </c>
      <c r="H467" s="12" t="e">
        <f>#REF!</f>
        <v>#REF!</v>
      </c>
      <c r="I467" s="49" t="s">
        <v>554</v>
      </c>
      <c r="J467" s="12" t="e">
        <f t="shared" si="598"/>
        <v>#REF!</v>
      </c>
      <c r="K467" s="12" t="e">
        <f t="shared" si="599"/>
        <v>#REF!</v>
      </c>
      <c r="L467" s="12" t="e">
        <f t="shared" si="600"/>
        <v>#REF!</v>
      </c>
      <c r="M467" s="12" t="e">
        <f t="shared" si="601"/>
        <v>#REF!</v>
      </c>
      <c r="N467" s="12">
        <v>8.4700000000000001E-3</v>
      </c>
      <c r="O467" s="12" t="e">
        <f t="shared" si="602"/>
        <v>#REF!</v>
      </c>
      <c r="P467" s="50" t="s">
        <v>577</v>
      </c>
      <c r="Z467" s="12">
        <f t="shared" si="603"/>
        <v>0</v>
      </c>
      <c r="AB467" s="12">
        <f t="shared" si="604"/>
        <v>0</v>
      </c>
      <c r="AC467" s="12">
        <f t="shared" si="605"/>
        <v>0</v>
      </c>
      <c r="AD467" s="12" t="e">
        <f t="shared" si="606"/>
        <v>#REF!</v>
      </c>
      <c r="AE467" s="12" t="e">
        <f t="shared" si="607"/>
        <v>#REF!</v>
      </c>
      <c r="AF467" s="12">
        <f t="shared" si="608"/>
        <v>0</v>
      </c>
      <c r="AG467" s="12">
        <f t="shared" si="609"/>
        <v>0</v>
      </c>
      <c r="AH467" s="12">
        <f t="shared" si="610"/>
        <v>0</v>
      </c>
      <c r="AI467" s="10" t="s">
        <v>921</v>
      </c>
      <c r="AJ467" s="12">
        <f t="shared" si="611"/>
        <v>0</v>
      </c>
      <c r="AK467" s="12">
        <f t="shared" si="612"/>
        <v>0</v>
      </c>
      <c r="AL467" s="12" t="e">
        <f t="shared" si="613"/>
        <v>#REF!</v>
      </c>
      <c r="AN467" s="12">
        <v>21</v>
      </c>
      <c r="AO467" s="12" t="e">
        <f>H467*0.193150786</f>
        <v>#REF!</v>
      </c>
      <c r="AP467" s="12" t="e">
        <f>H467*(1-0.193150786)</f>
        <v>#REF!</v>
      </c>
      <c r="AQ467" s="49" t="s">
        <v>567</v>
      </c>
      <c r="AV467" s="12" t="e">
        <f t="shared" si="614"/>
        <v>#REF!</v>
      </c>
      <c r="AW467" s="12" t="e">
        <f t="shared" si="615"/>
        <v>#REF!</v>
      </c>
      <c r="AX467" s="12" t="e">
        <f t="shared" si="616"/>
        <v>#REF!</v>
      </c>
      <c r="AY467" s="49" t="s">
        <v>588</v>
      </c>
      <c r="AZ467" s="49" t="s">
        <v>951</v>
      </c>
      <c r="BA467" s="10" t="s">
        <v>924</v>
      </c>
      <c r="BC467" s="12" t="e">
        <f t="shared" si="617"/>
        <v>#REF!</v>
      </c>
      <c r="BD467" s="12" t="e">
        <f t="shared" si="618"/>
        <v>#REF!</v>
      </c>
      <c r="BE467" s="12">
        <v>0</v>
      </c>
      <c r="BF467" s="12" t="e">
        <f t="shared" si="619"/>
        <v>#REF!</v>
      </c>
      <c r="BH467" s="12" t="e">
        <f t="shared" si="620"/>
        <v>#REF!</v>
      </c>
      <c r="BI467" s="12" t="e">
        <f t="shared" si="621"/>
        <v>#REF!</v>
      </c>
      <c r="BJ467" s="12" t="e">
        <f t="shared" si="622"/>
        <v>#REF!</v>
      </c>
      <c r="BK467" s="12"/>
      <c r="BL467" s="12">
        <v>733</v>
      </c>
      <c r="BW467" s="12" t="str">
        <f t="shared" si="623"/>
        <v>21</v>
      </c>
      <c r="BX467" s="3" t="s">
        <v>401</v>
      </c>
    </row>
    <row r="468" spans="1:76">
      <c r="A468" s="1" t="s">
        <v>963</v>
      </c>
      <c r="B468" s="2" t="s">
        <v>921</v>
      </c>
      <c r="C468" s="2" t="s">
        <v>402</v>
      </c>
      <c r="D468" s="349" t="s">
        <v>403</v>
      </c>
      <c r="E468" s="342"/>
      <c r="F468" s="2" t="s">
        <v>63</v>
      </c>
      <c r="G468" s="12" t="e">
        <f>#REF!</f>
        <v>#REF!</v>
      </c>
      <c r="H468" s="12" t="e">
        <f>#REF!</f>
        <v>#REF!</v>
      </c>
      <c r="I468" s="49" t="s">
        <v>554</v>
      </c>
      <c r="J468" s="12" t="e">
        <f t="shared" si="598"/>
        <v>#REF!</v>
      </c>
      <c r="K468" s="12" t="e">
        <f t="shared" si="599"/>
        <v>#REF!</v>
      </c>
      <c r="L468" s="12" t="e">
        <f t="shared" si="600"/>
        <v>#REF!</v>
      </c>
      <c r="M468" s="12" t="e">
        <f t="shared" si="601"/>
        <v>#REF!</v>
      </c>
      <c r="N468" s="12">
        <v>7.6E-3</v>
      </c>
      <c r="O468" s="12" t="e">
        <f t="shared" si="602"/>
        <v>#REF!</v>
      </c>
      <c r="P468" s="50" t="s">
        <v>605</v>
      </c>
      <c r="Z468" s="12">
        <f t="shared" si="603"/>
        <v>0</v>
      </c>
      <c r="AB468" s="12">
        <f t="shared" si="604"/>
        <v>0</v>
      </c>
      <c r="AC468" s="12">
        <f t="shared" si="605"/>
        <v>0</v>
      </c>
      <c r="AD468" s="12" t="e">
        <f t="shared" si="606"/>
        <v>#REF!</v>
      </c>
      <c r="AE468" s="12" t="e">
        <f t="shared" si="607"/>
        <v>#REF!</v>
      </c>
      <c r="AF468" s="12">
        <f t="shared" si="608"/>
        <v>0</v>
      </c>
      <c r="AG468" s="12">
        <f t="shared" si="609"/>
        <v>0</v>
      </c>
      <c r="AH468" s="12">
        <f t="shared" si="610"/>
        <v>0</v>
      </c>
      <c r="AI468" s="10" t="s">
        <v>921</v>
      </c>
      <c r="AJ468" s="12">
        <f t="shared" si="611"/>
        <v>0</v>
      </c>
      <c r="AK468" s="12">
        <f t="shared" si="612"/>
        <v>0</v>
      </c>
      <c r="AL468" s="12" t="e">
        <f t="shared" si="613"/>
        <v>#REF!</v>
      </c>
      <c r="AN468" s="12">
        <v>21</v>
      </c>
      <c r="AO468" s="12" t="e">
        <f>H468*0.583448607</f>
        <v>#REF!</v>
      </c>
      <c r="AP468" s="12" t="e">
        <f>H468*(1-0.583448607)</f>
        <v>#REF!</v>
      </c>
      <c r="AQ468" s="49" t="s">
        <v>567</v>
      </c>
      <c r="AV468" s="12" t="e">
        <f t="shared" si="614"/>
        <v>#REF!</v>
      </c>
      <c r="AW468" s="12" t="e">
        <f t="shared" si="615"/>
        <v>#REF!</v>
      </c>
      <c r="AX468" s="12" t="e">
        <f t="shared" si="616"/>
        <v>#REF!</v>
      </c>
      <c r="AY468" s="49" t="s">
        <v>588</v>
      </c>
      <c r="AZ468" s="49" t="s">
        <v>951</v>
      </c>
      <c r="BA468" s="10" t="s">
        <v>924</v>
      </c>
      <c r="BC468" s="12" t="e">
        <f t="shared" si="617"/>
        <v>#REF!</v>
      </c>
      <c r="BD468" s="12" t="e">
        <f t="shared" si="618"/>
        <v>#REF!</v>
      </c>
      <c r="BE468" s="12">
        <v>0</v>
      </c>
      <c r="BF468" s="12" t="e">
        <f t="shared" si="619"/>
        <v>#REF!</v>
      </c>
      <c r="BH468" s="12" t="e">
        <f t="shared" si="620"/>
        <v>#REF!</v>
      </c>
      <c r="BI468" s="12" t="e">
        <f t="shared" si="621"/>
        <v>#REF!</v>
      </c>
      <c r="BJ468" s="12" t="e">
        <f t="shared" si="622"/>
        <v>#REF!</v>
      </c>
      <c r="BK468" s="12"/>
      <c r="BL468" s="12">
        <v>733</v>
      </c>
      <c r="BW468" s="12" t="str">
        <f t="shared" si="623"/>
        <v>21</v>
      </c>
      <c r="BX468" s="3" t="s">
        <v>403</v>
      </c>
    </row>
    <row r="469" spans="1:76">
      <c r="A469" s="1" t="s">
        <v>964</v>
      </c>
      <c r="B469" s="2" t="s">
        <v>921</v>
      </c>
      <c r="C469" s="2" t="s">
        <v>404</v>
      </c>
      <c r="D469" s="349" t="s">
        <v>405</v>
      </c>
      <c r="E469" s="342"/>
      <c r="F469" s="2" t="s">
        <v>63</v>
      </c>
      <c r="G469" s="12" t="e">
        <f>#REF!</f>
        <v>#REF!</v>
      </c>
      <c r="H469" s="12" t="e">
        <f>#REF!</f>
        <v>#REF!</v>
      </c>
      <c r="I469" s="49" t="s">
        <v>554</v>
      </c>
      <c r="J469" s="12" t="e">
        <f t="shared" si="598"/>
        <v>#REF!</v>
      </c>
      <c r="K469" s="12" t="e">
        <f t="shared" si="599"/>
        <v>#REF!</v>
      </c>
      <c r="L469" s="12" t="e">
        <f t="shared" si="600"/>
        <v>#REF!</v>
      </c>
      <c r="M469" s="12" t="e">
        <f t="shared" si="601"/>
        <v>#REF!</v>
      </c>
      <c r="N469" s="12">
        <v>4.8700000000000002E-3</v>
      </c>
      <c r="O469" s="12" t="e">
        <f t="shared" si="602"/>
        <v>#REF!</v>
      </c>
      <c r="P469" s="50" t="s">
        <v>577</v>
      </c>
      <c r="Z469" s="12">
        <f t="shared" si="603"/>
        <v>0</v>
      </c>
      <c r="AB469" s="12">
        <f t="shared" si="604"/>
        <v>0</v>
      </c>
      <c r="AC469" s="12">
        <f t="shared" si="605"/>
        <v>0</v>
      </c>
      <c r="AD469" s="12" t="e">
        <f t="shared" si="606"/>
        <v>#REF!</v>
      </c>
      <c r="AE469" s="12" t="e">
        <f t="shared" si="607"/>
        <v>#REF!</v>
      </c>
      <c r="AF469" s="12">
        <f t="shared" si="608"/>
        <v>0</v>
      </c>
      <c r="AG469" s="12">
        <f t="shared" si="609"/>
        <v>0</v>
      </c>
      <c r="AH469" s="12">
        <f t="shared" si="610"/>
        <v>0</v>
      </c>
      <c r="AI469" s="10" t="s">
        <v>921</v>
      </c>
      <c r="AJ469" s="12">
        <f t="shared" si="611"/>
        <v>0</v>
      </c>
      <c r="AK469" s="12">
        <f t="shared" si="612"/>
        <v>0</v>
      </c>
      <c r="AL469" s="12" t="e">
        <f t="shared" si="613"/>
        <v>#REF!</v>
      </c>
      <c r="AN469" s="12">
        <v>21</v>
      </c>
      <c r="AO469" s="12" t="e">
        <f>H469*0.106027821</f>
        <v>#REF!</v>
      </c>
      <c r="AP469" s="12" t="e">
        <f>H469*(1-0.106027821)</f>
        <v>#REF!</v>
      </c>
      <c r="AQ469" s="49" t="s">
        <v>567</v>
      </c>
      <c r="AV469" s="12" t="e">
        <f t="shared" si="614"/>
        <v>#REF!</v>
      </c>
      <c r="AW469" s="12" t="e">
        <f t="shared" si="615"/>
        <v>#REF!</v>
      </c>
      <c r="AX469" s="12" t="e">
        <f t="shared" si="616"/>
        <v>#REF!</v>
      </c>
      <c r="AY469" s="49" t="s">
        <v>588</v>
      </c>
      <c r="AZ469" s="49" t="s">
        <v>951</v>
      </c>
      <c r="BA469" s="10" t="s">
        <v>924</v>
      </c>
      <c r="BC469" s="12" t="e">
        <f t="shared" si="617"/>
        <v>#REF!</v>
      </c>
      <c r="BD469" s="12" t="e">
        <f t="shared" si="618"/>
        <v>#REF!</v>
      </c>
      <c r="BE469" s="12">
        <v>0</v>
      </c>
      <c r="BF469" s="12" t="e">
        <f t="shared" si="619"/>
        <v>#REF!</v>
      </c>
      <c r="BH469" s="12" t="e">
        <f t="shared" si="620"/>
        <v>#REF!</v>
      </c>
      <c r="BI469" s="12" t="e">
        <f t="shared" si="621"/>
        <v>#REF!</v>
      </c>
      <c r="BJ469" s="12" t="e">
        <f t="shared" si="622"/>
        <v>#REF!</v>
      </c>
      <c r="BK469" s="12"/>
      <c r="BL469" s="12">
        <v>733</v>
      </c>
      <c r="BW469" s="12" t="str">
        <f t="shared" si="623"/>
        <v>21</v>
      </c>
      <c r="BX469" s="3" t="s">
        <v>405</v>
      </c>
    </row>
    <row r="470" spans="1:76">
      <c r="A470" s="1" t="s">
        <v>965</v>
      </c>
      <c r="B470" s="2" t="s">
        <v>921</v>
      </c>
      <c r="C470" s="2" t="s">
        <v>406</v>
      </c>
      <c r="D470" s="349" t="s">
        <v>407</v>
      </c>
      <c r="E470" s="342"/>
      <c r="F470" s="2" t="s">
        <v>63</v>
      </c>
      <c r="G470" s="12" t="e">
        <f>#REF!</f>
        <v>#REF!</v>
      </c>
      <c r="H470" s="12" t="e">
        <f>#REF!</f>
        <v>#REF!</v>
      </c>
      <c r="I470" s="49" t="s">
        <v>554</v>
      </c>
      <c r="J470" s="12" t="e">
        <f t="shared" si="598"/>
        <v>#REF!</v>
      </c>
      <c r="K470" s="12" t="e">
        <f t="shared" si="599"/>
        <v>#REF!</v>
      </c>
      <c r="L470" s="12" t="e">
        <f t="shared" si="600"/>
        <v>#REF!</v>
      </c>
      <c r="M470" s="12" t="e">
        <f t="shared" si="601"/>
        <v>#REF!</v>
      </c>
      <c r="N470" s="12">
        <v>5.8500000000000002E-3</v>
      </c>
      <c r="O470" s="12" t="e">
        <f t="shared" si="602"/>
        <v>#REF!</v>
      </c>
      <c r="P470" s="50" t="s">
        <v>577</v>
      </c>
      <c r="Z470" s="12">
        <f t="shared" si="603"/>
        <v>0</v>
      </c>
      <c r="AB470" s="12">
        <f t="shared" si="604"/>
        <v>0</v>
      </c>
      <c r="AC470" s="12">
        <f t="shared" si="605"/>
        <v>0</v>
      </c>
      <c r="AD470" s="12" t="e">
        <f t="shared" si="606"/>
        <v>#REF!</v>
      </c>
      <c r="AE470" s="12" t="e">
        <f t="shared" si="607"/>
        <v>#REF!</v>
      </c>
      <c r="AF470" s="12">
        <f t="shared" si="608"/>
        <v>0</v>
      </c>
      <c r="AG470" s="12">
        <f t="shared" si="609"/>
        <v>0</v>
      </c>
      <c r="AH470" s="12">
        <f t="shared" si="610"/>
        <v>0</v>
      </c>
      <c r="AI470" s="10" t="s">
        <v>921</v>
      </c>
      <c r="AJ470" s="12">
        <f t="shared" si="611"/>
        <v>0</v>
      </c>
      <c r="AK470" s="12">
        <f t="shared" si="612"/>
        <v>0</v>
      </c>
      <c r="AL470" s="12" t="e">
        <f t="shared" si="613"/>
        <v>#REF!</v>
      </c>
      <c r="AN470" s="12">
        <v>21</v>
      </c>
      <c r="AO470" s="12" t="e">
        <f>H470*0.087066895</f>
        <v>#REF!</v>
      </c>
      <c r="AP470" s="12" t="e">
        <f>H470*(1-0.087066895)</f>
        <v>#REF!</v>
      </c>
      <c r="AQ470" s="49" t="s">
        <v>567</v>
      </c>
      <c r="AV470" s="12" t="e">
        <f t="shared" si="614"/>
        <v>#REF!</v>
      </c>
      <c r="AW470" s="12" t="e">
        <f t="shared" si="615"/>
        <v>#REF!</v>
      </c>
      <c r="AX470" s="12" t="e">
        <f t="shared" si="616"/>
        <v>#REF!</v>
      </c>
      <c r="AY470" s="49" t="s">
        <v>588</v>
      </c>
      <c r="AZ470" s="49" t="s">
        <v>951</v>
      </c>
      <c r="BA470" s="10" t="s">
        <v>924</v>
      </c>
      <c r="BC470" s="12" t="e">
        <f t="shared" si="617"/>
        <v>#REF!</v>
      </c>
      <c r="BD470" s="12" t="e">
        <f t="shared" si="618"/>
        <v>#REF!</v>
      </c>
      <c r="BE470" s="12">
        <v>0</v>
      </c>
      <c r="BF470" s="12" t="e">
        <f t="shared" si="619"/>
        <v>#REF!</v>
      </c>
      <c r="BH470" s="12" t="e">
        <f t="shared" si="620"/>
        <v>#REF!</v>
      </c>
      <c r="BI470" s="12" t="e">
        <f t="shared" si="621"/>
        <v>#REF!</v>
      </c>
      <c r="BJ470" s="12" t="e">
        <f t="shared" si="622"/>
        <v>#REF!</v>
      </c>
      <c r="BK470" s="12"/>
      <c r="BL470" s="12">
        <v>733</v>
      </c>
      <c r="BW470" s="12" t="str">
        <f t="shared" si="623"/>
        <v>21</v>
      </c>
      <c r="BX470" s="3" t="s">
        <v>407</v>
      </c>
    </row>
    <row r="471" spans="1:76">
      <c r="A471" s="1" t="s">
        <v>966</v>
      </c>
      <c r="B471" s="2" t="s">
        <v>921</v>
      </c>
      <c r="C471" s="2" t="s">
        <v>189</v>
      </c>
      <c r="D471" s="349" t="s">
        <v>190</v>
      </c>
      <c r="E471" s="342"/>
      <c r="F471" s="2" t="s">
        <v>63</v>
      </c>
      <c r="G471" s="12" t="e">
        <f>#REF!</f>
        <v>#REF!</v>
      </c>
      <c r="H471" s="12" t="e">
        <f>#REF!</f>
        <v>#REF!</v>
      </c>
      <c r="I471" s="49" t="s">
        <v>554</v>
      </c>
      <c r="J471" s="12" t="e">
        <f t="shared" si="598"/>
        <v>#REF!</v>
      </c>
      <c r="K471" s="12" t="e">
        <f t="shared" si="599"/>
        <v>#REF!</v>
      </c>
      <c r="L471" s="12" t="e">
        <f t="shared" si="600"/>
        <v>#REF!</v>
      </c>
      <c r="M471" s="12" t="e">
        <f t="shared" si="601"/>
        <v>#REF!</v>
      </c>
      <c r="N471" s="12">
        <v>0</v>
      </c>
      <c r="O471" s="12" t="e">
        <f t="shared" si="602"/>
        <v>#REF!</v>
      </c>
      <c r="P471" s="50" t="s">
        <v>21</v>
      </c>
      <c r="Z471" s="12">
        <f t="shared" si="603"/>
        <v>0</v>
      </c>
      <c r="AB471" s="12">
        <f t="shared" si="604"/>
        <v>0</v>
      </c>
      <c r="AC471" s="12">
        <f t="shared" si="605"/>
        <v>0</v>
      </c>
      <c r="AD471" s="12" t="e">
        <f t="shared" si="606"/>
        <v>#REF!</v>
      </c>
      <c r="AE471" s="12" t="e">
        <f t="shared" si="607"/>
        <v>#REF!</v>
      </c>
      <c r="AF471" s="12">
        <f t="shared" si="608"/>
        <v>0</v>
      </c>
      <c r="AG471" s="12">
        <f t="shared" si="609"/>
        <v>0</v>
      </c>
      <c r="AH471" s="12">
        <f t="shared" si="610"/>
        <v>0</v>
      </c>
      <c r="AI471" s="10" t="s">
        <v>921</v>
      </c>
      <c r="AJ471" s="12">
        <f t="shared" si="611"/>
        <v>0</v>
      </c>
      <c r="AK471" s="12">
        <f t="shared" si="612"/>
        <v>0</v>
      </c>
      <c r="AL471" s="12" t="e">
        <f t="shared" si="613"/>
        <v>#REF!</v>
      </c>
      <c r="AN471" s="12">
        <v>21</v>
      </c>
      <c r="AO471" s="12" t="e">
        <f>H471*0</f>
        <v>#REF!</v>
      </c>
      <c r="AP471" s="12" t="e">
        <f>H471*(1-0)</f>
        <v>#REF!</v>
      </c>
      <c r="AQ471" s="49" t="s">
        <v>567</v>
      </c>
      <c r="AV471" s="12" t="e">
        <f t="shared" si="614"/>
        <v>#REF!</v>
      </c>
      <c r="AW471" s="12" t="e">
        <f t="shared" si="615"/>
        <v>#REF!</v>
      </c>
      <c r="AX471" s="12" t="e">
        <f t="shared" si="616"/>
        <v>#REF!</v>
      </c>
      <c r="AY471" s="49" t="s">
        <v>588</v>
      </c>
      <c r="AZ471" s="49" t="s">
        <v>951</v>
      </c>
      <c r="BA471" s="10" t="s">
        <v>924</v>
      </c>
      <c r="BC471" s="12" t="e">
        <f t="shared" si="617"/>
        <v>#REF!</v>
      </c>
      <c r="BD471" s="12" t="e">
        <f t="shared" si="618"/>
        <v>#REF!</v>
      </c>
      <c r="BE471" s="12">
        <v>0</v>
      </c>
      <c r="BF471" s="12" t="e">
        <f t="shared" si="619"/>
        <v>#REF!</v>
      </c>
      <c r="BH471" s="12" t="e">
        <f t="shared" si="620"/>
        <v>#REF!</v>
      </c>
      <c r="BI471" s="12" t="e">
        <f t="shared" si="621"/>
        <v>#REF!</v>
      </c>
      <c r="BJ471" s="12" t="e">
        <f t="shared" si="622"/>
        <v>#REF!</v>
      </c>
      <c r="BK471" s="12"/>
      <c r="BL471" s="12">
        <v>733</v>
      </c>
      <c r="BW471" s="12" t="str">
        <f t="shared" si="623"/>
        <v>21</v>
      </c>
      <c r="BX471" s="3" t="s">
        <v>190</v>
      </c>
    </row>
    <row r="472" spans="1:76">
      <c r="A472" s="1" t="s">
        <v>967</v>
      </c>
      <c r="B472" s="2" t="s">
        <v>921</v>
      </c>
      <c r="C472" s="2" t="s">
        <v>408</v>
      </c>
      <c r="D472" s="349" t="s">
        <v>409</v>
      </c>
      <c r="E472" s="342"/>
      <c r="F472" s="2" t="s">
        <v>63</v>
      </c>
      <c r="G472" s="12" t="e">
        <f>#REF!</f>
        <v>#REF!</v>
      </c>
      <c r="H472" s="12" t="e">
        <f>#REF!</f>
        <v>#REF!</v>
      </c>
      <c r="I472" s="49" t="s">
        <v>554</v>
      </c>
      <c r="J472" s="12" t="e">
        <f t="shared" si="598"/>
        <v>#REF!</v>
      </c>
      <c r="K472" s="12" t="e">
        <f t="shared" si="599"/>
        <v>#REF!</v>
      </c>
      <c r="L472" s="12" t="e">
        <f t="shared" si="600"/>
        <v>#REF!</v>
      </c>
      <c r="M472" s="12" t="e">
        <f t="shared" si="601"/>
        <v>#REF!</v>
      </c>
      <c r="N472" s="12">
        <v>1.23E-3</v>
      </c>
      <c r="O472" s="12" t="e">
        <f t="shared" si="602"/>
        <v>#REF!</v>
      </c>
      <c r="P472" s="50" t="s">
        <v>577</v>
      </c>
      <c r="Z472" s="12">
        <f t="shared" si="603"/>
        <v>0</v>
      </c>
      <c r="AB472" s="12">
        <f t="shared" si="604"/>
        <v>0</v>
      </c>
      <c r="AC472" s="12">
        <f t="shared" si="605"/>
        <v>0</v>
      </c>
      <c r="AD472" s="12" t="e">
        <f t="shared" si="606"/>
        <v>#REF!</v>
      </c>
      <c r="AE472" s="12" t="e">
        <f t="shared" si="607"/>
        <v>#REF!</v>
      </c>
      <c r="AF472" s="12">
        <f t="shared" si="608"/>
        <v>0</v>
      </c>
      <c r="AG472" s="12">
        <f t="shared" si="609"/>
        <v>0</v>
      </c>
      <c r="AH472" s="12">
        <f t="shared" si="610"/>
        <v>0</v>
      </c>
      <c r="AI472" s="10" t="s">
        <v>921</v>
      </c>
      <c r="AJ472" s="12">
        <f t="shared" si="611"/>
        <v>0</v>
      </c>
      <c r="AK472" s="12">
        <f t="shared" si="612"/>
        <v>0</v>
      </c>
      <c r="AL472" s="12" t="e">
        <f t="shared" si="613"/>
        <v>#REF!</v>
      </c>
      <c r="AN472" s="12">
        <v>21</v>
      </c>
      <c r="AO472" s="12" t="e">
        <f>H472*1</f>
        <v>#REF!</v>
      </c>
      <c r="AP472" s="12" t="e">
        <f>H472*(1-1)</f>
        <v>#REF!</v>
      </c>
      <c r="AQ472" s="49" t="s">
        <v>567</v>
      </c>
      <c r="AV472" s="12" t="e">
        <f t="shared" si="614"/>
        <v>#REF!</v>
      </c>
      <c r="AW472" s="12" t="e">
        <f t="shared" si="615"/>
        <v>#REF!</v>
      </c>
      <c r="AX472" s="12" t="e">
        <f t="shared" si="616"/>
        <v>#REF!</v>
      </c>
      <c r="AY472" s="49" t="s">
        <v>588</v>
      </c>
      <c r="AZ472" s="49" t="s">
        <v>951</v>
      </c>
      <c r="BA472" s="10" t="s">
        <v>924</v>
      </c>
      <c r="BC472" s="12" t="e">
        <f t="shared" si="617"/>
        <v>#REF!</v>
      </c>
      <c r="BD472" s="12" t="e">
        <f t="shared" si="618"/>
        <v>#REF!</v>
      </c>
      <c r="BE472" s="12">
        <v>0</v>
      </c>
      <c r="BF472" s="12" t="e">
        <f t="shared" si="619"/>
        <v>#REF!</v>
      </c>
      <c r="BH472" s="12" t="e">
        <f t="shared" si="620"/>
        <v>#REF!</v>
      </c>
      <c r="BI472" s="12" t="e">
        <f t="shared" si="621"/>
        <v>#REF!</v>
      </c>
      <c r="BJ472" s="12" t="e">
        <f t="shared" si="622"/>
        <v>#REF!</v>
      </c>
      <c r="BK472" s="12"/>
      <c r="BL472" s="12">
        <v>733</v>
      </c>
      <c r="BW472" s="12" t="str">
        <f t="shared" si="623"/>
        <v>21</v>
      </c>
      <c r="BX472" s="3" t="s">
        <v>409</v>
      </c>
    </row>
    <row r="473" spans="1:76">
      <c r="A473" s="1" t="s">
        <v>968</v>
      </c>
      <c r="B473" s="2" t="s">
        <v>921</v>
      </c>
      <c r="C473" s="2" t="s">
        <v>410</v>
      </c>
      <c r="D473" s="349" t="s">
        <v>411</v>
      </c>
      <c r="E473" s="342"/>
      <c r="F473" s="2" t="s">
        <v>63</v>
      </c>
      <c r="G473" s="12" t="e">
        <f>#REF!</f>
        <v>#REF!</v>
      </c>
      <c r="H473" s="12" t="e">
        <f>#REF!</f>
        <v>#REF!</v>
      </c>
      <c r="I473" s="49" t="s">
        <v>554</v>
      </c>
      <c r="J473" s="12" t="e">
        <f t="shared" si="598"/>
        <v>#REF!</v>
      </c>
      <c r="K473" s="12" t="e">
        <f t="shared" si="599"/>
        <v>#REF!</v>
      </c>
      <c r="L473" s="12" t="e">
        <f t="shared" si="600"/>
        <v>#REF!</v>
      </c>
      <c r="M473" s="12" t="e">
        <f t="shared" si="601"/>
        <v>#REF!</v>
      </c>
      <c r="N473" s="12">
        <v>3.1E-4</v>
      </c>
      <c r="O473" s="12" t="e">
        <f t="shared" si="602"/>
        <v>#REF!</v>
      </c>
      <c r="P473" s="50" t="s">
        <v>577</v>
      </c>
      <c r="Z473" s="12">
        <f t="shared" si="603"/>
        <v>0</v>
      </c>
      <c r="AB473" s="12">
        <f t="shared" si="604"/>
        <v>0</v>
      </c>
      <c r="AC473" s="12">
        <f t="shared" si="605"/>
        <v>0</v>
      </c>
      <c r="AD473" s="12" t="e">
        <f t="shared" si="606"/>
        <v>#REF!</v>
      </c>
      <c r="AE473" s="12" t="e">
        <f t="shared" si="607"/>
        <v>#REF!</v>
      </c>
      <c r="AF473" s="12">
        <f t="shared" si="608"/>
        <v>0</v>
      </c>
      <c r="AG473" s="12">
        <f t="shared" si="609"/>
        <v>0</v>
      </c>
      <c r="AH473" s="12">
        <f t="shared" si="610"/>
        <v>0</v>
      </c>
      <c r="AI473" s="10" t="s">
        <v>921</v>
      </c>
      <c r="AJ473" s="12">
        <f t="shared" si="611"/>
        <v>0</v>
      </c>
      <c r="AK473" s="12">
        <f t="shared" si="612"/>
        <v>0</v>
      </c>
      <c r="AL473" s="12" t="e">
        <f t="shared" si="613"/>
        <v>#REF!</v>
      </c>
      <c r="AN473" s="12">
        <v>21</v>
      </c>
      <c r="AO473" s="12" t="e">
        <f>H473*1</f>
        <v>#REF!</v>
      </c>
      <c r="AP473" s="12" t="e">
        <f>H473*(1-1)</f>
        <v>#REF!</v>
      </c>
      <c r="AQ473" s="49" t="s">
        <v>567</v>
      </c>
      <c r="AV473" s="12" t="e">
        <f t="shared" si="614"/>
        <v>#REF!</v>
      </c>
      <c r="AW473" s="12" t="e">
        <f t="shared" si="615"/>
        <v>#REF!</v>
      </c>
      <c r="AX473" s="12" t="e">
        <f t="shared" si="616"/>
        <v>#REF!</v>
      </c>
      <c r="AY473" s="49" t="s">
        <v>588</v>
      </c>
      <c r="AZ473" s="49" t="s">
        <v>951</v>
      </c>
      <c r="BA473" s="10" t="s">
        <v>924</v>
      </c>
      <c r="BC473" s="12" t="e">
        <f t="shared" si="617"/>
        <v>#REF!</v>
      </c>
      <c r="BD473" s="12" t="e">
        <f t="shared" si="618"/>
        <v>#REF!</v>
      </c>
      <c r="BE473" s="12">
        <v>0</v>
      </c>
      <c r="BF473" s="12" t="e">
        <f t="shared" si="619"/>
        <v>#REF!</v>
      </c>
      <c r="BH473" s="12" t="e">
        <f t="shared" si="620"/>
        <v>#REF!</v>
      </c>
      <c r="BI473" s="12" t="e">
        <f t="shared" si="621"/>
        <v>#REF!</v>
      </c>
      <c r="BJ473" s="12" t="e">
        <f t="shared" si="622"/>
        <v>#REF!</v>
      </c>
      <c r="BK473" s="12"/>
      <c r="BL473" s="12">
        <v>733</v>
      </c>
      <c r="BW473" s="12" t="str">
        <f t="shared" si="623"/>
        <v>21</v>
      </c>
      <c r="BX473" s="3" t="s">
        <v>411</v>
      </c>
    </row>
    <row r="474" spans="1:76">
      <c r="A474" s="1" t="s">
        <v>969</v>
      </c>
      <c r="B474" s="2" t="s">
        <v>921</v>
      </c>
      <c r="C474" s="2" t="s">
        <v>412</v>
      </c>
      <c r="D474" s="349" t="s">
        <v>413</v>
      </c>
      <c r="E474" s="342"/>
      <c r="F474" s="2" t="s">
        <v>63</v>
      </c>
      <c r="G474" s="12" t="e">
        <f>#REF!</f>
        <v>#REF!</v>
      </c>
      <c r="H474" s="12" t="e">
        <f>#REF!</f>
        <v>#REF!</v>
      </c>
      <c r="I474" s="49" t="s">
        <v>554</v>
      </c>
      <c r="J474" s="12" t="e">
        <f t="shared" si="598"/>
        <v>#REF!</v>
      </c>
      <c r="K474" s="12" t="e">
        <f t="shared" si="599"/>
        <v>#REF!</v>
      </c>
      <c r="L474" s="12" t="e">
        <f t="shared" si="600"/>
        <v>#REF!</v>
      </c>
      <c r="M474" s="12" t="e">
        <f t="shared" si="601"/>
        <v>#REF!</v>
      </c>
      <c r="N474" s="12">
        <v>3.0000000000000001E-5</v>
      </c>
      <c r="O474" s="12" t="e">
        <f t="shared" si="602"/>
        <v>#REF!</v>
      </c>
      <c r="P474" s="50" t="s">
        <v>577</v>
      </c>
      <c r="Z474" s="12">
        <f t="shared" si="603"/>
        <v>0</v>
      </c>
      <c r="AB474" s="12">
        <f t="shared" si="604"/>
        <v>0</v>
      </c>
      <c r="AC474" s="12">
        <f t="shared" si="605"/>
        <v>0</v>
      </c>
      <c r="AD474" s="12" t="e">
        <f t="shared" si="606"/>
        <v>#REF!</v>
      </c>
      <c r="AE474" s="12" t="e">
        <f t="shared" si="607"/>
        <v>#REF!</v>
      </c>
      <c r="AF474" s="12">
        <f t="shared" si="608"/>
        <v>0</v>
      </c>
      <c r="AG474" s="12">
        <f t="shared" si="609"/>
        <v>0</v>
      </c>
      <c r="AH474" s="12">
        <f t="shared" si="610"/>
        <v>0</v>
      </c>
      <c r="AI474" s="10" t="s">
        <v>921</v>
      </c>
      <c r="AJ474" s="12">
        <f t="shared" si="611"/>
        <v>0</v>
      </c>
      <c r="AK474" s="12">
        <f t="shared" si="612"/>
        <v>0</v>
      </c>
      <c r="AL474" s="12" t="e">
        <f t="shared" si="613"/>
        <v>#REF!</v>
      </c>
      <c r="AN474" s="12">
        <v>21</v>
      </c>
      <c r="AO474" s="12" t="e">
        <f>H474*1</f>
        <v>#REF!</v>
      </c>
      <c r="AP474" s="12" t="e">
        <f>H474*(1-1)</f>
        <v>#REF!</v>
      </c>
      <c r="AQ474" s="49" t="s">
        <v>567</v>
      </c>
      <c r="AV474" s="12" t="e">
        <f t="shared" si="614"/>
        <v>#REF!</v>
      </c>
      <c r="AW474" s="12" t="e">
        <f t="shared" si="615"/>
        <v>#REF!</v>
      </c>
      <c r="AX474" s="12" t="e">
        <f t="shared" si="616"/>
        <v>#REF!</v>
      </c>
      <c r="AY474" s="49" t="s">
        <v>588</v>
      </c>
      <c r="AZ474" s="49" t="s">
        <v>951</v>
      </c>
      <c r="BA474" s="10" t="s">
        <v>924</v>
      </c>
      <c r="BC474" s="12" t="e">
        <f t="shared" si="617"/>
        <v>#REF!</v>
      </c>
      <c r="BD474" s="12" t="e">
        <f t="shared" si="618"/>
        <v>#REF!</v>
      </c>
      <c r="BE474" s="12">
        <v>0</v>
      </c>
      <c r="BF474" s="12" t="e">
        <f t="shared" si="619"/>
        <v>#REF!</v>
      </c>
      <c r="BH474" s="12" t="e">
        <f t="shared" si="620"/>
        <v>#REF!</v>
      </c>
      <c r="BI474" s="12" t="e">
        <f t="shared" si="621"/>
        <v>#REF!</v>
      </c>
      <c r="BJ474" s="12" t="e">
        <f t="shared" si="622"/>
        <v>#REF!</v>
      </c>
      <c r="BK474" s="12"/>
      <c r="BL474" s="12">
        <v>733</v>
      </c>
      <c r="BW474" s="12" t="str">
        <f t="shared" si="623"/>
        <v>21</v>
      </c>
      <c r="BX474" s="3" t="s">
        <v>413</v>
      </c>
    </row>
    <row r="475" spans="1:76">
      <c r="A475" s="46" t="s">
        <v>21</v>
      </c>
      <c r="B475" s="9" t="s">
        <v>921</v>
      </c>
      <c r="C475" s="9" t="s">
        <v>95</v>
      </c>
      <c r="D475" s="359" t="s">
        <v>96</v>
      </c>
      <c r="E475" s="360"/>
      <c r="F475" s="47" t="s">
        <v>20</v>
      </c>
      <c r="G475" s="47" t="s">
        <v>20</v>
      </c>
      <c r="H475" s="47" t="s">
        <v>20</v>
      </c>
      <c r="I475" s="47" t="s">
        <v>20</v>
      </c>
      <c r="J475" s="11" t="e">
        <f>SUM(J476:J490)</f>
        <v>#REF!</v>
      </c>
      <c r="K475" s="11" t="e">
        <f>SUM(K476:K490)</f>
        <v>#REF!</v>
      </c>
      <c r="L475" s="11" t="e">
        <f>SUM(L476:L490)</f>
        <v>#REF!</v>
      </c>
      <c r="M475" s="11" t="e">
        <f>SUM(M476:M490)</f>
        <v>#REF!</v>
      </c>
      <c r="N475" s="10" t="s">
        <v>21</v>
      </c>
      <c r="O475" s="11" t="e">
        <f>SUM(O476:O490)</f>
        <v>#REF!</v>
      </c>
      <c r="P475" s="48" t="s">
        <v>21</v>
      </c>
      <c r="AI475" s="10" t="s">
        <v>921</v>
      </c>
      <c r="AS475" s="11">
        <f>SUM(AJ476:AJ490)</f>
        <v>0</v>
      </c>
      <c r="AT475" s="11">
        <f>SUM(AK476:AK490)</f>
        <v>0</v>
      </c>
      <c r="AU475" s="11" t="e">
        <f>SUM(AL476:AL490)</f>
        <v>#REF!</v>
      </c>
    </row>
    <row r="476" spans="1:76">
      <c r="A476" s="1" t="s">
        <v>970</v>
      </c>
      <c r="B476" s="2" t="s">
        <v>921</v>
      </c>
      <c r="C476" s="2" t="s">
        <v>99</v>
      </c>
      <c r="D476" s="349" t="s">
        <v>100</v>
      </c>
      <c r="E476" s="342"/>
      <c r="F476" s="2" t="s">
        <v>68</v>
      </c>
      <c r="G476" s="12" t="e">
        <f>#REF!</f>
        <v>#REF!</v>
      </c>
      <c r="H476" s="12" t="e">
        <f>#REF!</f>
        <v>#REF!</v>
      </c>
      <c r="I476" s="49" t="s">
        <v>554</v>
      </c>
      <c r="J476" s="12" t="e">
        <f t="shared" ref="J476:J490" si="624">G476*AO476</f>
        <v>#REF!</v>
      </c>
      <c r="K476" s="12" t="e">
        <f t="shared" ref="K476:K490" si="625">G476*AP476</f>
        <v>#REF!</v>
      </c>
      <c r="L476" s="12" t="e">
        <f t="shared" ref="L476:L490" si="626">G476*H476</f>
        <v>#REF!</v>
      </c>
      <c r="M476" s="12" t="e">
        <f t="shared" ref="M476:M490" si="627">L476*(1+BW476/100)</f>
        <v>#REF!</v>
      </c>
      <c r="N476" s="12">
        <v>3.7100000000000002E-3</v>
      </c>
      <c r="O476" s="12" t="e">
        <f t="shared" ref="O476:O490" si="628">G476*N476</f>
        <v>#REF!</v>
      </c>
      <c r="P476" s="50" t="s">
        <v>577</v>
      </c>
      <c r="Z476" s="12">
        <f t="shared" ref="Z476:Z490" si="629">IF(AQ476="5",BJ476,0)</f>
        <v>0</v>
      </c>
      <c r="AB476" s="12">
        <f t="shared" ref="AB476:AB490" si="630">IF(AQ476="1",BH476,0)</f>
        <v>0</v>
      </c>
      <c r="AC476" s="12">
        <f t="shared" ref="AC476:AC490" si="631">IF(AQ476="1",BI476,0)</f>
        <v>0</v>
      </c>
      <c r="AD476" s="12" t="e">
        <f t="shared" ref="AD476:AD490" si="632">IF(AQ476="7",BH476,0)</f>
        <v>#REF!</v>
      </c>
      <c r="AE476" s="12" t="e">
        <f t="shared" ref="AE476:AE490" si="633">IF(AQ476="7",BI476,0)</f>
        <v>#REF!</v>
      </c>
      <c r="AF476" s="12">
        <f t="shared" ref="AF476:AF490" si="634">IF(AQ476="2",BH476,0)</f>
        <v>0</v>
      </c>
      <c r="AG476" s="12">
        <f t="shared" ref="AG476:AG490" si="635">IF(AQ476="2",BI476,0)</f>
        <v>0</v>
      </c>
      <c r="AH476" s="12">
        <f t="shared" ref="AH476:AH490" si="636">IF(AQ476="0",BJ476,0)</f>
        <v>0</v>
      </c>
      <c r="AI476" s="10" t="s">
        <v>921</v>
      </c>
      <c r="AJ476" s="12">
        <f t="shared" ref="AJ476:AJ490" si="637">IF(AN476=0,L476,0)</f>
        <v>0</v>
      </c>
      <c r="AK476" s="12">
        <f t="shared" ref="AK476:AK490" si="638">IF(AN476=12,L476,0)</f>
        <v>0</v>
      </c>
      <c r="AL476" s="12" t="e">
        <f t="shared" ref="AL476:AL490" si="639">IF(AN476=21,L476,0)</f>
        <v>#REF!</v>
      </c>
      <c r="AN476" s="12">
        <v>21</v>
      </c>
      <c r="AO476" s="12" t="e">
        <f>H476*0.265479277</f>
        <v>#REF!</v>
      </c>
      <c r="AP476" s="12" t="e">
        <f>H476*(1-0.265479277)</f>
        <v>#REF!</v>
      </c>
      <c r="AQ476" s="49" t="s">
        <v>567</v>
      </c>
      <c r="AV476" s="12" t="e">
        <f t="shared" ref="AV476:AV490" si="640">AW476+AX476</f>
        <v>#REF!</v>
      </c>
      <c r="AW476" s="12" t="e">
        <f t="shared" ref="AW476:AW490" si="641">G476*AO476</f>
        <v>#REF!</v>
      </c>
      <c r="AX476" s="12" t="e">
        <f t="shared" ref="AX476:AX490" si="642">G476*AP476</f>
        <v>#REF!</v>
      </c>
      <c r="AY476" s="49" t="s">
        <v>593</v>
      </c>
      <c r="AZ476" s="49" t="s">
        <v>951</v>
      </c>
      <c r="BA476" s="10" t="s">
        <v>924</v>
      </c>
      <c r="BC476" s="12" t="e">
        <f t="shared" ref="BC476:BC490" si="643">AW476+AX476</f>
        <v>#REF!</v>
      </c>
      <c r="BD476" s="12" t="e">
        <f t="shared" ref="BD476:BD490" si="644">H476/(100-BE476)*100</f>
        <v>#REF!</v>
      </c>
      <c r="BE476" s="12">
        <v>0</v>
      </c>
      <c r="BF476" s="12" t="e">
        <f t="shared" ref="BF476:BF490" si="645">O476</f>
        <v>#REF!</v>
      </c>
      <c r="BH476" s="12" t="e">
        <f t="shared" ref="BH476:BH490" si="646">G476*AO476</f>
        <v>#REF!</v>
      </c>
      <c r="BI476" s="12" t="e">
        <f t="shared" ref="BI476:BI490" si="647">G476*AP476</f>
        <v>#REF!</v>
      </c>
      <c r="BJ476" s="12" t="e">
        <f t="shared" ref="BJ476:BJ490" si="648">G476*H476</f>
        <v>#REF!</v>
      </c>
      <c r="BK476" s="12"/>
      <c r="BL476" s="12">
        <v>734</v>
      </c>
      <c r="BW476" s="12" t="str">
        <f t="shared" ref="BW476:BW490" si="649">I476</f>
        <v>21</v>
      </c>
      <c r="BX476" s="3" t="s">
        <v>100</v>
      </c>
    </row>
    <row r="477" spans="1:76">
      <c r="A477" s="1" t="s">
        <v>971</v>
      </c>
      <c r="B477" s="2" t="s">
        <v>921</v>
      </c>
      <c r="C477" s="2" t="s">
        <v>97</v>
      </c>
      <c r="D477" s="349" t="s">
        <v>98</v>
      </c>
      <c r="E477" s="342"/>
      <c r="F477" s="2" t="s">
        <v>68</v>
      </c>
      <c r="G477" s="12" t="e">
        <f>#REF!</f>
        <v>#REF!</v>
      </c>
      <c r="H477" s="12" t="e">
        <f>#REF!</f>
        <v>#REF!</v>
      </c>
      <c r="I477" s="49" t="s">
        <v>554</v>
      </c>
      <c r="J477" s="12" t="e">
        <f t="shared" si="624"/>
        <v>#REF!</v>
      </c>
      <c r="K477" s="12" t="e">
        <f t="shared" si="625"/>
        <v>#REF!</v>
      </c>
      <c r="L477" s="12" t="e">
        <f t="shared" si="626"/>
        <v>#REF!</v>
      </c>
      <c r="M477" s="12" t="e">
        <f t="shared" si="627"/>
        <v>#REF!</v>
      </c>
      <c r="N477" s="12">
        <v>3.9019999999999999E-2</v>
      </c>
      <c r="O477" s="12" t="e">
        <f t="shared" si="628"/>
        <v>#REF!</v>
      </c>
      <c r="P477" s="50" t="s">
        <v>577</v>
      </c>
      <c r="Z477" s="12">
        <f t="shared" si="629"/>
        <v>0</v>
      </c>
      <c r="AB477" s="12">
        <f t="shared" si="630"/>
        <v>0</v>
      </c>
      <c r="AC477" s="12">
        <f t="shared" si="631"/>
        <v>0</v>
      </c>
      <c r="AD477" s="12" t="e">
        <f t="shared" si="632"/>
        <v>#REF!</v>
      </c>
      <c r="AE477" s="12" t="e">
        <f t="shared" si="633"/>
        <v>#REF!</v>
      </c>
      <c r="AF477" s="12">
        <f t="shared" si="634"/>
        <v>0</v>
      </c>
      <c r="AG477" s="12">
        <f t="shared" si="635"/>
        <v>0</v>
      </c>
      <c r="AH477" s="12">
        <f t="shared" si="636"/>
        <v>0</v>
      </c>
      <c r="AI477" s="10" t="s">
        <v>921</v>
      </c>
      <c r="AJ477" s="12">
        <f t="shared" si="637"/>
        <v>0</v>
      </c>
      <c r="AK477" s="12">
        <f t="shared" si="638"/>
        <v>0</v>
      </c>
      <c r="AL477" s="12" t="e">
        <f t="shared" si="639"/>
        <v>#REF!</v>
      </c>
      <c r="AN477" s="12">
        <v>21</v>
      </c>
      <c r="AO477" s="12" t="e">
        <f>H477*0.004836759</f>
        <v>#REF!</v>
      </c>
      <c r="AP477" s="12" t="e">
        <f>H477*(1-0.004836759)</f>
        <v>#REF!</v>
      </c>
      <c r="AQ477" s="49" t="s">
        <v>567</v>
      </c>
      <c r="AV477" s="12" t="e">
        <f t="shared" si="640"/>
        <v>#REF!</v>
      </c>
      <c r="AW477" s="12" t="e">
        <f t="shared" si="641"/>
        <v>#REF!</v>
      </c>
      <c r="AX477" s="12" t="e">
        <f t="shared" si="642"/>
        <v>#REF!</v>
      </c>
      <c r="AY477" s="49" t="s">
        <v>593</v>
      </c>
      <c r="AZ477" s="49" t="s">
        <v>951</v>
      </c>
      <c r="BA477" s="10" t="s">
        <v>924</v>
      </c>
      <c r="BC477" s="12" t="e">
        <f t="shared" si="643"/>
        <v>#REF!</v>
      </c>
      <c r="BD477" s="12" t="e">
        <f t="shared" si="644"/>
        <v>#REF!</v>
      </c>
      <c r="BE477" s="12">
        <v>0</v>
      </c>
      <c r="BF477" s="12" t="e">
        <f t="shared" si="645"/>
        <v>#REF!</v>
      </c>
      <c r="BH477" s="12" t="e">
        <f t="shared" si="646"/>
        <v>#REF!</v>
      </c>
      <c r="BI477" s="12" t="e">
        <f t="shared" si="647"/>
        <v>#REF!</v>
      </c>
      <c r="BJ477" s="12" t="e">
        <f t="shared" si="648"/>
        <v>#REF!</v>
      </c>
      <c r="BK477" s="12"/>
      <c r="BL477" s="12">
        <v>734</v>
      </c>
      <c r="BW477" s="12" t="str">
        <f t="shared" si="649"/>
        <v>21</v>
      </c>
      <c r="BX477" s="3" t="s">
        <v>98</v>
      </c>
    </row>
    <row r="478" spans="1:76">
      <c r="A478" s="1" t="s">
        <v>972</v>
      </c>
      <c r="B478" s="2" t="s">
        <v>921</v>
      </c>
      <c r="C478" s="2" t="s">
        <v>414</v>
      </c>
      <c r="D478" s="349" t="s">
        <v>415</v>
      </c>
      <c r="E478" s="342"/>
      <c r="F478" s="2" t="s">
        <v>68</v>
      </c>
      <c r="G478" s="12" t="e">
        <f>#REF!</f>
        <v>#REF!</v>
      </c>
      <c r="H478" s="12" t="e">
        <f>#REF!</f>
        <v>#REF!</v>
      </c>
      <c r="I478" s="49" t="s">
        <v>554</v>
      </c>
      <c r="J478" s="12" t="e">
        <f t="shared" si="624"/>
        <v>#REF!</v>
      </c>
      <c r="K478" s="12" t="e">
        <f t="shared" si="625"/>
        <v>#REF!</v>
      </c>
      <c r="L478" s="12" t="e">
        <f t="shared" si="626"/>
        <v>#REF!</v>
      </c>
      <c r="M478" s="12" t="e">
        <f t="shared" si="627"/>
        <v>#REF!</v>
      </c>
      <c r="N478" s="12">
        <v>1.6240000000000001E-2</v>
      </c>
      <c r="O478" s="12" t="e">
        <f t="shared" si="628"/>
        <v>#REF!</v>
      </c>
      <c r="P478" s="50" t="s">
        <v>577</v>
      </c>
      <c r="Z478" s="12">
        <f t="shared" si="629"/>
        <v>0</v>
      </c>
      <c r="AB478" s="12">
        <f t="shared" si="630"/>
        <v>0</v>
      </c>
      <c r="AC478" s="12">
        <f t="shared" si="631"/>
        <v>0</v>
      </c>
      <c r="AD478" s="12" t="e">
        <f t="shared" si="632"/>
        <v>#REF!</v>
      </c>
      <c r="AE478" s="12" t="e">
        <f t="shared" si="633"/>
        <v>#REF!</v>
      </c>
      <c r="AF478" s="12">
        <f t="shared" si="634"/>
        <v>0</v>
      </c>
      <c r="AG478" s="12">
        <f t="shared" si="635"/>
        <v>0</v>
      </c>
      <c r="AH478" s="12">
        <f t="shared" si="636"/>
        <v>0</v>
      </c>
      <c r="AI478" s="10" t="s">
        <v>921</v>
      </c>
      <c r="AJ478" s="12">
        <f t="shared" si="637"/>
        <v>0</v>
      </c>
      <c r="AK478" s="12">
        <f t="shared" si="638"/>
        <v>0</v>
      </c>
      <c r="AL478" s="12" t="e">
        <f t="shared" si="639"/>
        <v>#REF!</v>
      </c>
      <c r="AN478" s="12">
        <v>21</v>
      </c>
      <c r="AO478" s="12" t="e">
        <f>H478*0.917229599</f>
        <v>#REF!</v>
      </c>
      <c r="AP478" s="12" t="e">
        <f>H478*(1-0.917229599)</f>
        <v>#REF!</v>
      </c>
      <c r="AQ478" s="49" t="s">
        <v>567</v>
      </c>
      <c r="AV478" s="12" t="e">
        <f t="shared" si="640"/>
        <v>#REF!</v>
      </c>
      <c r="AW478" s="12" t="e">
        <f t="shared" si="641"/>
        <v>#REF!</v>
      </c>
      <c r="AX478" s="12" t="e">
        <f t="shared" si="642"/>
        <v>#REF!</v>
      </c>
      <c r="AY478" s="49" t="s">
        <v>593</v>
      </c>
      <c r="AZ478" s="49" t="s">
        <v>951</v>
      </c>
      <c r="BA478" s="10" t="s">
        <v>924</v>
      </c>
      <c r="BC478" s="12" t="e">
        <f t="shared" si="643"/>
        <v>#REF!</v>
      </c>
      <c r="BD478" s="12" t="e">
        <f t="shared" si="644"/>
        <v>#REF!</v>
      </c>
      <c r="BE478" s="12">
        <v>0</v>
      </c>
      <c r="BF478" s="12" t="e">
        <f t="shared" si="645"/>
        <v>#REF!</v>
      </c>
      <c r="BH478" s="12" t="e">
        <f t="shared" si="646"/>
        <v>#REF!</v>
      </c>
      <c r="BI478" s="12" t="e">
        <f t="shared" si="647"/>
        <v>#REF!</v>
      </c>
      <c r="BJ478" s="12" t="e">
        <f t="shared" si="648"/>
        <v>#REF!</v>
      </c>
      <c r="BK478" s="12"/>
      <c r="BL478" s="12">
        <v>734</v>
      </c>
      <c r="BW478" s="12" t="str">
        <f t="shared" si="649"/>
        <v>21</v>
      </c>
      <c r="BX478" s="3" t="s">
        <v>415</v>
      </c>
    </row>
    <row r="479" spans="1:76">
      <c r="A479" s="1" t="s">
        <v>973</v>
      </c>
      <c r="B479" s="2" t="s">
        <v>921</v>
      </c>
      <c r="C479" s="2" t="s">
        <v>416</v>
      </c>
      <c r="D479" s="349" t="s">
        <v>417</v>
      </c>
      <c r="E479" s="342"/>
      <c r="F479" s="2" t="s">
        <v>68</v>
      </c>
      <c r="G479" s="12" t="e">
        <f>#REF!</f>
        <v>#REF!</v>
      </c>
      <c r="H479" s="12" t="e">
        <f>#REF!</f>
        <v>#REF!</v>
      </c>
      <c r="I479" s="49" t="s">
        <v>554</v>
      </c>
      <c r="J479" s="12" t="e">
        <f t="shared" si="624"/>
        <v>#REF!</v>
      </c>
      <c r="K479" s="12" t="e">
        <f t="shared" si="625"/>
        <v>#REF!</v>
      </c>
      <c r="L479" s="12" t="e">
        <f t="shared" si="626"/>
        <v>#REF!</v>
      </c>
      <c r="M479" s="12" t="e">
        <f t="shared" si="627"/>
        <v>#REF!</v>
      </c>
      <c r="N479" s="12">
        <v>7.2999999999999996E-4</v>
      </c>
      <c r="O479" s="12" t="e">
        <f t="shared" si="628"/>
        <v>#REF!</v>
      </c>
      <c r="P479" s="50" t="s">
        <v>577</v>
      </c>
      <c r="Z479" s="12">
        <f t="shared" si="629"/>
        <v>0</v>
      </c>
      <c r="AB479" s="12">
        <f t="shared" si="630"/>
        <v>0</v>
      </c>
      <c r="AC479" s="12">
        <f t="shared" si="631"/>
        <v>0</v>
      </c>
      <c r="AD479" s="12" t="e">
        <f t="shared" si="632"/>
        <v>#REF!</v>
      </c>
      <c r="AE479" s="12" t="e">
        <f t="shared" si="633"/>
        <v>#REF!</v>
      </c>
      <c r="AF479" s="12">
        <f t="shared" si="634"/>
        <v>0</v>
      </c>
      <c r="AG479" s="12">
        <f t="shared" si="635"/>
        <v>0</v>
      </c>
      <c r="AH479" s="12">
        <f t="shared" si="636"/>
        <v>0</v>
      </c>
      <c r="AI479" s="10" t="s">
        <v>921</v>
      </c>
      <c r="AJ479" s="12">
        <f t="shared" si="637"/>
        <v>0</v>
      </c>
      <c r="AK479" s="12">
        <f t="shared" si="638"/>
        <v>0</v>
      </c>
      <c r="AL479" s="12" t="e">
        <f t="shared" si="639"/>
        <v>#REF!</v>
      </c>
      <c r="AN479" s="12">
        <v>21</v>
      </c>
      <c r="AO479" s="12" t="e">
        <f>H479*0.690255754</f>
        <v>#REF!</v>
      </c>
      <c r="AP479" s="12" t="e">
        <f>H479*(1-0.690255754)</f>
        <v>#REF!</v>
      </c>
      <c r="AQ479" s="49" t="s">
        <v>567</v>
      </c>
      <c r="AV479" s="12" t="e">
        <f t="shared" si="640"/>
        <v>#REF!</v>
      </c>
      <c r="AW479" s="12" t="e">
        <f t="shared" si="641"/>
        <v>#REF!</v>
      </c>
      <c r="AX479" s="12" t="e">
        <f t="shared" si="642"/>
        <v>#REF!</v>
      </c>
      <c r="AY479" s="49" t="s">
        <v>593</v>
      </c>
      <c r="AZ479" s="49" t="s">
        <v>951</v>
      </c>
      <c r="BA479" s="10" t="s">
        <v>924</v>
      </c>
      <c r="BC479" s="12" t="e">
        <f t="shared" si="643"/>
        <v>#REF!</v>
      </c>
      <c r="BD479" s="12" t="e">
        <f t="shared" si="644"/>
        <v>#REF!</v>
      </c>
      <c r="BE479" s="12">
        <v>0</v>
      </c>
      <c r="BF479" s="12" t="e">
        <f t="shared" si="645"/>
        <v>#REF!</v>
      </c>
      <c r="BH479" s="12" t="e">
        <f t="shared" si="646"/>
        <v>#REF!</v>
      </c>
      <c r="BI479" s="12" t="e">
        <f t="shared" si="647"/>
        <v>#REF!</v>
      </c>
      <c r="BJ479" s="12" t="e">
        <f t="shared" si="648"/>
        <v>#REF!</v>
      </c>
      <c r="BK479" s="12"/>
      <c r="BL479" s="12">
        <v>734</v>
      </c>
      <c r="BW479" s="12" t="str">
        <f t="shared" si="649"/>
        <v>21</v>
      </c>
      <c r="BX479" s="3" t="s">
        <v>417</v>
      </c>
    </row>
    <row r="480" spans="1:76">
      <c r="A480" s="1" t="s">
        <v>974</v>
      </c>
      <c r="B480" s="2" t="s">
        <v>921</v>
      </c>
      <c r="C480" s="2" t="s">
        <v>418</v>
      </c>
      <c r="D480" s="349" t="s">
        <v>419</v>
      </c>
      <c r="E480" s="342"/>
      <c r="F480" s="2" t="s">
        <v>68</v>
      </c>
      <c r="G480" s="12" t="e">
        <f>#REF!</f>
        <v>#REF!</v>
      </c>
      <c r="H480" s="12" t="e">
        <f>#REF!</f>
        <v>#REF!</v>
      </c>
      <c r="I480" s="49" t="s">
        <v>554</v>
      </c>
      <c r="J480" s="12" t="e">
        <f t="shared" si="624"/>
        <v>#REF!</v>
      </c>
      <c r="K480" s="12" t="e">
        <f t="shared" si="625"/>
        <v>#REF!</v>
      </c>
      <c r="L480" s="12" t="e">
        <f t="shared" si="626"/>
        <v>#REF!</v>
      </c>
      <c r="M480" s="12" t="e">
        <f t="shared" si="627"/>
        <v>#REF!</v>
      </c>
      <c r="N480" s="12">
        <v>2.5699999999999998E-3</v>
      </c>
      <c r="O480" s="12" t="e">
        <f t="shared" si="628"/>
        <v>#REF!</v>
      </c>
      <c r="P480" s="50" t="s">
        <v>605</v>
      </c>
      <c r="Z480" s="12">
        <f t="shared" si="629"/>
        <v>0</v>
      </c>
      <c r="AB480" s="12">
        <f t="shared" si="630"/>
        <v>0</v>
      </c>
      <c r="AC480" s="12">
        <f t="shared" si="631"/>
        <v>0</v>
      </c>
      <c r="AD480" s="12" t="e">
        <f t="shared" si="632"/>
        <v>#REF!</v>
      </c>
      <c r="AE480" s="12" t="e">
        <f t="shared" si="633"/>
        <v>#REF!</v>
      </c>
      <c r="AF480" s="12">
        <f t="shared" si="634"/>
        <v>0</v>
      </c>
      <c r="AG480" s="12">
        <f t="shared" si="635"/>
        <v>0</v>
      </c>
      <c r="AH480" s="12">
        <f t="shared" si="636"/>
        <v>0</v>
      </c>
      <c r="AI480" s="10" t="s">
        <v>921</v>
      </c>
      <c r="AJ480" s="12">
        <f t="shared" si="637"/>
        <v>0</v>
      </c>
      <c r="AK480" s="12">
        <f t="shared" si="638"/>
        <v>0</v>
      </c>
      <c r="AL480" s="12" t="e">
        <f t="shared" si="639"/>
        <v>#REF!</v>
      </c>
      <c r="AN480" s="12">
        <v>21</v>
      </c>
      <c r="AO480" s="12" t="e">
        <f>H480*0.893467249</f>
        <v>#REF!</v>
      </c>
      <c r="AP480" s="12" t="e">
        <f>H480*(1-0.893467249)</f>
        <v>#REF!</v>
      </c>
      <c r="AQ480" s="49" t="s">
        <v>567</v>
      </c>
      <c r="AV480" s="12" t="e">
        <f t="shared" si="640"/>
        <v>#REF!</v>
      </c>
      <c r="AW480" s="12" t="e">
        <f t="shared" si="641"/>
        <v>#REF!</v>
      </c>
      <c r="AX480" s="12" t="e">
        <f t="shared" si="642"/>
        <v>#REF!</v>
      </c>
      <c r="AY480" s="49" t="s">
        <v>593</v>
      </c>
      <c r="AZ480" s="49" t="s">
        <v>951</v>
      </c>
      <c r="BA480" s="10" t="s">
        <v>924</v>
      </c>
      <c r="BC480" s="12" t="e">
        <f t="shared" si="643"/>
        <v>#REF!</v>
      </c>
      <c r="BD480" s="12" t="e">
        <f t="shared" si="644"/>
        <v>#REF!</v>
      </c>
      <c r="BE480" s="12">
        <v>0</v>
      </c>
      <c r="BF480" s="12" t="e">
        <f t="shared" si="645"/>
        <v>#REF!</v>
      </c>
      <c r="BH480" s="12" t="e">
        <f t="shared" si="646"/>
        <v>#REF!</v>
      </c>
      <c r="BI480" s="12" t="e">
        <f t="shared" si="647"/>
        <v>#REF!</v>
      </c>
      <c r="BJ480" s="12" t="e">
        <f t="shared" si="648"/>
        <v>#REF!</v>
      </c>
      <c r="BK480" s="12"/>
      <c r="BL480" s="12">
        <v>734</v>
      </c>
      <c r="BW480" s="12" t="str">
        <f t="shared" si="649"/>
        <v>21</v>
      </c>
      <c r="BX480" s="3" t="s">
        <v>419</v>
      </c>
    </row>
    <row r="481" spans="1:76">
      <c r="A481" s="1" t="s">
        <v>975</v>
      </c>
      <c r="B481" s="2" t="s">
        <v>921</v>
      </c>
      <c r="C481" s="2" t="s">
        <v>420</v>
      </c>
      <c r="D481" s="349" t="s">
        <v>421</v>
      </c>
      <c r="E481" s="342"/>
      <c r="F481" s="2" t="s">
        <v>68</v>
      </c>
      <c r="G481" s="12" t="e">
        <f>#REF!</f>
        <v>#REF!</v>
      </c>
      <c r="H481" s="12" t="e">
        <f>#REF!</f>
        <v>#REF!</v>
      </c>
      <c r="I481" s="49" t="s">
        <v>554</v>
      </c>
      <c r="J481" s="12" t="e">
        <f t="shared" si="624"/>
        <v>#REF!</v>
      </c>
      <c r="K481" s="12" t="e">
        <f t="shared" si="625"/>
        <v>#REF!</v>
      </c>
      <c r="L481" s="12" t="e">
        <f t="shared" si="626"/>
        <v>#REF!</v>
      </c>
      <c r="M481" s="12" t="e">
        <f t="shared" si="627"/>
        <v>#REF!</v>
      </c>
      <c r="N481" s="12">
        <v>1.6240000000000001E-2</v>
      </c>
      <c r="O481" s="12" t="e">
        <f t="shared" si="628"/>
        <v>#REF!</v>
      </c>
      <c r="P481" s="50" t="s">
        <v>577</v>
      </c>
      <c r="Z481" s="12">
        <f t="shared" si="629"/>
        <v>0</v>
      </c>
      <c r="AB481" s="12">
        <f t="shared" si="630"/>
        <v>0</v>
      </c>
      <c r="AC481" s="12">
        <f t="shared" si="631"/>
        <v>0</v>
      </c>
      <c r="AD481" s="12" t="e">
        <f t="shared" si="632"/>
        <v>#REF!</v>
      </c>
      <c r="AE481" s="12" t="e">
        <f t="shared" si="633"/>
        <v>#REF!</v>
      </c>
      <c r="AF481" s="12">
        <f t="shared" si="634"/>
        <v>0</v>
      </c>
      <c r="AG481" s="12">
        <f t="shared" si="635"/>
        <v>0</v>
      </c>
      <c r="AH481" s="12">
        <f t="shared" si="636"/>
        <v>0</v>
      </c>
      <c r="AI481" s="10" t="s">
        <v>921</v>
      </c>
      <c r="AJ481" s="12">
        <f t="shared" si="637"/>
        <v>0</v>
      </c>
      <c r="AK481" s="12">
        <f t="shared" si="638"/>
        <v>0</v>
      </c>
      <c r="AL481" s="12" t="e">
        <f t="shared" si="639"/>
        <v>#REF!</v>
      </c>
      <c r="AN481" s="12">
        <v>21</v>
      </c>
      <c r="AO481" s="12" t="e">
        <f>H481*0.93908603</f>
        <v>#REF!</v>
      </c>
      <c r="AP481" s="12" t="e">
        <f>H481*(1-0.93908603)</f>
        <v>#REF!</v>
      </c>
      <c r="AQ481" s="49" t="s">
        <v>567</v>
      </c>
      <c r="AV481" s="12" t="e">
        <f t="shared" si="640"/>
        <v>#REF!</v>
      </c>
      <c r="AW481" s="12" t="e">
        <f t="shared" si="641"/>
        <v>#REF!</v>
      </c>
      <c r="AX481" s="12" t="e">
        <f t="shared" si="642"/>
        <v>#REF!</v>
      </c>
      <c r="AY481" s="49" t="s">
        <v>593</v>
      </c>
      <c r="AZ481" s="49" t="s">
        <v>951</v>
      </c>
      <c r="BA481" s="10" t="s">
        <v>924</v>
      </c>
      <c r="BC481" s="12" t="e">
        <f t="shared" si="643"/>
        <v>#REF!</v>
      </c>
      <c r="BD481" s="12" t="e">
        <f t="shared" si="644"/>
        <v>#REF!</v>
      </c>
      <c r="BE481" s="12">
        <v>0</v>
      </c>
      <c r="BF481" s="12" t="e">
        <f t="shared" si="645"/>
        <v>#REF!</v>
      </c>
      <c r="BH481" s="12" t="e">
        <f t="shared" si="646"/>
        <v>#REF!</v>
      </c>
      <c r="BI481" s="12" t="e">
        <f t="shared" si="647"/>
        <v>#REF!</v>
      </c>
      <c r="BJ481" s="12" t="e">
        <f t="shared" si="648"/>
        <v>#REF!</v>
      </c>
      <c r="BK481" s="12"/>
      <c r="BL481" s="12">
        <v>734</v>
      </c>
      <c r="BW481" s="12" t="str">
        <f t="shared" si="649"/>
        <v>21</v>
      </c>
      <c r="BX481" s="3" t="s">
        <v>421</v>
      </c>
    </row>
    <row r="482" spans="1:76">
      <c r="A482" s="1" t="s">
        <v>976</v>
      </c>
      <c r="B482" s="2" t="s">
        <v>921</v>
      </c>
      <c r="C482" s="2" t="s">
        <v>422</v>
      </c>
      <c r="D482" s="349" t="s">
        <v>423</v>
      </c>
      <c r="E482" s="342"/>
      <c r="F482" s="2" t="s">
        <v>68</v>
      </c>
      <c r="G482" s="12" t="e">
        <f>#REF!</f>
        <v>#REF!</v>
      </c>
      <c r="H482" s="12" t="e">
        <f>#REF!</f>
        <v>#REF!</v>
      </c>
      <c r="I482" s="49" t="s">
        <v>554</v>
      </c>
      <c r="J482" s="12" t="e">
        <f t="shared" si="624"/>
        <v>#REF!</v>
      </c>
      <c r="K482" s="12" t="e">
        <f t="shared" si="625"/>
        <v>#REF!</v>
      </c>
      <c r="L482" s="12" t="e">
        <f t="shared" si="626"/>
        <v>#REF!</v>
      </c>
      <c r="M482" s="12" t="e">
        <f t="shared" si="627"/>
        <v>#REF!</v>
      </c>
      <c r="N482" s="12">
        <v>4.6999999999999999E-4</v>
      </c>
      <c r="O482" s="12" t="e">
        <f t="shared" si="628"/>
        <v>#REF!</v>
      </c>
      <c r="P482" s="50" t="s">
        <v>577</v>
      </c>
      <c r="Z482" s="12">
        <f t="shared" si="629"/>
        <v>0</v>
      </c>
      <c r="AB482" s="12">
        <f t="shared" si="630"/>
        <v>0</v>
      </c>
      <c r="AC482" s="12">
        <f t="shared" si="631"/>
        <v>0</v>
      </c>
      <c r="AD482" s="12" t="e">
        <f t="shared" si="632"/>
        <v>#REF!</v>
      </c>
      <c r="AE482" s="12" t="e">
        <f t="shared" si="633"/>
        <v>#REF!</v>
      </c>
      <c r="AF482" s="12">
        <f t="shared" si="634"/>
        <v>0</v>
      </c>
      <c r="AG482" s="12">
        <f t="shared" si="635"/>
        <v>0</v>
      </c>
      <c r="AH482" s="12">
        <f t="shared" si="636"/>
        <v>0</v>
      </c>
      <c r="AI482" s="10" t="s">
        <v>921</v>
      </c>
      <c r="AJ482" s="12">
        <f t="shared" si="637"/>
        <v>0</v>
      </c>
      <c r="AK482" s="12">
        <f t="shared" si="638"/>
        <v>0</v>
      </c>
      <c r="AL482" s="12" t="e">
        <f t="shared" si="639"/>
        <v>#REF!</v>
      </c>
      <c r="AN482" s="12">
        <v>21</v>
      </c>
      <c r="AO482" s="12" t="e">
        <f>H482*0.903664796</f>
        <v>#REF!</v>
      </c>
      <c r="AP482" s="12" t="e">
        <f>H482*(1-0.903664796)</f>
        <v>#REF!</v>
      </c>
      <c r="AQ482" s="49" t="s">
        <v>567</v>
      </c>
      <c r="AV482" s="12" t="e">
        <f t="shared" si="640"/>
        <v>#REF!</v>
      </c>
      <c r="AW482" s="12" t="e">
        <f t="shared" si="641"/>
        <v>#REF!</v>
      </c>
      <c r="AX482" s="12" t="e">
        <f t="shared" si="642"/>
        <v>#REF!</v>
      </c>
      <c r="AY482" s="49" t="s">
        <v>593</v>
      </c>
      <c r="AZ482" s="49" t="s">
        <v>951</v>
      </c>
      <c r="BA482" s="10" t="s">
        <v>924</v>
      </c>
      <c r="BC482" s="12" t="e">
        <f t="shared" si="643"/>
        <v>#REF!</v>
      </c>
      <c r="BD482" s="12" t="e">
        <f t="shared" si="644"/>
        <v>#REF!</v>
      </c>
      <c r="BE482" s="12">
        <v>0</v>
      </c>
      <c r="BF482" s="12" t="e">
        <f t="shared" si="645"/>
        <v>#REF!</v>
      </c>
      <c r="BH482" s="12" t="e">
        <f t="shared" si="646"/>
        <v>#REF!</v>
      </c>
      <c r="BI482" s="12" t="e">
        <f t="shared" si="647"/>
        <v>#REF!</v>
      </c>
      <c r="BJ482" s="12" t="e">
        <f t="shared" si="648"/>
        <v>#REF!</v>
      </c>
      <c r="BK482" s="12"/>
      <c r="BL482" s="12">
        <v>734</v>
      </c>
      <c r="BW482" s="12" t="str">
        <f t="shared" si="649"/>
        <v>21</v>
      </c>
      <c r="BX482" s="3" t="s">
        <v>423</v>
      </c>
    </row>
    <row r="483" spans="1:76">
      <c r="A483" s="1" t="s">
        <v>977</v>
      </c>
      <c r="B483" s="2" t="s">
        <v>921</v>
      </c>
      <c r="C483" s="2" t="s">
        <v>424</v>
      </c>
      <c r="D483" s="349" t="s">
        <v>425</v>
      </c>
      <c r="E483" s="342"/>
      <c r="F483" s="2" t="s">
        <v>68</v>
      </c>
      <c r="G483" s="12" t="e">
        <f>#REF!</f>
        <v>#REF!</v>
      </c>
      <c r="H483" s="12" t="e">
        <f>#REF!</f>
        <v>#REF!</v>
      </c>
      <c r="I483" s="49" t="s">
        <v>554</v>
      </c>
      <c r="J483" s="12" t="e">
        <f t="shared" si="624"/>
        <v>#REF!</v>
      </c>
      <c r="K483" s="12" t="e">
        <f t="shared" si="625"/>
        <v>#REF!</v>
      </c>
      <c r="L483" s="12" t="e">
        <f t="shared" si="626"/>
        <v>#REF!</v>
      </c>
      <c r="M483" s="12" t="e">
        <f t="shared" si="627"/>
        <v>#REF!</v>
      </c>
      <c r="N483" s="12">
        <v>5.1999999999999995E-4</v>
      </c>
      <c r="O483" s="12" t="e">
        <f t="shared" si="628"/>
        <v>#REF!</v>
      </c>
      <c r="P483" s="50" t="s">
        <v>605</v>
      </c>
      <c r="Z483" s="12">
        <f t="shared" si="629"/>
        <v>0</v>
      </c>
      <c r="AB483" s="12">
        <f t="shared" si="630"/>
        <v>0</v>
      </c>
      <c r="AC483" s="12">
        <f t="shared" si="631"/>
        <v>0</v>
      </c>
      <c r="AD483" s="12" t="e">
        <f t="shared" si="632"/>
        <v>#REF!</v>
      </c>
      <c r="AE483" s="12" t="e">
        <f t="shared" si="633"/>
        <v>#REF!</v>
      </c>
      <c r="AF483" s="12">
        <f t="shared" si="634"/>
        <v>0</v>
      </c>
      <c r="AG483" s="12">
        <f t="shared" si="635"/>
        <v>0</v>
      </c>
      <c r="AH483" s="12">
        <f t="shared" si="636"/>
        <v>0</v>
      </c>
      <c r="AI483" s="10" t="s">
        <v>921</v>
      </c>
      <c r="AJ483" s="12">
        <f t="shared" si="637"/>
        <v>0</v>
      </c>
      <c r="AK483" s="12">
        <f t="shared" si="638"/>
        <v>0</v>
      </c>
      <c r="AL483" s="12" t="e">
        <f t="shared" si="639"/>
        <v>#REF!</v>
      </c>
      <c r="AN483" s="12">
        <v>21</v>
      </c>
      <c r="AO483" s="12" t="e">
        <f>H483*0.869366701</f>
        <v>#REF!</v>
      </c>
      <c r="AP483" s="12" t="e">
        <f>H483*(1-0.869366701)</f>
        <v>#REF!</v>
      </c>
      <c r="AQ483" s="49" t="s">
        <v>567</v>
      </c>
      <c r="AV483" s="12" t="e">
        <f t="shared" si="640"/>
        <v>#REF!</v>
      </c>
      <c r="AW483" s="12" t="e">
        <f t="shared" si="641"/>
        <v>#REF!</v>
      </c>
      <c r="AX483" s="12" t="e">
        <f t="shared" si="642"/>
        <v>#REF!</v>
      </c>
      <c r="AY483" s="49" t="s">
        <v>593</v>
      </c>
      <c r="AZ483" s="49" t="s">
        <v>951</v>
      </c>
      <c r="BA483" s="10" t="s">
        <v>924</v>
      </c>
      <c r="BC483" s="12" t="e">
        <f t="shared" si="643"/>
        <v>#REF!</v>
      </c>
      <c r="BD483" s="12" t="e">
        <f t="shared" si="644"/>
        <v>#REF!</v>
      </c>
      <c r="BE483" s="12">
        <v>0</v>
      </c>
      <c r="BF483" s="12" t="e">
        <f t="shared" si="645"/>
        <v>#REF!</v>
      </c>
      <c r="BH483" s="12" t="e">
        <f t="shared" si="646"/>
        <v>#REF!</v>
      </c>
      <c r="BI483" s="12" t="e">
        <f t="shared" si="647"/>
        <v>#REF!</v>
      </c>
      <c r="BJ483" s="12" t="e">
        <f t="shared" si="648"/>
        <v>#REF!</v>
      </c>
      <c r="BK483" s="12"/>
      <c r="BL483" s="12">
        <v>734</v>
      </c>
      <c r="BW483" s="12" t="str">
        <f t="shared" si="649"/>
        <v>21</v>
      </c>
      <c r="BX483" s="3" t="s">
        <v>425</v>
      </c>
    </row>
    <row r="484" spans="1:76">
      <c r="A484" s="1" t="s">
        <v>978</v>
      </c>
      <c r="B484" s="2" t="s">
        <v>921</v>
      </c>
      <c r="C484" s="2" t="s">
        <v>426</v>
      </c>
      <c r="D484" s="349" t="s">
        <v>427</v>
      </c>
      <c r="E484" s="342"/>
      <c r="F484" s="2" t="s">
        <v>68</v>
      </c>
      <c r="G484" s="12" t="e">
        <f>#REF!</f>
        <v>#REF!</v>
      </c>
      <c r="H484" s="12" t="e">
        <f>#REF!</f>
        <v>#REF!</v>
      </c>
      <c r="I484" s="49" t="s">
        <v>554</v>
      </c>
      <c r="J484" s="12" t="e">
        <f t="shared" si="624"/>
        <v>#REF!</v>
      </c>
      <c r="K484" s="12" t="e">
        <f t="shared" si="625"/>
        <v>#REF!</v>
      </c>
      <c r="L484" s="12" t="e">
        <f t="shared" si="626"/>
        <v>#REF!</v>
      </c>
      <c r="M484" s="12" t="e">
        <f t="shared" si="627"/>
        <v>#REF!</v>
      </c>
      <c r="N484" s="12">
        <v>9.2000000000000003E-4</v>
      </c>
      <c r="O484" s="12" t="e">
        <f t="shared" si="628"/>
        <v>#REF!</v>
      </c>
      <c r="P484" s="50" t="s">
        <v>605</v>
      </c>
      <c r="Z484" s="12">
        <f t="shared" si="629"/>
        <v>0</v>
      </c>
      <c r="AB484" s="12">
        <f t="shared" si="630"/>
        <v>0</v>
      </c>
      <c r="AC484" s="12">
        <f t="shared" si="631"/>
        <v>0</v>
      </c>
      <c r="AD484" s="12" t="e">
        <f t="shared" si="632"/>
        <v>#REF!</v>
      </c>
      <c r="AE484" s="12" t="e">
        <f t="shared" si="633"/>
        <v>#REF!</v>
      </c>
      <c r="AF484" s="12">
        <f t="shared" si="634"/>
        <v>0</v>
      </c>
      <c r="AG484" s="12">
        <f t="shared" si="635"/>
        <v>0</v>
      </c>
      <c r="AH484" s="12">
        <f t="shared" si="636"/>
        <v>0</v>
      </c>
      <c r="AI484" s="10" t="s">
        <v>921</v>
      </c>
      <c r="AJ484" s="12">
        <f t="shared" si="637"/>
        <v>0</v>
      </c>
      <c r="AK484" s="12">
        <f t="shared" si="638"/>
        <v>0</v>
      </c>
      <c r="AL484" s="12" t="e">
        <f t="shared" si="639"/>
        <v>#REF!</v>
      </c>
      <c r="AN484" s="12">
        <v>21</v>
      </c>
      <c r="AO484" s="12" t="e">
        <f>H484*0.929993168</f>
        <v>#REF!</v>
      </c>
      <c r="AP484" s="12" t="e">
        <f>H484*(1-0.929993168)</f>
        <v>#REF!</v>
      </c>
      <c r="AQ484" s="49" t="s">
        <v>567</v>
      </c>
      <c r="AV484" s="12" t="e">
        <f t="shared" si="640"/>
        <v>#REF!</v>
      </c>
      <c r="AW484" s="12" t="e">
        <f t="shared" si="641"/>
        <v>#REF!</v>
      </c>
      <c r="AX484" s="12" t="e">
        <f t="shared" si="642"/>
        <v>#REF!</v>
      </c>
      <c r="AY484" s="49" t="s">
        <v>593</v>
      </c>
      <c r="AZ484" s="49" t="s">
        <v>951</v>
      </c>
      <c r="BA484" s="10" t="s">
        <v>924</v>
      </c>
      <c r="BC484" s="12" t="e">
        <f t="shared" si="643"/>
        <v>#REF!</v>
      </c>
      <c r="BD484" s="12" t="e">
        <f t="shared" si="644"/>
        <v>#REF!</v>
      </c>
      <c r="BE484" s="12">
        <v>0</v>
      </c>
      <c r="BF484" s="12" t="e">
        <f t="shared" si="645"/>
        <v>#REF!</v>
      </c>
      <c r="BH484" s="12" t="e">
        <f t="shared" si="646"/>
        <v>#REF!</v>
      </c>
      <c r="BI484" s="12" t="e">
        <f t="shared" si="647"/>
        <v>#REF!</v>
      </c>
      <c r="BJ484" s="12" t="e">
        <f t="shared" si="648"/>
        <v>#REF!</v>
      </c>
      <c r="BK484" s="12"/>
      <c r="BL484" s="12">
        <v>734</v>
      </c>
      <c r="BW484" s="12" t="str">
        <f t="shared" si="649"/>
        <v>21</v>
      </c>
      <c r="BX484" s="3" t="s">
        <v>427</v>
      </c>
    </row>
    <row r="485" spans="1:76">
      <c r="A485" s="1" t="s">
        <v>979</v>
      </c>
      <c r="B485" s="2" t="s">
        <v>921</v>
      </c>
      <c r="C485" s="2" t="s">
        <v>428</v>
      </c>
      <c r="D485" s="349" t="s">
        <v>429</v>
      </c>
      <c r="E485" s="342"/>
      <c r="F485" s="2" t="s">
        <v>68</v>
      </c>
      <c r="G485" s="12" t="e">
        <f>#REF!</f>
        <v>#REF!</v>
      </c>
      <c r="H485" s="12" t="e">
        <f>#REF!</f>
        <v>#REF!</v>
      </c>
      <c r="I485" s="49" t="s">
        <v>554</v>
      </c>
      <c r="J485" s="12" t="e">
        <f t="shared" si="624"/>
        <v>#REF!</v>
      </c>
      <c r="K485" s="12" t="e">
        <f t="shared" si="625"/>
        <v>#REF!</v>
      </c>
      <c r="L485" s="12" t="e">
        <f t="shared" si="626"/>
        <v>#REF!</v>
      </c>
      <c r="M485" s="12" t="e">
        <f t="shared" si="627"/>
        <v>#REF!</v>
      </c>
      <c r="N485" s="12">
        <v>1.3999999999999999E-4</v>
      </c>
      <c r="O485" s="12" t="e">
        <f t="shared" si="628"/>
        <v>#REF!</v>
      </c>
      <c r="P485" s="50" t="s">
        <v>605</v>
      </c>
      <c r="Z485" s="12">
        <f t="shared" si="629"/>
        <v>0</v>
      </c>
      <c r="AB485" s="12">
        <f t="shared" si="630"/>
        <v>0</v>
      </c>
      <c r="AC485" s="12">
        <f t="shared" si="631"/>
        <v>0</v>
      </c>
      <c r="AD485" s="12" t="e">
        <f t="shared" si="632"/>
        <v>#REF!</v>
      </c>
      <c r="AE485" s="12" t="e">
        <f t="shared" si="633"/>
        <v>#REF!</v>
      </c>
      <c r="AF485" s="12">
        <f t="shared" si="634"/>
        <v>0</v>
      </c>
      <c r="AG485" s="12">
        <f t="shared" si="635"/>
        <v>0</v>
      </c>
      <c r="AH485" s="12">
        <f t="shared" si="636"/>
        <v>0</v>
      </c>
      <c r="AI485" s="10" t="s">
        <v>921</v>
      </c>
      <c r="AJ485" s="12">
        <f t="shared" si="637"/>
        <v>0</v>
      </c>
      <c r="AK485" s="12">
        <f t="shared" si="638"/>
        <v>0</v>
      </c>
      <c r="AL485" s="12" t="e">
        <f t="shared" si="639"/>
        <v>#REF!</v>
      </c>
      <c r="AN485" s="12">
        <v>21</v>
      </c>
      <c r="AO485" s="12" t="e">
        <f>H485*0.76990099</f>
        <v>#REF!</v>
      </c>
      <c r="AP485" s="12" t="e">
        <f>H485*(1-0.76990099)</f>
        <v>#REF!</v>
      </c>
      <c r="AQ485" s="49" t="s">
        <v>567</v>
      </c>
      <c r="AV485" s="12" t="e">
        <f t="shared" si="640"/>
        <v>#REF!</v>
      </c>
      <c r="AW485" s="12" t="e">
        <f t="shared" si="641"/>
        <v>#REF!</v>
      </c>
      <c r="AX485" s="12" t="e">
        <f t="shared" si="642"/>
        <v>#REF!</v>
      </c>
      <c r="AY485" s="49" t="s">
        <v>593</v>
      </c>
      <c r="AZ485" s="49" t="s">
        <v>951</v>
      </c>
      <c r="BA485" s="10" t="s">
        <v>924</v>
      </c>
      <c r="BC485" s="12" t="e">
        <f t="shared" si="643"/>
        <v>#REF!</v>
      </c>
      <c r="BD485" s="12" t="e">
        <f t="shared" si="644"/>
        <v>#REF!</v>
      </c>
      <c r="BE485" s="12">
        <v>0</v>
      </c>
      <c r="BF485" s="12" t="e">
        <f t="shared" si="645"/>
        <v>#REF!</v>
      </c>
      <c r="BH485" s="12" t="e">
        <f t="shared" si="646"/>
        <v>#REF!</v>
      </c>
      <c r="BI485" s="12" t="e">
        <f t="shared" si="647"/>
        <v>#REF!</v>
      </c>
      <c r="BJ485" s="12" t="e">
        <f t="shared" si="648"/>
        <v>#REF!</v>
      </c>
      <c r="BK485" s="12"/>
      <c r="BL485" s="12">
        <v>734</v>
      </c>
      <c r="BW485" s="12" t="str">
        <f t="shared" si="649"/>
        <v>21</v>
      </c>
      <c r="BX485" s="3" t="s">
        <v>429</v>
      </c>
    </row>
    <row r="486" spans="1:76">
      <c r="A486" s="1" t="s">
        <v>980</v>
      </c>
      <c r="B486" s="2" t="s">
        <v>921</v>
      </c>
      <c r="C486" s="2" t="s">
        <v>430</v>
      </c>
      <c r="D486" s="349" t="s">
        <v>431</v>
      </c>
      <c r="E486" s="342"/>
      <c r="F486" s="2" t="s">
        <v>68</v>
      </c>
      <c r="G486" s="12" t="e">
        <f>#REF!</f>
        <v>#REF!</v>
      </c>
      <c r="H486" s="12" t="e">
        <f>#REF!</f>
        <v>#REF!</v>
      </c>
      <c r="I486" s="49" t="s">
        <v>554</v>
      </c>
      <c r="J486" s="12" t="e">
        <f t="shared" si="624"/>
        <v>#REF!</v>
      </c>
      <c r="K486" s="12" t="e">
        <f t="shared" si="625"/>
        <v>#REF!</v>
      </c>
      <c r="L486" s="12" t="e">
        <f t="shared" si="626"/>
        <v>#REF!</v>
      </c>
      <c r="M486" s="12" t="e">
        <f t="shared" si="627"/>
        <v>#REF!</v>
      </c>
      <c r="N486" s="12">
        <v>5.0000000000000001E-4</v>
      </c>
      <c r="O486" s="12" t="e">
        <f t="shared" si="628"/>
        <v>#REF!</v>
      </c>
      <c r="P486" s="50" t="s">
        <v>605</v>
      </c>
      <c r="Z486" s="12">
        <f t="shared" si="629"/>
        <v>0</v>
      </c>
      <c r="AB486" s="12">
        <f t="shared" si="630"/>
        <v>0</v>
      </c>
      <c r="AC486" s="12">
        <f t="shared" si="631"/>
        <v>0</v>
      </c>
      <c r="AD486" s="12" t="e">
        <f t="shared" si="632"/>
        <v>#REF!</v>
      </c>
      <c r="AE486" s="12" t="e">
        <f t="shared" si="633"/>
        <v>#REF!</v>
      </c>
      <c r="AF486" s="12">
        <f t="shared" si="634"/>
        <v>0</v>
      </c>
      <c r="AG486" s="12">
        <f t="shared" si="635"/>
        <v>0</v>
      </c>
      <c r="AH486" s="12">
        <f t="shared" si="636"/>
        <v>0</v>
      </c>
      <c r="AI486" s="10" t="s">
        <v>921</v>
      </c>
      <c r="AJ486" s="12">
        <f t="shared" si="637"/>
        <v>0</v>
      </c>
      <c r="AK486" s="12">
        <f t="shared" si="638"/>
        <v>0</v>
      </c>
      <c r="AL486" s="12" t="e">
        <f t="shared" si="639"/>
        <v>#REF!</v>
      </c>
      <c r="AN486" s="12">
        <v>21</v>
      </c>
      <c r="AO486" s="12" t="e">
        <f>H486*0.872981818</f>
        <v>#REF!</v>
      </c>
      <c r="AP486" s="12" t="e">
        <f>H486*(1-0.872981818)</f>
        <v>#REF!</v>
      </c>
      <c r="AQ486" s="49" t="s">
        <v>567</v>
      </c>
      <c r="AV486" s="12" t="e">
        <f t="shared" si="640"/>
        <v>#REF!</v>
      </c>
      <c r="AW486" s="12" t="e">
        <f t="shared" si="641"/>
        <v>#REF!</v>
      </c>
      <c r="AX486" s="12" t="e">
        <f t="shared" si="642"/>
        <v>#REF!</v>
      </c>
      <c r="AY486" s="49" t="s">
        <v>593</v>
      </c>
      <c r="AZ486" s="49" t="s">
        <v>951</v>
      </c>
      <c r="BA486" s="10" t="s">
        <v>924</v>
      </c>
      <c r="BC486" s="12" t="e">
        <f t="shared" si="643"/>
        <v>#REF!</v>
      </c>
      <c r="BD486" s="12" t="e">
        <f t="shared" si="644"/>
        <v>#REF!</v>
      </c>
      <c r="BE486" s="12">
        <v>0</v>
      </c>
      <c r="BF486" s="12" t="e">
        <f t="shared" si="645"/>
        <v>#REF!</v>
      </c>
      <c r="BH486" s="12" t="e">
        <f t="shared" si="646"/>
        <v>#REF!</v>
      </c>
      <c r="BI486" s="12" t="e">
        <f t="shared" si="647"/>
        <v>#REF!</v>
      </c>
      <c r="BJ486" s="12" t="e">
        <f t="shared" si="648"/>
        <v>#REF!</v>
      </c>
      <c r="BK486" s="12"/>
      <c r="BL486" s="12">
        <v>734</v>
      </c>
      <c r="BW486" s="12" t="str">
        <f t="shared" si="649"/>
        <v>21</v>
      </c>
      <c r="BX486" s="3" t="s">
        <v>431</v>
      </c>
    </row>
    <row r="487" spans="1:76">
      <c r="A487" s="1" t="s">
        <v>981</v>
      </c>
      <c r="B487" s="2" t="s">
        <v>921</v>
      </c>
      <c r="C487" s="2" t="s">
        <v>432</v>
      </c>
      <c r="D487" s="349" t="s">
        <v>433</v>
      </c>
      <c r="E487" s="342"/>
      <c r="F487" s="2" t="s">
        <v>58</v>
      </c>
      <c r="G487" s="12" t="e">
        <f>#REF!</f>
        <v>#REF!</v>
      </c>
      <c r="H487" s="12" t="e">
        <f>#REF!</f>
        <v>#REF!</v>
      </c>
      <c r="I487" s="49" t="s">
        <v>554</v>
      </c>
      <c r="J487" s="12" t="e">
        <f t="shared" si="624"/>
        <v>#REF!</v>
      </c>
      <c r="K487" s="12" t="e">
        <f t="shared" si="625"/>
        <v>#REF!</v>
      </c>
      <c r="L487" s="12" t="e">
        <f t="shared" si="626"/>
        <v>#REF!</v>
      </c>
      <c r="M487" s="12" t="e">
        <f t="shared" si="627"/>
        <v>#REF!</v>
      </c>
      <c r="N487" s="12">
        <v>1.238E-2</v>
      </c>
      <c r="O487" s="12" t="e">
        <f t="shared" si="628"/>
        <v>#REF!</v>
      </c>
      <c r="P487" s="50" t="s">
        <v>577</v>
      </c>
      <c r="Z487" s="12">
        <f t="shared" si="629"/>
        <v>0</v>
      </c>
      <c r="AB487" s="12">
        <f t="shared" si="630"/>
        <v>0</v>
      </c>
      <c r="AC487" s="12">
        <f t="shared" si="631"/>
        <v>0</v>
      </c>
      <c r="AD487" s="12" t="e">
        <f t="shared" si="632"/>
        <v>#REF!</v>
      </c>
      <c r="AE487" s="12" t="e">
        <f t="shared" si="633"/>
        <v>#REF!</v>
      </c>
      <c r="AF487" s="12">
        <f t="shared" si="634"/>
        <v>0</v>
      </c>
      <c r="AG487" s="12">
        <f t="shared" si="635"/>
        <v>0</v>
      </c>
      <c r="AH487" s="12">
        <f t="shared" si="636"/>
        <v>0</v>
      </c>
      <c r="AI487" s="10" t="s">
        <v>921</v>
      </c>
      <c r="AJ487" s="12">
        <f t="shared" si="637"/>
        <v>0</v>
      </c>
      <c r="AK487" s="12">
        <f t="shared" si="638"/>
        <v>0</v>
      </c>
      <c r="AL487" s="12" t="e">
        <f t="shared" si="639"/>
        <v>#REF!</v>
      </c>
      <c r="AN487" s="12">
        <v>21</v>
      </c>
      <c r="AO487" s="12" t="e">
        <f>H487*0.91595369</f>
        <v>#REF!</v>
      </c>
      <c r="AP487" s="12" t="e">
        <f>H487*(1-0.91595369)</f>
        <v>#REF!</v>
      </c>
      <c r="AQ487" s="49" t="s">
        <v>567</v>
      </c>
      <c r="AV487" s="12" t="e">
        <f t="shared" si="640"/>
        <v>#REF!</v>
      </c>
      <c r="AW487" s="12" t="e">
        <f t="shared" si="641"/>
        <v>#REF!</v>
      </c>
      <c r="AX487" s="12" t="e">
        <f t="shared" si="642"/>
        <v>#REF!</v>
      </c>
      <c r="AY487" s="49" t="s">
        <v>593</v>
      </c>
      <c r="AZ487" s="49" t="s">
        <v>951</v>
      </c>
      <c r="BA487" s="10" t="s">
        <v>924</v>
      </c>
      <c r="BC487" s="12" t="e">
        <f t="shared" si="643"/>
        <v>#REF!</v>
      </c>
      <c r="BD487" s="12" t="e">
        <f t="shared" si="644"/>
        <v>#REF!</v>
      </c>
      <c r="BE487" s="12">
        <v>0</v>
      </c>
      <c r="BF487" s="12" t="e">
        <f t="shared" si="645"/>
        <v>#REF!</v>
      </c>
      <c r="BH487" s="12" t="e">
        <f t="shared" si="646"/>
        <v>#REF!</v>
      </c>
      <c r="BI487" s="12" t="e">
        <f t="shared" si="647"/>
        <v>#REF!</v>
      </c>
      <c r="BJ487" s="12" t="e">
        <f t="shared" si="648"/>
        <v>#REF!</v>
      </c>
      <c r="BK487" s="12"/>
      <c r="BL487" s="12">
        <v>734</v>
      </c>
      <c r="BW487" s="12" t="str">
        <f t="shared" si="649"/>
        <v>21</v>
      </c>
      <c r="BX487" s="3" t="s">
        <v>433</v>
      </c>
    </row>
    <row r="488" spans="1:76">
      <c r="A488" s="1" t="s">
        <v>982</v>
      </c>
      <c r="B488" s="2" t="s">
        <v>921</v>
      </c>
      <c r="C488" s="2" t="s">
        <v>434</v>
      </c>
      <c r="D488" s="349" t="s">
        <v>435</v>
      </c>
      <c r="E488" s="342"/>
      <c r="F488" s="2" t="s">
        <v>68</v>
      </c>
      <c r="G488" s="12" t="e">
        <f>#REF!</f>
        <v>#REF!</v>
      </c>
      <c r="H488" s="12" t="e">
        <f>#REF!</f>
        <v>#REF!</v>
      </c>
      <c r="I488" s="49" t="s">
        <v>554</v>
      </c>
      <c r="J488" s="12" t="e">
        <f t="shared" si="624"/>
        <v>#REF!</v>
      </c>
      <c r="K488" s="12" t="e">
        <f t="shared" si="625"/>
        <v>#REF!</v>
      </c>
      <c r="L488" s="12" t="e">
        <f t="shared" si="626"/>
        <v>#REF!</v>
      </c>
      <c r="M488" s="12" t="e">
        <f t="shared" si="627"/>
        <v>#REF!</v>
      </c>
      <c r="N488" s="12">
        <v>1.3999999999999999E-4</v>
      </c>
      <c r="O488" s="12" t="e">
        <f t="shared" si="628"/>
        <v>#REF!</v>
      </c>
      <c r="P488" s="50" t="s">
        <v>577</v>
      </c>
      <c r="Z488" s="12">
        <f t="shared" si="629"/>
        <v>0</v>
      </c>
      <c r="AB488" s="12">
        <f t="shared" si="630"/>
        <v>0</v>
      </c>
      <c r="AC488" s="12">
        <f t="shared" si="631"/>
        <v>0</v>
      </c>
      <c r="AD488" s="12" t="e">
        <f t="shared" si="632"/>
        <v>#REF!</v>
      </c>
      <c r="AE488" s="12" t="e">
        <f t="shared" si="633"/>
        <v>#REF!</v>
      </c>
      <c r="AF488" s="12">
        <f t="shared" si="634"/>
        <v>0</v>
      </c>
      <c r="AG488" s="12">
        <f t="shared" si="635"/>
        <v>0</v>
      </c>
      <c r="AH488" s="12">
        <f t="shared" si="636"/>
        <v>0</v>
      </c>
      <c r="AI488" s="10" t="s">
        <v>921</v>
      </c>
      <c r="AJ488" s="12">
        <f t="shared" si="637"/>
        <v>0</v>
      </c>
      <c r="AK488" s="12">
        <f t="shared" si="638"/>
        <v>0</v>
      </c>
      <c r="AL488" s="12" t="e">
        <f t="shared" si="639"/>
        <v>#REF!</v>
      </c>
      <c r="AN488" s="12">
        <v>21</v>
      </c>
      <c r="AO488" s="12" t="e">
        <f>H488*0.69147929</f>
        <v>#REF!</v>
      </c>
      <c r="AP488" s="12" t="e">
        <f>H488*(1-0.69147929)</f>
        <v>#REF!</v>
      </c>
      <c r="AQ488" s="49" t="s">
        <v>567</v>
      </c>
      <c r="AV488" s="12" t="e">
        <f t="shared" si="640"/>
        <v>#REF!</v>
      </c>
      <c r="AW488" s="12" t="e">
        <f t="shared" si="641"/>
        <v>#REF!</v>
      </c>
      <c r="AX488" s="12" t="e">
        <f t="shared" si="642"/>
        <v>#REF!</v>
      </c>
      <c r="AY488" s="49" t="s">
        <v>593</v>
      </c>
      <c r="AZ488" s="49" t="s">
        <v>951</v>
      </c>
      <c r="BA488" s="10" t="s">
        <v>924</v>
      </c>
      <c r="BC488" s="12" t="e">
        <f t="shared" si="643"/>
        <v>#REF!</v>
      </c>
      <c r="BD488" s="12" t="e">
        <f t="shared" si="644"/>
        <v>#REF!</v>
      </c>
      <c r="BE488" s="12">
        <v>0</v>
      </c>
      <c r="BF488" s="12" t="e">
        <f t="shared" si="645"/>
        <v>#REF!</v>
      </c>
      <c r="BH488" s="12" t="e">
        <f t="shared" si="646"/>
        <v>#REF!</v>
      </c>
      <c r="BI488" s="12" t="e">
        <f t="shared" si="647"/>
        <v>#REF!</v>
      </c>
      <c r="BJ488" s="12" t="e">
        <f t="shared" si="648"/>
        <v>#REF!</v>
      </c>
      <c r="BK488" s="12"/>
      <c r="BL488" s="12">
        <v>734</v>
      </c>
      <c r="BW488" s="12" t="str">
        <f t="shared" si="649"/>
        <v>21</v>
      </c>
      <c r="BX488" s="3" t="s">
        <v>435</v>
      </c>
    </row>
    <row r="489" spans="1:76">
      <c r="A489" s="1" t="s">
        <v>983</v>
      </c>
      <c r="B489" s="2" t="s">
        <v>921</v>
      </c>
      <c r="C489" s="2" t="s">
        <v>436</v>
      </c>
      <c r="D489" s="349" t="s">
        <v>437</v>
      </c>
      <c r="E489" s="342"/>
      <c r="F489" s="2" t="s">
        <v>68</v>
      </c>
      <c r="G489" s="12" t="e">
        <f>#REF!</f>
        <v>#REF!</v>
      </c>
      <c r="H489" s="12" t="e">
        <f>#REF!</f>
        <v>#REF!</v>
      </c>
      <c r="I489" s="49" t="s">
        <v>554</v>
      </c>
      <c r="J489" s="12" t="e">
        <f t="shared" si="624"/>
        <v>#REF!</v>
      </c>
      <c r="K489" s="12" t="e">
        <f t="shared" si="625"/>
        <v>#REF!</v>
      </c>
      <c r="L489" s="12" t="e">
        <f t="shared" si="626"/>
        <v>#REF!</v>
      </c>
      <c r="M489" s="12" t="e">
        <f t="shared" si="627"/>
        <v>#REF!</v>
      </c>
      <c r="N489" s="12">
        <v>2.9999999999999997E-4</v>
      </c>
      <c r="O489" s="12" t="e">
        <f t="shared" si="628"/>
        <v>#REF!</v>
      </c>
      <c r="P489" s="50" t="s">
        <v>605</v>
      </c>
      <c r="Z489" s="12">
        <f t="shared" si="629"/>
        <v>0</v>
      </c>
      <c r="AB489" s="12">
        <f t="shared" si="630"/>
        <v>0</v>
      </c>
      <c r="AC489" s="12">
        <f t="shared" si="631"/>
        <v>0</v>
      </c>
      <c r="AD489" s="12" t="e">
        <f t="shared" si="632"/>
        <v>#REF!</v>
      </c>
      <c r="AE489" s="12" t="e">
        <f t="shared" si="633"/>
        <v>#REF!</v>
      </c>
      <c r="AF489" s="12">
        <f t="shared" si="634"/>
        <v>0</v>
      </c>
      <c r="AG489" s="12">
        <f t="shared" si="635"/>
        <v>0</v>
      </c>
      <c r="AH489" s="12">
        <f t="shared" si="636"/>
        <v>0</v>
      </c>
      <c r="AI489" s="10" t="s">
        <v>921</v>
      </c>
      <c r="AJ489" s="12">
        <f t="shared" si="637"/>
        <v>0</v>
      </c>
      <c r="AK489" s="12">
        <f t="shared" si="638"/>
        <v>0</v>
      </c>
      <c r="AL489" s="12" t="e">
        <f t="shared" si="639"/>
        <v>#REF!</v>
      </c>
      <c r="AN489" s="12">
        <v>21</v>
      </c>
      <c r="AO489" s="12" t="e">
        <f>H489*0.796243845</f>
        <v>#REF!</v>
      </c>
      <c r="AP489" s="12" t="e">
        <f>H489*(1-0.796243845)</f>
        <v>#REF!</v>
      </c>
      <c r="AQ489" s="49" t="s">
        <v>567</v>
      </c>
      <c r="AV489" s="12" t="e">
        <f t="shared" si="640"/>
        <v>#REF!</v>
      </c>
      <c r="AW489" s="12" t="e">
        <f t="shared" si="641"/>
        <v>#REF!</v>
      </c>
      <c r="AX489" s="12" t="e">
        <f t="shared" si="642"/>
        <v>#REF!</v>
      </c>
      <c r="AY489" s="49" t="s">
        <v>593</v>
      </c>
      <c r="AZ489" s="49" t="s">
        <v>951</v>
      </c>
      <c r="BA489" s="10" t="s">
        <v>924</v>
      </c>
      <c r="BC489" s="12" t="e">
        <f t="shared" si="643"/>
        <v>#REF!</v>
      </c>
      <c r="BD489" s="12" t="e">
        <f t="shared" si="644"/>
        <v>#REF!</v>
      </c>
      <c r="BE489" s="12">
        <v>0</v>
      </c>
      <c r="BF489" s="12" t="e">
        <f t="shared" si="645"/>
        <v>#REF!</v>
      </c>
      <c r="BH489" s="12" t="e">
        <f t="shared" si="646"/>
        <v>#REF!</v>
      </c>
      <c r="BI489" s="12" t="e">
        <f t="shared" si="647"/>
        <v>#REF!</v>
      </c>
      <c r="BJ489" s="12" t="e">
        <f t="shared" si="648"/>
        <v>#REF!</v>
      </c>
      <c r="BK489" s="12"/>
      <c r="BL489" s="12">
        <v>734</v>
      </c>
      <c r="BW489" s="12" t="str">
        <f t="shared" si="649"/>
        <v>21</v>
      </c>
      <c r="BX489" s="3" t="s">
        <v>437</v>
      </c>
    </row>
    <row r="490" spans="1:76">
      <c r="A490" s="1" t="s">
        <v>984</v>
      </c>
      <c r="B490" s="2" t="s">
        <v>921</v>
      </c>
      <c r="C490" s="2" t="s">
        <v>438</v>
      </c>
      <c r="D490" s="349" t="s">
        <v>439</v>
      </c>
      <c r="E490" s="342"/>
      <c r="F490" s="2" t="s">
        <v>68</v>
      </c>
      <c r="G490" s="12" t="e">
        <f>#REF!</f>
        <v>#REF!</v>
      </c>
      <c r="H490" s="12" t="e">
        <f>#REF!</f>
        <v>#REF!</v>
      </c>
      <c r="I490" s="49" t="s">
        <v>554</v>
      </c>
      <c r="J490" s="12" t="e">
        <f t="shared" si="624"/>
        <v>#REF!</v>
      </c>
      <c r="K490" s="12" t="e">
        <f t="shared" si="625"/>
        <v>#REF!</v>
      </c>
      <c r="L490" s="12" t="e">
        <f t="shared" si="626"/>
        <v>#REF!</v>
      </c>
      <c r="M490" s="12" t="e">
        <f t="shared" si="627"/>
        <v>#REF!</v>
      </c>
      <c r="N490" s="12">
        <v>1.0399999999999999E-3</v>
      </c>
      <c r="O490" s="12" t="e">
        <f t="shared" si="628"/>
        <v>#REF!</v>
      </c>
      <c r="P490" s="50" t="s">
        <v>605</v>
      </c>
      <c r="Z490" s="12">
        <f t="shared" si="629"/>
        <v>0</v>
      </c>
      <c r="AB490" s="12">
        <f t="shared" si="630"/>
        <v>0</v>
      </c>
      <c r="AC490" s="12">
        <f t="shared" si="631"/>
        <v>0</v>
      </c>
      <c r="AD490" s="12" t="e">
        <f t="shared" si="632"/>
        <v>#REF!</v>
      </c>
      <c r="AE490" s="12" t="e">
        <f t="shared" si="633"/>
        <v>#REF!</v>
      </c>
      <c r="AF490" s="12">
        <f t="shared" si="634"/>
        <v>0</v>
      </c>
      <c r="AG490" s="12">
        <f t="shared" si="635"/>
        <v>0</v>
      </c>
      <c r="AH490" s="12">
        <f t="shared" si="636"/>
        <v>0</v>
      </c>
      <c r="AI490" s="10" t="s">
        <v>921</v>
      </c>
      <c r="AJ490" s="12">
        <f t="shared" si="637"/>
        <v>0</v>
      </c>
      <c r="AK490" s="12">
        <f t="shared" si="638"/>
        <v>0</v>
      </c>
      <c r="AL490" s="12" t="e">
        <f t="shared" si="639"/>
        <v>#REF!</v>
      </c>
      <c r="AN490" s="12">
        <v>21</v>
      </c>
      <c r="AO490" s="12" t="e">
        <f>H490*0.893386019</f>
        <v>#REF!</v>
      </c>
      <c r="AP490" s="12" t="e">
        <f>H490*(1-0.893386019)</f>
        <v>#REF!</v>
      </c>
      <c r="AQ490" s="49" t="s">
        <v>567</v>
      </c>
      <c r="AV490" s="12" t="e">
        <f t="shared" si="640"/>
        <v>#REF!</v>
      </c>
      <c r="AW490" s="12" t="e">
        <f t="shared" si="641"/>
        <v>#REF!</v>
      </c>
      <c r="AX490" s="12" t="e">
        <f t="shared" si="642"/>
        <v>#REF!</v>
      </c>
      <c r="AY490" s="49" t="s">
        <v>593</v>
      </c>
      <c r="AZ490" s="49" t="s">
        <v>951</v>
      </c>
      <c r="BA490" s="10" t="s">
        <v>924</v>
      </c>
      <c r="BC490" s="12" t="e">
        <f t="shared" si="643"/>
        <v>#REF!</v>
      </c>
      <c r="BD490" s="12" t="e">
        <f t="shared" si="644"/>
        <v>#REF!</v>
      </c>
      <c r="BE490" s="12">
        <v>0</v>
      </c>
      <c r="BF490" s="12" t="e">
        <f t="shared" si="645"/>
        <v>#REF!</v>
      </c>
      <c r="BH490" s="12" t="e">
        <f t="shared" si="646"/>
        <v>#REF!</v>
      </c>
      <c r="BI490" s="12" t="e">
        <f t="shared" si="647"/>
        <v>#REF!</v>
      </c>
      <c r="BJ490" s="12" t="e">
        <f t="shared" si="648"/>
        <v>#REF!</v>
      </c>
      <c r="BK490" s="12"/>
      <c r="BL490" s="12">
        <v>734</v>
      </c>
      <c r="BW490" s="12" t="str">
        <f t="shared" si="649"/>
        <v>21</v>
      </c>
      <c r="BX490" s="3" t="s">
        <v>439</v>
      </c>
    </row>
    <row r="491" spans="1:76">
      <c r="A491" s="46" t="s">
        <v>21</v>
      </c>
      <c r="B491" s="9" t="s">
        <v>921</v>
      </c>
      <c r="C491" s="9" t="s">
        <v>101</v>
      </c>
      <c r="D491" s="359" t="s">
        <v>102</v>
      </c>
      <c r="E491" s="360"/>
      <c r="F491" s="47" t="s">
        <v>20</v>
      </c>
      <c r="G491" s="47" t="s">
        <v>20</v>
      </c>
      <c r="H491" s="47" t="s">
        <v>20</v>
      </c>
      <c r="I491" s="47" t="s">
        <v>20</v>
      </c>
      <c r="J491" s="11" t="e">
        <f>SUM(J492:J493)</f>
        <v>#REF!</v>
      </c>
      <c r="K491" s="11" t="e">
        <f>SUM(K492:K493)</f>
        <v>#REF!</v>
      </c>
      <c r="L491" s="11" t="e">
        <f>SUM(L492:L493)</f>
        <v>#REF!</v>
      </c>
      <c r="M491" s="11" t="e">
        <f>SUM(M492:M493)</f>
        <v>#REF!</v>
      </c>
      <c r="N491" s="10" t="s">
        <v>21</v>
      </c>
      <c r="O491" s="11" t="e">
        <f>SUM(O492:O493)</f>
        <v>#REF!</v>
      </c>
      <c r="P491" s="48" t="s">
        <v>21</v>
      </c>
      <c r="AI491" s="10" t="s">
        <v>921</v>
      </c>
      <c r="AS491" s="11">
        <f>SUM(AJ492:AJ493)</f>
        <v>0</v>
      </c>
      <c r="AT491" s="11">
        <f>SUM(AK492:AK493)</f>
        <v>0</v>
      </c>
      <c r="AU491" s="11" t="e">
        <f>SUM(AL492:AL493)</f>
        <v>#REF!</v>
      </c>
    </row>
    <row r="492" spans="1:76">
      <c r="A492" s="1" t="s">
        <v>985</v>
      </c>
      <c r="B492" s="2" t="s">
        <v>921</v>
      </c>
      <c r="C492" s="2" t="s">
        <v>440</v>
      </c>
      <c r="D492" s="349" t="s">
        <v>441</v>
      </c>
      <c r="E492" s="342"/>
      <c r="F492" s="2" t="s">
        <v>105</v>
      </c>
      <c r="G492" s="12" t="e">
        <f>#REF!</f>
        <v>#REF!</v>
      </c>
      <c r="H492" s="12" t="e">
        <f>#REF!</f>
        <v>#REF!</v>
      </c>
      <c r="I492" s="49" t="s">
        <v>554</v>
      </c>
      <c r="J492" s="12" t="e">
        <f>G492*AO492</f>
        <v>#REF!</v>
      </c>
      <c r="K492" s="12" t="e">
        <f>G492*AP492</f>
        <v>#REF!</v>
      </c>
      <c r="L492" s="12" t="e">
        <f>G492*H492</f>
        <v>#REF!</v>
      </c>
      <c r="M492" s="12" t="e">
        <f>L492*(1+BW492/100)</f>
        <v>#REF!</v>
      </c>
      <c r="N492" s="12">
        <v>1.0499999999999999E-3</v>
      </c>
      <c r="O492" s="12" t="e">
        <f>G492*N492</f>
        <v>#REF!</v>
      </c>
      <c r="P492" s="50" t="s">
        <v>577</v>
      </c>
      <c r="Z492" s="12">
        <f>IF(AQ492="5",BJ492,0)</f>
        <v>0</v>
      </c>
      <c r="AB492" s="12">
        <f>IF(AQ492="1",BH492,0)</f>
        <v>0</v>
      </c>
      <c r="AC492" s="12">
        <f>IF(AQ492="1",BI492,0)</f>
        <v>0</v>
      </c>
      <c r="AD492" s="12" t="e">
        <f>IF(AQ492="7",BH492,0)</f>
        <v>#REF!</v>
      </c>
      <c r="AE492" s="12" t="e">
        <f>IF(AQ492="7",BI492,0)</f>
        <v>#REF!</v>
      </c>
      <c r="AF492" s="12">
        <f>IF(AQ492="2",BH492,0)</f>
        <v>0</v>
      </c>
      <c r="AG492" s="12">
        <f>IF(AQ492="2",BI492,0)</f>
        <v>0</v>
      </c>
      <c r="AH492" s="12">
        <f>IF(AQ492="0",BJ492,0)</f>
        <v>0</v>
      </c>
      <c r="AI492" s="10" t="s">
        <v>921</v>
      </c>
      <c r="AJ492" s="12">
        <f>IF(AN492=0,L492,0)</f>
        <v>0</v>
      </c>
      <c r="AK492" s="12">
        <f>IF(AN492=12,L492,0)</f>
        <v>0</v>
      </c>
      <c r="AL492" s="12" t="e">
        <f>IF(AN492=21,L492,0)</f>
        <v>#REF!</v>
      </c>
      <c r="AN492" s="12">
        <v>21</v>
      </c>
      <c r="AO492" s="12" t="e">
        <f>H492*0.15238806</f>
        <v>#REF!</v>
      </c>
      <c r="AP492" s="12" t="e">
        <f>H492*(1-0.15238806)</f>
        <v>#REF!</v>
      </c>
      <c r="AQ492" s="49" t="s">
        <v>567</v>
      </c>
      <c r="AV492" s="12" t="e">
        <f>AW492+AX492</f>
        <v>#REF!</v>
      </c>
      <c r="AW492" s="12" t="e">
        <f>G492*AO492</f>
        <v>#REF!</v>
      </c>
      <c r="AX492" s="12" t="e">
        <f>G492*AP492</f>
        <v>#REF!</v>
      </c>
      <c r="AY492" s="49" t="s">
        <v>596</v>
      </c>
      <c r="AZ492" s="49" t="s">
        <v>986</v>
      </c>
      <c r="BA492" s="10" t="s">
        <v>924</v>
      </c>
      <c r="BC492" s="12" t="e">
        <f>AW492+AX492</f>
        <v>#REF!</v>
      </c>
      <c r="BD492" s="12" t="e">
        <f>H492/(100-BE492)*100</f>
        <v>#REF!</v>
      </c>
      <c r="BE492" s="12">
        <v>0</v>
      </c>
      <c r="BF492" s="12" t="e">
        <f>O492</f>
        <v>#REF!</v>
      </c>
      <c r="BH492" s="12" t="e">
        <f>G492*AO492</f>
        <v>#REF!</v>
      </c>
      <c r="BI492" s="12" t="e">
        <f>G492*AP492</f>
        <v>#REF!</v>
      </c>
      <c r="BJ492" s="12" t="e">
        <f>G492*H492</f>
        <v>#REF!</v>
      </c>
      <c r="BK492" s="12"/>
      <c r="BL492" s="12">
        <v>767</v>
      </c>
      <c r="BW492" s="12" t="str">
        <f>I492</f>
        <v>21</v>
      </c>
      <c r="BX492" s="3" t="s">
        <v>441</v>
      </c>
    </row>
    <row r="493" spans="1:76">
      <c r="A493" s="1" t="s">
        <v>987</v>
      </c>
      <c r="B493" s="2" t="s">
        <v>921</v>
      </c>
      <c r="C493" s="2" t="s">
        <v>442</v>
      </c>
      <c r="D493" s="349" t="s">
        <v>443</v>
      </c>
      <c r="E493" s="342"/>
      <c r="F493" s="2" t="s">
        <v>105</v>
      </c>
      <c r="G493" s="12" t="e">
        <f>#REF!</f>
        <v>#REF!</v>
      </c>
      <c r="H493" s="12" t="e">
        <f>#REF!</f>
        <v>#REF!</v>
      </c>
      <c r="I493" s="49" t="s">
        <v>554</v>
      </c>
      <c r="J493" s="12" t="e">
        <f>G493*AO493</f>
        <v>#REF!</v>
      </c>
      <c r="K493" s="12" t="e">
        <f>G493*AP493</f>
        <v>#REF!</v>
      </c>
      <c r="L493" s="12" t="e">
        <f>G493*H493</f>
        <v>#REF!</v>
      </c>
      <c r="M493" s="12" t="e">
        <f>L493*(1+BW493/100)</f>
        <v>#REF!</v>
      </c>
      <c r="N493" s="12">
        <v>1.06E-3</v>
      </c>
      <c r="O493" s="12" t="e">
        <f>G493*N493</f>
        <v>#REF!</v>
      </c>
      <c r="P493" s="50" t="s">
        <v>577</v>
      </c>
      <c r="Z493" s="12">
        <f>IF(AQ493="5",BJ493,0)</f>
        <v>0</v>
      </c>
      <c r="AB493" s="12">
        <f>IF(AQ493="1",BH493,0)</f>
        <v>0</v>
      </c>
      <c r="AC493" s="12">
        <f>IF(AQ493="1",BI493,0)</f>
        <v>0</v>
      </c>
      <c r="AD493" s="12" t="e">
        <f>IF(AQ493="7",BH493,0)</f>
        <v>#REF!</v>
      </c>
      <c r="AE493" s="12" t="e">
        <f>IF(AQ493="7",BI493,0)</f>
        <v>#REF!</v>
      </c>
      <c r="AF493" s="12">
        <f>IF(AQ493="2",BH493,0)</f>
        <v>0</v>
      </c>
      <c r="AG493" s="12">
        <f>IF(AQ493="2",BI493,0)</f>
        <v>0</v>
      </c>
      <c r="AH493" s="12">
        <f>IF(AQ493="0",BJ493,0)</f>
        <v>0</v>
      </c>
      <c r="AI493" s="10" t="s">
        <v>921</v>
      </c>
      <c r="AJ493" s="12">
        <f>IF(AN493=0,L493,0)</f>
        <v>0</v>
      </c>
      <c r="AK493" s="12">
        <f>IF(AN493=12,L493,0)</f>
        <v>0</v>
      </c>
      <c r="AL493" s="12" t="e">
        <f>IF(AN493=21,L493,0)</f>
        <v>#REF!</v>
      </c>
      <c r="AN493" s="12">
        <v>21</v>
      </c>
      <c r="AO493" s="12" t="e">
        <f>H493*0.303333333</f>
        <v>#REF!</v>
      </c>
      <c r="AP493" s="12" t="e">
        <f>H493*(1-0.303333333)</f>
        <v>#REF!</v>
      </c>
      <c r="AQ493" s="49" t="s">
        <v>567</v>
      </c>
      <c r="AV493" s="12" t="e">
        <f>AW493+AX493</f>
        <v>#REF!</v>
      </c>
      <c r="AW493" s="12" t="e">
        <f>G493*AO493</f>
        <v>#REF!</v>
      </c>
      <c r="AX493" s="12" t="e">
        <f>G493*AP493</f>
        <v>#REF!</v>
      </c>
      <c r="AY493" s="49" t="s">
        <v>596</v>
      </c>
      <c r="AZ493" s="49" t="s">
        <v>986</v>
      </c>
      <c r="BA493" s="10" t="s">
        <v>924</v>
      </c>
      <c r="BC493" s="12" t="e">
        <f>AW493+AX493</f>
        <v>#REF!</v>
      </c>
      <c r="BD493" s="12" t="e">
        <f>H493/(100-BE493)*100</f>
        <v>#REF!</v>
      </c>
      <c r="BE493" s="12">
        <v>0</v>
      </c>
      <c r="BF493" s="12" t="e">
        <f>O493</f>
        <v>#REF!</v>
      </c>
      <c r="BH493" s="12" t="e">
        <f>G493*AO493</f>
        <v>#REF!</v>
      </c>
      <c r="BI493" s="12" t="e">
        <f>G493*AP493</f>
        <v>#REF!</v>
      </c>
      <c r="BJ493" s="12" t="e">
        <f>G493*H493</f>
        <v>#REF!</v>
      </c>
      <c r="BK493" s="12"/>
      <c r="BL493" s="12">
        <v>767</v>
      </c>
      <c r="BW493" s="12" t="str">
        <f>I493</f>
        <v>21</v>
      </c>
      <c r="BX493" s="3" t="s">
        <v>443</v>
      </c>
    </row>
    <row r="494" spans="1:76">
      <c r="A494" s="46" t="s">
        <v>21</v>
      </c>
      <c r="B494" s="9" t="s">
        <v>921</v>
      </c>
      <c r="C494" s="9" t="s">
        <v>23</v>
      </c>
      <c r="D494" s="359" t="s">
        <v>24</v>
      </c>
      <c r="E494" s="360"/>
      <c r="F494" s="47" t="s">
        <v>20</v>
      </c>
      <c r="G494" s="47" t="s">
        <v>20</v>
      </c>
      <c r="H494" s="47" t="s">
        <v>20</v>
      </c>
      <c r="I494" s="47" t="s">
        <v>20</v>
      </c>
      <c r="J494" s="11" t="e">
        <f>J495</f>
        <v>#REF!</v>
      </c>
      <c r="K494" s="11" t="e">
        <f>K495</f>
        <v>#REF!</v>
      </c>
      <c r="L494" s="11" t="e">
        <f>L495</f>
        <v>#REF!</v>
      </c>
      <c r="M494" s="11" t="e">
        <f>M495</f>
        <v>#REF!</v>
      </c>
      <c r="N494" s="10" t="s">
        <v>21</v>
      </c>
      <c r="O494" s="11" t="e">
        <f>O495</f>
        <v>#REF!</v>
      </c>
      <c r="P494" s="48" t="s">
        <v>21</v>
      </c>
      <c r="AI494" s="10" t="s">
        <v>921</v>
      </c>
    </row>
    <row r="495" spans="1:76">
      <c r="A495" s="46" t="s">
        <v>21</v>
      </c>
      <c r="B495" s="9" t="s">
        <v>921</v>
      </c>
      <c r="C495" s="9" t="s">
        <v>348</v>
      </c>
      <c r="D495" s="359" t="s">
        <v>349</v>
      </c>
      <c r="E495" s="360"/>
      <c r="F495" s="47" t="s">
        <v>20</v>
      </c>
      <c r="G495" s="47" t="s">
        <v>20</v>
      </c>
      <c r="H495" s="47" t="s">
        <v>20</v>
      </c>
      <c r="I495" s="47" t="s">
        <v>20</v>
      </c>
      <c r="J495" s="11" t="e">
        <f>SUM(J496:J496)</f>
        <v>#REF!</v>
      </c>
      <c r="K495" s="11" t="e">
        <f>SUM(K496:K496)</f>
        <v>#REF!</v>
      </c>
      <c r="L495" s="11" t="e">
        <f>SUM(L496:L496)</f>
        <v>#REF!</v>
      </c>
      <c r="M495" s="11" t="e">
        <f>SUM(M496:M496)</f>
        <v>#REF!</v>
      </c>
      <c r="N495" s="10" t="s">
        <v>21</v>
      </c>
      <c r="O495" s="11" t="e">
        <f>SUM(O496:O496)</f>
        <v>#REF!</v>
      </c>
      <c r="P495" s="48" t="s">
        <v>21</v>
      </c>
      <c r="AI495" s="10" t="s">
        <v>921</v>
      </c>
      <c r="AS495" s="11">
        <f>SUM(AJ496:AJ496)</f>
        <v>0</v>
      </c>
      <c r="AT495" s="11">
        <f>SUM(AK496:AK496)</f>
        <v>0</v>
      </c>
      <c r="AU495" s="11" t="e">
        <f>SUM(AL496:AL496)</f>
        <v>#REF!</v>
      </c>
    </row>
    <row r="496" spans="1:76">
      <c r="A496" s="1" t="s">
        <v>988</v>
      </c>
      <c r="B496" s="2" t="s">
        <v>921</v>
      </c>
      <c r="C496" s="2" t="s">
        <v>350</v>
      </c>
      <c r="D496" s="349" t="s">
        <v>447</v>
      </c>
      <c r="E496" s="342"/>
      <c r="F496" s="2" t="s">
        <v>29</v>
      </c>
      <c r="G496" s="12" t="e">
        <f>#REF!</f>
        <v>#REF!</v>
      </c>
      <c r="H496" s="12" t="e">
        <f>#REF!</f>
        <v>#REF!</v>
      </c>
      <c r="I496" s="49" t="s">
        <v>554</v>
      </c>
      <c r="J496" s="12" t="e">
        <f>G496*AO496</f>
        <v>#REF!</v>
      </c>
      <c r="K496" s="12" t="e">
        <f>G496*AP496</f>
        <v>#REF!</v>
      </c>
      <c r="L496" s="12" t="e">
        <f>G496*H496</f>
        <v>#REF!</v>
      </c>
      <c r="M496" s="12" t="e">
        <f>L496*(1+BW496/100)</f>
        <v>#REF!</v>
      </c>
      <c r="N496" s="12">
        <v>0</v>
      </c>
      <c r="O496" s="12" t="e">
        <f>G496*N496</f>
        <v>#REF!</v>
      </c>
      <c r="P496" s="50" t="s">
        <v>605</v>
      </c>
      <c r="Z496" s="12">
        <f>IF(AQ496="5",BJ496,0)</f>
        <v>0</v>
      </c>
      <c r="AB496" s="12">
        <f>IF(AQ496="1",BH496,0)</f>
        <v>0</v>
      </c>
      <c r="AC496" s="12">
        <f>IF(AQ496="1",BI496,0)</f>
        <v>0</v>
      </c>
      <c r="AD496" s="12">
        <f>IF(AQ496="7",BH496,0)</f>
        <v>0</v>
      </c>
      <c r="AE496" s="12">
        <f>IF(AQ496="7",BI496,0)</f>
        <v>0</v>
      </c>
      <c r="AF496" s="12">
        <f>IF(AQ496="2",BH496,0)</f>
        <v>0</v>
      </c>
      <c r="AG496" s="12">
        <f>IF(AQ496="2",BI496,0)</f>
        <v>0</v>
      </c>
      <c r="AH496" s="12">
        <f>IF(AQ496="0",BJ496,0)</f>
        <v>0</v>
      </c>
      <c r="AI496" s="10" t="s">
        <v>921</v>
      </c>
      <c r="AJ496" s="12">
        <f>IF(AN496=0,L496,0)</f>
        <v>0</v>
      </c>
      <c r="AK496" s="12">
        <f>IF(AN496=12,L496,0)</f>
        <v>0</v>
      </c>
      <c r="AL496" s="12" t="e">
        <f>IF(AN496=21,L496,0)</f>
        <v>#REF!</v>
      </c>
      <c r="AN496" s="12">
        <v>21</v>
      </c>
      <c r="AO496" s="12" t="e">
        <f>H496*0</f>
        <v>#REF!</v>
      </c>
      <c r="AP496" s="12" t="e">
        <f>H496*(1-0)</f>
        <v>#REF!</v>
      </c>
      <c r="AQ496" s="49" t="s">
        <v>556</v>
      </c>
      <c r="AV496" s="12" t="e">
        <f>AW496+AX496</f>
        <v>#REF!</v>
      </c>
      <c r="AW496" s="12" t="e">
        <f>G496*AO496</f>
        <v>#REF!</v>
      </c>
      <c r="AX496" s="12" t="e">
        <f>G496*AP496</f>
        <v>#REF!</v>
      </c>
      <c r="AY496" s="49" t="s">
        <v>711</v>
      </c>
      <c r="AZ496" s="49" t="s">
        <v>989</v>
      </c>
      <c r="BA496" s="10" t="s">
        <v>924</v>
      </c>
      <c r="BC496" s="12" t="e">
        <f>AW496+AX496</f>
        <v>#REF!</v>
      </c>
      <c r="BD496" s="12" t="e">
        <f>H496/(100-BE496)*100</f>
        <v>#REF!</v>
      </c>
      <c r="BE496" s="12">
        <v>0</v>
      </c>
      <c r="BF496" s="12" t="e">
        <f>O496</f>
        <v>#REF!</v>
      </c>
      <c r="BH496" s="12" t="e">
        <f>G496*AO496</f>
        <v>#REF!</v>
      </c>
      <c r="BI496" s="12" t="e">
        <f>G496*AP496</f>
        <v>#REF!</v>
      </c>
      <c r="BJ496" s="12" t="e">
        <f>G496*H496</f>
        <v>#REF!</v>
      </c>
      <c r="BK496" s="12"/>
      <c r="BL496" s="12"/>
      <c r="BR496" s="12" t="e">
        <f>G496*H496</f>
        <v>#REF!</v>
      </c>
      <c r="BW496" s="12" t="str">
        <f>I496</f>
        <v>21</v>
      </c>
      <c r="BX496" s="3" t="s">
        <v>447</v>
      </c>
    </row>
    <row r="497" spans="1:76">
      <c r="A497" s="46" t="s">
        <v>21</v>
      </c>
      <c r="B497" s="9" t="s">
        <v>990</v>
      </c>
      <c r="C497" s="9" t="s">
        <v>21</v>
      </c>
      <c r="D497" s="359" t="s">
        <v>448</v>
      </c>
      <c r="E497" s="360"/>
      <c r="F497" s="47" t="s">
        <v>20</v>
      </c>
      <c r="G497" s="47" t="s">
        <v>20</v>
      </c>
      <c r="H497" s="47" t="s">
        <v>20</v>
      </c>
      <c r="I497" s="47" t="s">
        <v>20</v>
      </c>
      <c r="J497" s="11" t="e">
        <f>J498+J508+J510+J526+J528+J536+J548+J564+J568</f>
        <v>#REF!</v>
      </c>
      <c r="K497" s="11" t="e">
        <f>K498+K508+K510+K526+K528+K536+K548+K564+K568</f>
        <v>#REF!</v>
      </c>
      <c r="L497" s="11" t="e">
        <f>L498+L508+L510+L526+L528+L536+L548+L564+L568</f>
        <v>#REF!</v>
      </c>
      <c r="M497" s="11" t="e">
        <f>M498+M508+M510+M526+M528+M536+M548+M564+M568</f>
        <v>#REF!</v>
      </c>
      <c r="N497" s="10" t="s">
        <v>21</v>
      </c>
      <c r="O497" s="11" t="e">
        <f>O498+O508+O510+O526+O528+O536+O548+O564+O568</f>
        <v>#REF!</v>
      </c>
      <c r="P497" s="48" t="s">
        <v>21</v>
      </c>
    </row>
    <row r="498" spans="1:76">
      <c r="A498" s="46" t="s">
        <v>21</v>
      </c>
      <c r="B498" s="9" t="s">
        <v>990</v>
      </c>
      <c r="C498" s="9" t="s">
        <v>54</v>
      </c>
      <c r="D498" s="359" t="s">
        <v>55</v>
      </c>
      <c r="E498" s="360"/>
      <c r="F498" s="47" t="s">
        <v>20</v>
      </c>
      <c r="G498" s="47" t="s">
        <v>20</v>
      </c>
      <c r="H498" s="47" t="s">
        <v>20</v>
      </c>
      <c r="I498" s="47" t="s">
        <v>20</v>
      </c>
      <c r="J498" s="11" t="e">
        <f>SUM(J499:J507)</f>
        <v>#REF!</v>
      </c>
      <c r="K498" s="11" t="e">
        <f>SUM(K499:K507)</f>
        <v>#REF!</v>
      </c>
      <c r="L498" s="11" t="e">
        <f>SUM(L499:L507)</f>
        <v>#REF!</v>
      </c>
      <c r="M498" s="11" t="e">
        <f>SUM(M499:M507)</f>
        <v>#REF!</v>
      </c>
      <c r="N498" s="10" t="s">
        <v>21</v>
      </c>
      <c r="O498" s="11" t="e">
        <f>SUM(O499:O507)</f>
        <v>#REF!</v>
      </c>
      <c r="P498" s="48" t="s">
        <v>21</v>
      </c>
      <c r="AI498" s="10" t="s">
        <v>990</v>
      </c>
      <c r="AS498" s="11">
        <f>SUM(AJ499:AJ507)</f>
        <v>0</v>
      </c>
      <c r="AT498" s="11">
        <f>SUM(AK499:AK507)</f>
        <v>0</v>
      </c>
      <c r="AU498" s="11" t="e">
        <f>SUM(AL499:AL507)</f>
        <v>#REF!</v>
      </c>
    </row>
    <row r="499" spans="1:76">
      <c r="A499" s="1" t="s">
        <v>991</v>
      </c>
      <c r="B499" s="2" t="s">
        <v>990</v>
      </c>
      <c r="C499" s="2" t="s">
        <v>69</v>
      </c>
      <c r="D499" s="349" t="s">
        <v>356</v>
      </c>
      <c r="E499" s="342"/>
      <c r="F499" s="2" t="s">
        <v>68</v>
      </c>
      <c r="G499" s="12" t="e">
        <f>#REF!</f>
        <v>#REF!</v>
      </c>
      <c r="H499" s="12" t="e">
        <f>#REF!</f>
        <v>#REF!</v>
      </c>
      <c r="I499" s="49" t="s">
        <v>554</v>
      </c>
      <c r="J499" s="12" t="e">
        <f t="shared" ref="J499:J507" si="650">G499*AO499</f>
        <v>#REF!</v>
      </c>
      <c r="K499" s="12" t="e">
        <f t="shared" ref="K499:K507" si="651">G499*AP499</f>
        <v>#REF!</v>
      </c>
      <c r="L499" s="12" t="e">
        <f t="shared" ref="L499:L507" si="652">G499*H499</f>
        <v>#REF!</v>
      </c>
      <c r="M499" s="12" t="e">
        <f t="shared" ref="M499:M507" si="653">L499*(1+BW499/100)</f>
        <v>#REF!</v>
      </c>
      <c r="N499" s="12">
        <v>0</v>
      </c>
      <c r="O499" s="12" t="e">
        <f t="shared" ref="O499:O507" si="654">G499*N499</f>
        <v>#REF!</v>
      </c>
      <c r="P499" s="50" t="s">
        <v>577</v>
      </c>
      <c r="Z499" s="12">
        <f t="shared" ref="Z499:Z507" si="655">IF(AQ499="5",BJ499,0)</f>
        <v>0</v>
      </c>
      <c r="AB499" s="12" t="e">
        <f t="shared" ref="AB499:AB507" si="656">IF(AQ499="1",BH499,0)</f>
        <v>#REF!</v>
      </c>
      <c r="AC499" s="12" t="e">
        <f t="shared" ref="AC499:AC507" si="657">IF(AQ499="1",BI499,0)</f>
        <v>#REF!</v>
      </c>
      <c r="AD499" s="12">
        <f t="shared" ref="AD499:AD507" si="658">IF(AQ499="7",BH499,0)</f>
        <v>0</v>
      </c>
      <c r="AE499" s="12">
        <f t="shared" ref="AE499:AE507" si="659">IF(AQ499="7",BI499,0)</f>
        <v>0</v>
      </c>
      <c r="AF499" s="12">
        <f t="shared" ref="AF499:AF507" si="660">IF(AQ499="2",BH499,0)</f>
        <v>0</v>
      </c>
      <c r="AG499" s="12">
        <f t="shared" ref="AG499:AG507" si="661">IF(AQ499="2",BI499,0)</f>
        <v>0</v>
      </c>
      <c r="AH499" s="12">
        <f t="shared" ref="AH499:AH507" si="662">IF(AQ499="0",BJ499,0)</f>
        <v>0</v>
      </c>
      <c r="AI499" s="10" t="s">
        <v>990</v>
      </c>
      <c r="AJ499" s="12">
        <f t="shared" ref="AJ499:AJ507" si="663">IF(AN499=0,L499,0)</f>
        <v>0</v>
      </c>
      <c r="AK499" s="12">
        <f t="shared" ref="AK499:AK507" si="664">IF(AN499=12,L499,0)</f>
        <v>0</v>
      </c>
      <c r="AL499" s="12" t="e">
        <f t="shared" ref="AL499:AL507" si="665">IF(AN499=21,L499,0)</f>
        <v>#REF!</v>
      </c>
      <c r="AN499" s="12">
        <v>21</v>
      </c>
      <c r="AO499" s="12" t="e">
        <f>H499*0</f>
        <v>#REF!</v>
      </c>
      <c r="AP499" s="12" t="e">
        <f>H499*(1-0)</f>
        <v>#REF!</v>
      </c>
      <c r="AQ499" s="49" t="s">
        <v>553</v>
      </c>
      <c r="AV499" s="12" t="e">
        <f t="shared" ref="AV499:AV507" si="666">AW499+AX499</f>
        <v>#REF!</v>
      </c>
      <c r="AW499" s="12" t="e">
        <f t="shared" ref="AW499:AW507" si="667">G499*AO499</f>
        <v>#REF!</v>
      </c>
      <c r="AX499" s="12" t="e">
        <f t="shared" ref="AX499:AX507" si="668">G499*AP499</f>
        <v>#REF!</v>
      </c>
      <c r="AY499" s="49" t="s">
        <v>574</v>
      </c>
      <c r="AZ499" s="49" t="s">
        <v>992</v>
      </c>
      <c r="BA499" s="10" t="s">
        <v>993</v>
      </c>
      <c r="BC499" s="12" t="e">
        <f t="shared" ref="BC499:BC507" si="669">AW499+AX499</f>
        <v>#REF!</v>
      </c>
      <c r="BD499" s="12" t="e">
        <f t="shared" ref="BD499:BD507" si="670">H499/(100-BE499)*100</f>
        <v>#REF!</v>
      </c>
      <c r="BE499" s="12">
        <v>0</v>
      </c>
      <c r="BF499" s="12" t="e">
        <f t="shared" ref="BF499:BF507" si="671">O499</f>
        <v>#REF!</v>
      </c>
      <c r="BH499" s="12" t="e">
        <f t="shared" ref="BH499:BH507" si="672">G499*AO499</f>
        <v>#REF!</v>
      </c>
      <c r="BI499" s="12" t="e">
        <f t="shared" ref="BI499:BI507" si="673">G499*AP499</f>
        <v>#REF!</v>
      </c>
      <c r="BJ499" s="12" t="e">
        <f t="shared" ref="BJ499:BJ507" si="674">G499*H499</f>
        <v>#REF!</v>
      </c>
      <c r="BK499" s="12"/>
      <c r="BL499" s="12">
        <v>0</v>
      </c>
      <c r="BW499" s="12" t="str">
        <f t="shared" ref="BW499:BW507" si="675">I499</f>
        <v>21</v>
      </c>
      <c r="BX499" s="3" t="s">
        <v>356</v>
      </c>
    </row>
    <row r="500" spans="1:76">
      <c r="A500" s="1" t="s">
        <v>994</v>
      </c>
      <c r="B500" s="2" t="s">
        <v>990</v>
      </c>
      <c r="C500" s="2" t="s">
        <v>107</v>
      </c>
      <c r="D500" s="349" t="s">
        <v>108</v>
      </c>
      <c r="E500" s="342"/>
      <c r="F500" s="2" t="s">
        <v>109</v>
      </c>
      <c r="G500" s="12" t="e">
        <f>#REF!</f>
        <v>#REF!</v>
      </c>
      <c r="H500" s="12" t="e">
        <f>#REF!</f>
        <v>#REF!</v>
      </c>
      <c r="I500" s="49" t="s">
        <v>554</v>
      </c>
      <c r="J500" s="12" t="e">
        <f t="shared" si="650"/>
        <v>#REF!</v>
      </c>
      <c r="K500" s="12" t="e">
        <f t="shared" si="651"/>
        <v>#REF!</v>
      </c>
      <c r="L500" s="12" t="e">
        <f t="shared" si="652"/>
        <v>#REF!</v>
      </c>
      <c r="M500" s="12" t="e">
        <f t="shared" si="653"/>
        <v>#REF!</v>
      </c>
      <c r="N500" s="12">
        <v>0</v>
      </c>
      <c r="O500" s="12" t="e">
        <f t="shared" si="654"/>
        <v>#REF!</v>
      </c>
      <c r="P500" s="50" t="s">
        <v>21</v>
      </c>
      <c r="Z500" s="12">
        <f t="shared" si="655"/>
        <v>0</v>
      </c>
      <c r="AB500" s="12" t="e">
        <f t="shared" si="656"/>
        <v>#REF!</v>
      </c>
      <c r="AC500" s="12" t="e">
        <f t="shared" si="657"/>
        <v>#REF!</v>
      </c>
      <c r="AD500" s="12">
        <f t="shared" si="658"/>
        <v>0</v>
      </c>
      <c r="AE500" s="12">
        <f t="shared" si="659"/>
        <v>0</v>
      </c>
      <c r="AF500" s="12">
        <f t="shared" si="660"/>
        <v>0</v>
      </c>
      <c r="AG500" s="12">
        <f t="shared" si="661"/>
        <v>0</v>
      </c>
      <c r="AH500" s="12">
        <f t="shared" si="662"/>
        <v>0</v>
      </c>
      <c r="AI500" s="10" t="s">
        <v>990</v>
      </c>
      <c r="AJ500" s="12">
        <f t="shared" si="663"/>
        <v>0</v>
      </c>
      <c r="AK500" s="12">
        <f t="shared" si="664"/>
        <v>0</v>
      </c>
      <c r="AL500" s="12" t="e">
        <f t="shared" si="665"/>
        <v>#REF!</v>
      </c>
      <c r="AN500" s="12">
        <v>21</v>
      </c>
      <c r="AO500" s="12" t="e">
        <f>H500*0</f>
        <v>#REF!</v>
      </c>
      <c r="AP500" s="12" t="e">
        <f>H500*(1-0)</f>
        <v>#REF!</v>
      </c>
      <c r="AQ500" s="49" t="s">
        <v>553</v>
      </c>
      <c r="AV500" s="12" t="e">
        <f t="shared" si="666"/>
        <v>#REF!</v>
      </c>
      <c r="AW500" s="12" t="e">
        <f t="shared" si="667"/>
        <v>#REF!</v>
      </c>
      <c r="AX500" s="12" t="e">
        <f t="shared" si="668"/>
        <v>#REF!</v>
      </c>
      <c r="AY500" s="49" t="s">
        <v>574</v>
      </c>
      <c r="AZ500" s="49" t="s">
        <v>992</v>
      </c>
      <c r="BA500" s="10" t="s">
        <v>993</v>
      </c>
      <c r="BC500" s="12" t="e">
        <f t="shared" si="669"/>
        <v>#REF!</v>
      </c>
      <c r="BD500" s="12" t="e">
        <f t="shared" si="670"/>
        <v>#REF!</v>
      </c>
      <c r="BE500" s="12">
        <v>0</v>
      </c>
      <c r="BF500" s="12" t="e">
        <f t="shared" si="671"/>
        <v>#REF!</v>
      </c>
      <c r="BH500" s="12" t="e">
        <f t="shared" si="672"/>
        <v>#REF!</v>
      </c>
      <c r="BI500" s="12" t="e">
        <f t="shared" si="673"/>
        <v>#REF!</v>
      </c>
      <c r="BJ500" s="12" t="e">
        <f t="shared" si="674"/>
        <v>#REF!</v>
      </c>
      <c r="BK500" s="12"/>
      <c r="BL500" s="12">
        <v>0</v>
      </c>
      <c r="BW500" s="12" t="str">
        <f t="shared" si="675"/>
        <v>21</v>
      </c>
      <c r="BX500" s="3" t="s">
        <v>108</v>
      </c>
    </row>
    <row r="501" spans="1:76" ht="25.5">
      <c r="A501" s="1" t="s">
        <v>995</v>
      </c>
      <c r="B501" s="2" t="s">
        <v>990</v>
      </c>
      <c r="C501" s="2" t="s">
        <v>110</v>
      </c>
      <c r="D501" s="349" t="s">
        <v>111</v>
      </c>
      <c r="E501" s="342"/>
      <c r="F501" s="2" t="s">
        <v>112</v>
      </c>
      <c r="G501" s="12" t="e">
        <f>#REF!</f>
        <v>#REF!</v>
      </c>
      <c r="H501" s="12" t="e">
        <f>#REF!</f>
        <v>#REF!</v>
      </c>
      <c r="I501" s="49" t="s">
        <v>554</v>
      </c>
      <c r="J501" s="12" t="e">
        <f t="shared" si="650"/>
        <v>#REF!</v>
      </c>
      <c r="K501" s="12" t="e">
        <f t="shared" si="651"/>
        <v>#REF!</v>
      </c>
      <c r="L501" s="12" t="e">
        <f t="shared" si="652"/>
        <v>#REF!</v>
      </c>
      <c r="M501" s="12" t="e">
        <f t="shared" si="653"/>
        <v>#REF!</v>
      </c>
      <c r="N501" s="12">
        <v>0</v>
      </c>
      <c r="O501" s="12" t="e">
        <f t="shared" si="654"/>
        <v>#REF!</v>
      </c>
      <c r="P501" s="50" t="s">
        <v>21</v>
      </c>
      <c r="Z501" s="12">
        <f t="shared" si="655"/>
        <v>0</v>
      </c>
      <c r="AB501" s="12" t="e">
        <f t="shared" si="656"/>
        <v>#REF!</v>
      </c>
      <c r="AC501" s="12" t="e">
        <f t="shared" si="657"/>
        <v>#REF!</v>
      </c>
      <c r="AD501" s="12">
        <f t="shared" si="658"/>
        <v>0</v>
      </c>
      <c r="AE501" s="12">
        <f t="shared" si="659"/>
        <v>0</v>
      </c>
      <c r="AF501" s="12">
        <f t="shared" si="660"/>
        <v>0</v>
      </c>
      <c r="AG501" s="12">
        <f t="shared" si="661"/>
        <v>0</v>
      </c>
      <c r="AH501" s="12">
        <f t="shared" si="662"/>
        <v>0</v>
      </c>
      <c r="AI501" s="10" t="s">
        <v>990</v>
      </c>
      <c r="AJ501" s="12">
        <f t="shared" si="663"/>
        <v>0</v>
      </c>
      <c r="AK501" s="12">
        <f t="shared" si="664"/>
        <v>0</v>
      </c>
      <c r="AL501" s="12" t="e">
        <f t="shared" si="665"/>
        <v>#REF!</v>
      </c>
      <c r="AN501" s="12">
        <v>21</v>
      </c>
      <c r="AO501" s="12" t="e">
        <f>H501*0.298352654</f>
        <v>#REF!</v>
      </c>
      <c r="AP501" s="12" t="e">
        <f>H501*(1-0.298352654)</f>
        <v>#REF!</v>
      </c>
      <c r="AQ501" s="49" t="s">
        <v>553</v>
      </c>
      <c r="AV501" s="12" t="e">
        <f t="shared" si="666"/>
        <v>#REF!</v>
      </c>
      <c r="AW501" s="12" t="e">
        <f t="shared" si="667"/>
        <v>#REF!</v>
      </c>
      <c r="AX501" s="12" t="e">
        <f t="shared" si="668"/>
        <v>#REF!</v>
      </c>
      <c r="AY501" s="49" t="s">
        <v>574</v>
      </c>
      <c r="AZ501" s="49" t="s">
        <v>992</v>
      </c>
      <c r="BA501" s="10" t="s">
        <v>993</v>
      </c>
      <c r="BC501" s="12" t="e">
        <f t="shared" si="669"/>
        <v>#REF!</v>
      </c>
      <c r="BD501" s="12" t="e">
        <f t="shared" si="670"/>
        <v>#REF!</v>
      </c>
      <c r="BE501" s="12">
        <v>0</v>
      </c>
      <c r="BF501" s="12" t="e">
        <f t="shared" si="671"/>
        <v>#REF!</v>
      </c>
      <c r="BH501" s="12" t="e">
        <f t="shared" si="672"/>
        <v>#REF!</v>
      </c>
      <c r="BI501" s="12" t="e">
        <f t="shared" si="673"/>
        <v>#REF!</v>
      </c>
      <c r="BJ501" s="12" t="e">
        <f t="shared" si="674"/>
        <v>#REF!</v>
      </c>
      <c r="BK501" s="12"/>
      <c r="BL501" s="12">
        <v>0</v>
      </c>
      <c r="BW501" s="12" t="str">
        <f t="shared" si="675"/>
        <v>21</v>
      </c>
      <c r="BX501" s="3" t="s">
        <v>111</v>
      </c>
    </row>
    <row r="502" spans="1:76">
      <c r="A502" s="1" t="s">
        <v>996</v>
      </c>
      <c r="B502" s="2" t="s">
        <v>990</v>
      </c>
      <c r="C502" s="2" t="s">
        <v>115</v>
      </c>
      <c r="D502" s="349" t="s">
        <v>116</v>
      </c>
      <c r="E502" s="342"/>
      <c r="F502" s="2" t="s">
        <v>58</v>
      </c>
      <c r="G502" s="12" t="e">
        <f>#REF!</f>
        <v>#REF!</v>
      </c>
      <c r="H502" s="12" t="e">
        <f>#REF!</f>
        <v>#REF!</v>
      </c>
      <c r="I502" s="49" t="s">
        <v>554</v>
      </c>
      <c r="J502" s="12" t="e">
        <f t="shared" si="650"/>
        <v>#REF!</v>
      </c>
      <c r="K502" s="12" t="e">
        <f t="shared" si="651"/>
        <v>#REF!</v>
      </c>
      <c r="L502" s="12" t="e">
        <f t="shared" si="652"/>
        <v>#REF!</v>
      </c>
      <c r="M502" s="12" t="e">
        <f t="shared" si="653"/>
        <v>#REF!</v>
      </c>
      <c r="N502" s="12">
        <v>0</v>
      </c>
      <c r="O502" s="12" t="e">
        <f t="shared" si="654"/>
        <v>#REF!</v>
      </c>
      <c r="P502" s="50" t="s">
        <v>605</v>
      </c>
      <c r="Z502" s="12">
        <f t="shared" si="655"/>
        <v>0</v>
      </c>
      <c r="AB502" s="12" t="e">
        <f t="shared" si="656"/>
        <v>#REF!</v>
      </c>
      <c r="AC502" s="12" t="e">
        <f t="shared" si="657"/>
        <v>#REF!</v>
      </c>
      <c r="AD502" s="12">
        <f t="shared" si="658"/>
        <v>0</v>
      </c>
      <c r="AE502" s="12">
        <f t="shared" si="659"/>
        <v>0</v>
      </c>
      <c r="AF502" s="12">
        <f t="shared" si="660"/>
        <v>0</v>
      </c>
      <c r="AG502" s="12">
        <f t="shared" si="661"/>
        <v>0</v>
      </c>
      <c r="AH502" s="12">
        <f t="shared" si="662"/>
        <v>0</v>
      </c>
      <c r="AI502" s="10" t="s">
        <v>990</v>
      </c>
      <c r="AJ502" s="12">
        <f t="shared" si="663"/>
        <v>0</v>
      </c>
      <c r="AK502" s="12">
        <f t="shared" si="664"/>
        <v>0</v>
      </c>
      <c r="AL502" s="12" t="e">
        <f t="shared" si="665"/>
        <v>#REF!</v>
      </c>
      <c r="AN502" s="12">
        <v>21</v>
      </c>
      <c r="AO502" s="12" t="e">
        <f>H502*0</f>
        <v>#REF!</v>
      </c>
      <c r="AP502" s="12" t="e">
        <f>H502*(1-0)</f>
        <v>#REF!</v>
      </c>
      <c r="AQ502" s="49" t="s">
        <v>553</v>
      </c>
      <c r="AV502" s="12" t="e">
        <f t="shared" si="666"/>
        <v>#REF!</v>
      </c>
      <c r="AW502" s="12" t="e">
        <f t="shared" si="667"/>
        <v>#REF!</v>
      </c>
      <c r="AX502" s="12" t="e">
        <f t="shared" si="668"/>
        <v>#REF!</v>
      </c>
      <c r="AY502" s="49" t="s">
        <v>574</v>
      </c>
      <c r="AZ502" s="49" t="s">
        <v>992</v>
      </c>
      <c r="BA502" s="10" t="s">
        <v>993</v>
      </c>
      <c r="BC502" s="12" t="e">
        <f t="shared" si="669"/>
        <v>#REF!</v>
      </c>
      <c r="BD502" s="12" t="e">
        <f t="shared" si="670"/>
        <v>#REF!</v>
      </c>
      <c r="BE502" s="12">
        <v>0</v>
      </c>
      <c r="BF502" s="12" t="e">
        <f t="shared" si="671"/>
        <v>#REF!</v>
      </c>
      <c r="BH502" s="12" t="e">
        <f t="shared" si="672"/>
        <v>#REF!</v>
      </c>
      <c r="BI502" s="12" t="e">
        <f t="shared" si="673"/>
        <v>#REF!</v>
      </c>
      <c r="BJ502" s="12" t="e">
        <f t="shared" si="674"/>
        <v>#REF!</v>
      </c>
      <c r="BK502" s="12"/>
      <c r="BL502" s="12">
        <v>0</v>
      </c>
      <c r="BW502" s="12" t="str">
        <f t="shared" si="675"/>
        <v>21</v>
      </c>
      <c r="BX502" s="3" t="s">
        <v>116</v>
      </c>
    </row>
    <row r="503" spans="1:76">
      <c r="A503" s="1" t="s">
        <v>997</v>
      </c>
      <c r="B503" s="2" t="s">
        <v>990</v>
      </c>
      <c r="C503" s="2" t="s">
        <v>119</v>
      </c>
      <c r="D503" s="349" t="s">
        <v>120</v>
      </c>
      <c r="E503" s="342"/>
      <c r="F503" s="2" t="s">
        <v>58</v>
      </c>
      <c r="G503" s="12" t="e">
        <f>#REF!</f>
        <v>#REF!</v>
      </c>
      <c r="H503" s="12" t="e">
        <f>#REF!</f>
        <v>#REF!</v>
      </c>
      <c r="I503" s="49" t="s">
        <v>554</v>
      </c>
      <c r="J503" s="12" t="e">
        <f t="shared" si="650"/>
        <v>#REF!</v>
      </c>
      <c r="K503" s="12" t="e">
        <f t="shared" si="651"/>
        <v>#REF!</v>
      </c>
      <c r="L503" s="12" t="e">
        <f t="shared" si="652"/>
        <v>#REF!</v>
      </c>
      <c r="M503" s="12" t="e">
        <f t="shared" si="653"/>
        <v>#REF!</v>
      </c>
      <c r="N503" s="12">
        <v>0</v>
      </c>
      <c r="O503" s="12" t="e">
        <f t="shared" si="654"/>
        <v>#REF!</v>
      </c>
      <c r="P503" s="50" t="s">
        <v>605</v>
      </c>
      <c r="Z503" s="12">
        <f t="shared" si="655"/>
        <v>0</v>
      </c>
      <c r="AB503" s="12" t="e">
        <f t="shared" si="656"/>
        <v>#REF!</v>
      </c>
      <c r="AC503" s="12" t="e">
        <f t="shared" si="657"/>
        <v>#REF!</v>
      </c>
      <c r="AD503" s="12">
        <f t="shared" si="658"/>
        <v>0</v>
      </c>
      <c r="AE503" s="12">
        <f t="shared" si="659"/>
        <v>0</v>
      </c>
      <c r="AF503" s="12">
        <f t="shared" si="660"/>
        <v>0</v>
      </c>
      <c r="AG503" s="12">
        <f t="shared" si="661"/>
        <v>0</v>
      </c>
      <c r="AH503" s="12">
        <f t="shared" si="662"/>
        <v>0</v>
      </c>
      <c r="AI503" s="10" t="s">
        <v>990</v>
      </c>
      <c r="AJ503" s="12">
        <f t="shared" si="663"/>
        <v>0</v>
      </c>
      <c r="AK503" s="12">
        <f t="shared" si="664"/>
        <v>0</v>
      </c>
      <c r="AL503" s="12" t="e">
        <f t="shared" si="665"/>
        <v>#REF!</v>
      </c>
      <c r="AN503" s="12">
        <v>21</v>
      </c>
      <c r="AO503" s="12" t="e">
        <f>H503*0</f>
        <v>#REF!</v>
      </c>
      <c r="AP503" s="12" t="e">
        <f>H503*(1-0)</f>
        <v>#REF!</v>
      </c>
      <c r="AQ503" s="49" t="s">
        <v>553</v>
      </c>
      <c r="AV503" s="12" t="e">
        <f t="shared" si="666"/>
        <v>#REF!</v>
      </c>
      <c r="AW503" s="12" t="e">
        <f t="shared" si="667"/>
        <v>#REF!</v>
      </c>
      <c r="AX503" s="12" t="e">
        <f t="shared" si="668"/>
        <v>#REF!</v>
      </c>
      <c r="AY503" s="49" t="s">
        <v>574</v>
      </c>
      <c r="AZ503" s="49" t="s">
        <v>992</v>
      </c>
      <c r="BA503" s="10" t="s">
        <v>993</v>
      </c>
      <c r="BC503" s="12" t="e">
        <f t="shared" si="669"/>
        <v>#REF!</v>
      </c>
      <c r="BD503" s="12" t="e">
        <f t="shared" si="670"/>
        <v>#REF!</v>
      </c>
      <c r="BE503" s="12">
        <v>0</v>
      </c>
      <c r="BF503" s="12" t="e">
        <f t="shared" si="671"/>
        <v>#REF!</v>
      </c>
      <c r="BH503" s="12" t="e">
        <f t="shared" si="672"/>
        <v>#REF!</v>
      </c>
      <c r="BI503" s="12" t="e">
        <f t="shared" si="673"/>
        <v>#REF!</v>
      </c>
      <c r="BJ503" s="12" t="e">
        <f t="shared" si="674"/>
        <v>#REF!</v>
      </c>
      <c r="BK503" s="12"/>
      <c r="BL503" s="12">
        <v>0</v>
      </c>
      <c r="BW503" s="12" t="str">
        <f t="shared" si="675"/>
        <v>21</v>
      </c>
      <c r="BX503" s="3" t="s">
        <v>120</v>
      </c>
    </row>
    <row r="504" spans="1:76">
      <c r="A504" s="1" t="s">
        <v>998</v>
      </c>
      <c r="B504" s="2" t="s">
        <v>990</v>
      </c>
      <c r="C504" s="2" t="s">
        <v>71</v>
      </c>
      <c r="D504" s="349" t="s">
        <v>72</v>
      </c>
      <c r="E504" s="342"/>
      <c r="F504" s="2" t="s">
        <v>58</v>
      </c>
      <c r="G504" s="12" t="e">
        <f>#REF!</f>
        <v>#REF!</v>
      </c>
      <c r="H504" s="12" t="e">
        <f>#REF!</f>
        <v>#REF!</v>
      </c>
      <c r="I504" s="49" t="s">
        <v>554</v>
      </c>
      <c r="J504" s="12" t="e">
        <f t="shared" si="650"/>
        <v>#REF!</v>
      </c>
      <c r="K504" s="12" t="e">
        <f t="shared" si="651"/>
        <v>#REF!</v>
      </c>
      <c r="L504" s="12" t="e">
        <f t="shared" si="652"/>
        <v>#REF!</v>
      </c>
      <c r="M504" s="12" t="e">
        <f t="shared" si="653"/>
        <v>#REF!</v>
      </c>
      <c r="N504" s="12">
        <v>3.8999999999999999E-4</v>
      </c>
      <c r="O504" s="12" t="e">
        <f t="shared" si="654"/>
        <v>#REF!</v>
      </c>
      <c r="P504" s="50" t="s">
        <v>577</v>
      </c>
      <c r="Z504" s="12">
        <f t="shared" si="655"/>
        <v>0</v>
      </c>
      <c r="AB504" s="12" t="e">
        <f t="shared" si="656"/>
        <v>#REF!</v>
      </c>
      <c r="AC504" s="12" t="e">
        <f t="shared" si="657"/>
        <v>#REF!</v>
      </c>
      <c r="AD504" s="12">
        <f t="shared" si="658"/>
        <v>0</v>
      </c>
      <c r="AE504" s="12">
        <f t="shared" si="659"/>
        <v>0</v>
      </c>
      <c r="AF504" s="12">
        <f t="shared" si="660"/>
        <v>0</v>
      </c>
      <c r="AG504" s="12">
        <f t="shared" si="661"/>
        <v>0</v>
      </c>
      <c r="AH504" s="12">
        <f t="shared" si="662"/>
        <v>0</v>
      </c>
      <c r="AI504" s="10" t="s">
        <v>990</v>
      </c>
      <c r="AJ504" s="12">
        <f t="shared" si="663"/>
        <v>0</v>
      </c>
      <c r="AK504" s="12">
        <f t="shared" si="664"/>
        <v>0</v>
      </c>
      <c r="AL504" s="12" t="e">
        <f t="shared" si="665"/>
        <v>#REF!</v>
      </c>
      <c r="AN504" s="12">
        <v>21</v>
      </c>
      <c r="AO504" s="12" t="e">
        <f>H504*0.615509036</f>
        <v>#REF!</v>
      </c>
      <c r="AP504" s="12" t="e">
        <f>H504*(1-0.615509036)</f>
        <v>#REF!</v>
      </c>
      <c r="AQ504" s="49" t="s">
        <v>553</v>
      </c>
      <c r="AV504" s="12" t="e">
        <f t="shared" si="666"/>
        <v>#REF!</v>
      </c>
      <c r="AW504" s="12" t="e">
        <f t="shared" si="667"/>
        <v>#REF!</v>
      </c>
      <c r="AX504" s="12" t="e">
        <f t="shared" si="668"/>
        <v>#REF!</v>
      </c>
      <c r="AY504" s="49" t="s">
        <v>574</v>
      </c>
      <c r="AZ504" s="49" t="s">
        <v>992</v>
      </c>
      <c r="BA504" s="10" t="s">
        <v>993</v>
      </c>
      <c r="BC504" s="12" t="e">
        <f t="shared" si="669"/>
        <v>#REF!</v>
      </c>
      <c r="BD504" s="12" t="e">
        <f t="shared" si="670"/>
        <v>#REF!</v>
      </c>
      <c r="BE504" s="12">
        <v>0</v>
      </c>
      <c r="BF504" s="12" t="e">
        <f t="shared" si="671"/>
        <v>#REF!</v>
      </c>
      <c r="BH504" s="12" t="e">
        <f t="shared" si="672"/>
        <v>#REF!</v>
      </c>
      <c r="BI504" s="12" t="e">
        <f t="shared" si="673"/>
        <v>#REF!</v>
      </c>
      <c r="BJ504" s="12" t="e">
        <f t="shared" si="674"/>
        <v>#REF!</v>
      </c>
      <c r="BK504" s="12"/>
      <c r="BL504" s="12">
        <v>0</v>
      </c>
      <c r="BW504" s="12" t="str">
        <f t="shared" si="675"/>
        <v>21</v>
      </c>
      <c r="BX504" s="3" t="s">
        <v>72</v>
      </c>
    </row>
    <row r="505" spans="1:76">
      <c r="A505" s="1" t="s">
        <v>999</v>
      </c>
      <c r="B505" s="2" t="s">
        <v>990</v>
      </c>
      <c r="C505" s="2" t="s">
        <v>66</v>
      </c>
      <c r="D505" s="349" t="s">
        <v>67</v>
      </c>
      <c r="E505" s="342"/>
      <c r="F505" s="2" t="s">
        <v>68</v>
      </c>
      <c r="G505" s="12" t="e">
        <f>#REF!</f>
        <v>#REF!</v>
      </c>
      <c r="H505" s="12" t="e">
        <f>#REF!</f>
        <v>#REF!</v>
      </c>
      <c r="I505" s="49" t="s">
        <v>554</v>
      </c>
      <c r="J505" s="12" t="e">
        <f t="shared" si="650"/>
        <v>#REF!</v>
      </c>
      <c r="K505" s="12" t="e">
        <f t="shared" si="651"/>
        <v>#REF!</v>
      </c>
      <c r="L505" s="12" t="e">
        <f t="shared" si="652"/>
        <v>#REF!</v>
      </c>
      <c r="M505" s="12" t="e">
        <f t="shared" si="653"/>
        <v>#REF!</v>
      </c>
      <c r="N505" s="12">
        <v>0</v>
      </c>
      <c r="O505" s="12" t="e">
        <f t="shared" si="654"/>
        <v>#REF!</v>
      </c>
      <c r="P505" s="50" t="s">
        <v>577</v>
      </c>
      <c r="Z505" s="12">
        <f t="shared" si="655"/>
        <v>0</v>
      </c>
      <c r="AB505" s="12" t="e">
        <f t="shared" si="656"/>
        <v>#REF!</v>
      </c>
      <c r="AC505" s="12" t="e">
        <f t="shared" si="657"/>
        <v>#REF!</v>
      </c>
      <c r="AD505" s="12">
        <f t="shared" si="658"/>
        <v>0</v>
      </c>
      <c r="AE505" s="12">
        <f t="shared" si="659"/>
        <v>0</v>
      </c>
      <c r="AF505" s="12">
        <f t="shared" si="660"/>
        <v>0</v>
      </c>
      <c r="AG505" s="12">
        <f t="shared" si="661"/>
        <v>0</v>
      </c>
      <c r="AH505" s="12">
        <f t="shared" si="662"/>
        <v>0</v>
      </c>
      <c r="AI505" s="10" t="s">
        <v>990</v>
      </c>
      <c r="AJ505" s="12">
        <f t="shared" si="663"/>
        <v>0</v>
      </c>
      <c r="AK505" s="12">
        <f t="shared" si="664"/>
        <v>0</v>
      </c>
      <c r="AL505" s="12" t="e">
        <f t="shared" si="665"/>
        <v>#REF!</v>
      </c>
      <c r="AN505" s="12">
        <v>21</v>
      </c>
      <c r="AO505" s="12" t="e">
        <f>H505*0</f>
        <v>#REF!</v>
      </c>
      <c r="AP505" s="12" t="e">
        <f>H505*(1-0)</f>
        <v>#REF!</v>
      </c>
      <c r="AQ505" s="49" t="s">
        <v>553</v>
      </c>
      <c r="AV505" s="12" t="e">
        <f t="shared" si="666"/>
        <v>#REF!</v>
      </c>
      <c r="AW505" s="12" t="e">
        <f t="shared" si="667"/>
        <v>#REF!</v>
      </c>
      <c r="AX505" s="12" t="e">
        <f t="shared" si="668"/>
        <v>#REF!</v>
      </c>
      <c r="AY505" s="49" t="s">
        <v>574</v>
      </c>
      <c r="AZ505" s="49" t="s">
        <v>992</v>
      </c>
      <c r="BA505" s="10" t="s">
        <v>993</v>
      </c>
      <c r="BC505" s="12" t="e">
        <f t="shared" si="669"/>
        <v>#REF!</v>
      </c>
      <c r="BD505" s="12" t="e">
        <f t="shared" si="670"/>
        <v>#REF!</v>
      </c>
      <c r="BE505" s="12">
        <v>0</v>
      </c>
      <c r="BF505" s="12" t="e">
        <f t="shared" si="671"/>
        <v>#REF!</v>
      </c>
      <c r="BH505" s="12" t="e">
        <f t="shared" si="672"/>
        <v>#REF!</v>
      </c>
      <c r="BI505" s="12" t="e">
        <f t="shared" si="673"/>
        <v>#REF!</v>
      </c>
      <c r="BJ505" s="12" t="e">
        <f t="shared" si="674"/>
        <v>#REF!</v>
      </c>
      <c r="BK505" s="12"/>
      <c r="BL505" s="12">
        <v>0</v>
      </c>
      <c r="BW505" s="12" t="str">
        <f t="shared" si="675"/>
        <v>21</v>
      </c>
      <c r="BX505" s="3" t="s">
        <v>67</v>
      </c>
    </row>
    <row r="506" spans="1:76">
      <c r="A506" s="1" t="s">
        <v>1000</v>
      </c>
      <c r="B506" s="2" t="s">
        <v>990</v>
      </c>
      <c r="C506" s="2" t="s">
        <v>124</v>
      </c>
      <c r="D506" s="349" t="s">
        <v>125</v>
      </c>
      <c r="E506" s="342"/>
      <c r="F506" s="2" t="s">
        <v>123</v>
      </c>
      <c r="G506" s="12" t="e">
        <f>#REF!</f>
        <v>#REF!</v>
      </c>
      <c r="H506" s="12" t="e">
        <f>#REF!</f>
        <v>#REF!</v>
      </c>
      <c r="I506" s="49" t="s">
        <v>554</v>
      </c>
      <c r="J506" s="12" t="e">
        <f t="shared" si="650"/>
        <v>#REF!</v>
      </c>
      <c r="K506" s="12" t="e">
        <f t="shared" si="651"/>
        <v>#REF!</v>
      </c>
      <c r="L506" s="12" t="e">
        <f t="shared" si="652"/>
        <v>#REF!</v>
      </c>
      <c r="M506" s="12" t="e">
        <f t="shared" si="653"/>
        <v>#REF!</v>
      </c>
      <c r="N506" s="12">
        <v>0</v>
      </c>
      <c r="O506" s="12" t="e">
        <f t="shared" si="654"/>
        <v>#REF!</v>
      </c>
      <c r="P506" s="50" t="s">
        <v>577</v>
      </c>
      <c r="Z506" s="12" t="e">
        <f t="shared" si="655"/>
        <v>#REF!</v>
      </c>
      <c r="AB506" s="12">
        <f t="shared" si="656"/>
        <v>0</v>
      </c>
      <c r="AC506" s="12">
        <f t="shared" si="657"/>
        <v>0</v>
      </c>
      <c r="AD506" s="12">
        <f t="shared" si="658"/>
        <v>0</v>
      </c>
      <c r="AE506" s="12">
        <f t="shared" si="659"/>
        <v>0</v>
      </c>
      <c r="AF506" s="12">
        <f t="shared" si="660"/>
        <v>0</v>
      </c>
      <c r="AG506" s="12">
        <f t="shared" si="661"/>
        <v>0</v>
      </c>
      <c r="AH506" s="12">
        <f t="shared" si="662"/>
        <v>0</v>
      </c>
      <c r="AI506" s="10" t="s">
        <v>990</v>
      </c>
      <c r="AJ506" s="12">
        <f t="shared" si="663"/>
        <v>0</v>
      </c>
      <c r="AK506" s="12">
        <f t="shared" si="664"/>
        <v>0</v>
      </c>
      <c r="AL506" s="12" t="e">
        <f t="shared" si="665"/>
        <v>#REF!</v>
      </c>
      <c r="AN506" s="12">
        <v>21</v>
      </c>
      <c r="AO506" s="12" t="e">
        <f>H506*0</f>
        <v>#REF!</v>
      </c>
      <c r="AP506" s="12" t="e">
        <f>H506*(1-0)</f>
        <v>#REF!</v>
      </c>
      <c r="AQ506" s="49" t="s">
        <v>564</v>
      </c>
      <c r="AV506" s="12" t="e">
        <f t="shared" si="666"/>
        <v>#REF!</v>
      </c>
      <c r="AW506" s="12" t="e">
        <f t="shared" si="667"/>
        <v>#REF!</v>
      </c>
      <c r="AX506" s="12" t="e">
        <f t="shared" si="668"/>
        <v>#REF!</v>
      </c>
      <c r="AY506" s="49" t="s">
        <v>574</v>
      </c>
      <c r="AZ506" s="49" t="s">
        <v>992</v>
      </c>
      <c r="BA506" s="10" t="s">
        <v>993</v>
      </c>
      <c r="BC506" s="12" t="e">
        <f t="shared" si="669"/>
        <v>#REF!</v>
      </c>
      <c r="BD506" s="12" t="e">
        <f t="shared" si="670"/>
        <v>#REF!</v>
      </c>
      <c r="BE506" s="12">
        <v>0</v>
      </c>
      <c r="BF506" s="12" t="e">
        <f t="shared" si="671"/>
        <v>#REF!</v>
      </c>
      <c r="BH506" s="12" t="e">
        <f t="shared" si="672"/>
        <v>#REF!</v>
      </c>
      <c r="BI506" s="12" t="e">
        <f t="shared" si="673"/>
        <v>#REF!</v>
      </c>
      <c r="BJ506" s="12" t="e">
        <f t="shared" si="674"/>
        <v>#REF!</v>
      </c>
      <c r="BK506" s="12"/>
      <c r="BL506" s="12">
        <v>0</v>
      </c>
      <c r="BW506" s="12" t="str">
        <f t="shared" si="675"/>
        <v>21</v>
      </c>
      <c r="BX506" s="3" t="s">
        <v>125</v>
      </c>
    </row>
    <row r="507" spans="1:76">
      <c r="A507" s="1" t="s">
        <v>1001</v>
      </c>
      <c r="B507" s="2" t="s">
        <v>990</v>
      </c>
      <c r="C507" s="2" t="s">
        <v>121</v>
      </c>
      <c r="D507" s="349" t="s">
        <v>122</v>
      </c>
      <c r="E507" s="342"/>
      <c r="F507" s="2" t="s">
        <v>123</v>
      </c>
      <c r="G507" s="12" t="e">
        <f>#REF!</f>
        <v>#REF!</v>
      </c>
      <c r="H507" s="12" t="e">
        <f>#REF!</f>
        <v>#REF!</v>
      </c>
      <c r="I507" s="49" t="s">
        <v>554</v>
      </c>
      <c r="J507" s="12" t="e">
        <f t="shared" si="650"/>
        <v>#REF!</v>
      </c>
      <c r="K507" s="12" t="e">
        <f t="shared" si="651"/>
        <v>#REF!</v>
      </c>
      <c r="L507" s="12" t="e">
        <f t="shared" si="652"/>
        <v>#REF!</v>
      </c>
      <c r="M507" s="12" t="e">
        <f t="shared" si="653"/>
        <v>#REF!</v>
      </c>
      <c r="N507" s="12">
        <v>0</v>
      </c>
      <c r="O507" s="12" t="e">
        <f t="shared" si="654"/>
        <v>#REF!</v>
      </c>
      <c r="P507" s="50" t="s">
        <v>577</v>
      </c>
      <c r="Z507" s="12" t="e">
        <f t="shared" si="655"/>
        <v>#REF!</v>
      </c>
      <c r="AB507" s="12">
        <f t="shared" si="656"/>
        <v>0</v>
      </c>
      <c r="AC507" s="12">
        <f t="shared" si="657"/>
        <v>0</v>
      </c>
      <c r="AD507" s="12">
        <f t="shared" si="658"/>
        <v>0</v>
      </c>
      <c r="AE507" s="12">
        <f t="shared" si="659"/>
        <v>0</v>
      </c>
      <c r="AF507" s="12">
        <f t="shared" si="660"/>
        <v>0</v>
      </c>
      <c r="AG507" s="12">
        <f t="shared" si="661"/>
        <v>0</v>
      </c>
      <c r="AH507" s="12">
        <f t="shared" si="662"/>
        <v>0</v>
      </c>
      <c r="AI507" s="10" t="s">
        <v>990</v>
      </c>
      <c r="AJ507" s="12">
        <f t="shared" si="663"/>
        <v>0</v>
      </c>
      <c r="AK507" s="12">
        <f t="shared" si="664"/>
        <v>0</v>
      </c>
      <c r="AL507" s="12" t="e">
        <f t="shared" si="665"/>
        <v>#REF!</v>
      </c>
      <c r="AN507" s="12">
        <v>21</v>
      </c>
      <c r="AO507" s="12" t="e">
        <f>H507*0</f>
        <v>#REF!</v>
      </c>
      <c r="AP507" s="12" t="e">
        <f>H507*(1-0)</f>
        <v>#REF!</v>
      </c>
      <c r="AQ507" s="49" t="s">
        <v>564</v>
      </c>
      <c r="AV507" s="12" t="e">
        <f t="shared" si="666"/>
        <v>#REF!</v>
      </c>
      <c r="AW507" s="12" t="e">
        <f t="shared" si="667"/>
        <v>#REF!</v>
      </c>
      <c r="AX507" s="12" t="e">
        <f t="shared" si="668"/>
        <v>#REF!</v>
      </c>
      <c r="AY507" s="49" t="s">
        <v>574</v>
      </c>
      <c r="AZ507" s="49" t="s">
        <v>992</v>
      </c>
      <c r="BA507" s="10" t="s">
        <v>993</v>
      </c>
      <c r="BC507" s="12" t="e">
        <f t="shared" si="669"/>
        <v>#REF!</v>
      </c>
      <c r="BD507" s="12" t="e">
        <f t="shared" si="670"/>
        <v>#REF!</v>
      </c>
      <c r="BE507" s="12">
        <v>0</v>
      </c>
      <c r="BF507" s="12" t="e">
        <f t="shared" si="671"/>
        <v>#REF!</v>
      </c>
      <c r="BH507" s="12" t="e">
        <f t="shared" si="672"/>
        <v>#REF!</v>
      </c>
      <c r="BI507" s="12" t="e">
        <f t="shared" si="673"/>
        <v>#REF!</v>
      </c>
      <c r="BJ507" s="12" t="e">
        <f t="shared" si="674"/>
        <v>#REF!</v>
      </c>
      <c r="BK507" s="12"/>
      <c r="BL507" s="12">
        <v>0</v>
      </c>
      <c r="BW507" s="12" t="str">
        <f t="shared" si="675"/>
        <v>21</v>
      </c>
      <c r="BX507" s="3" t="s">
        <v>122</v>
      </c>
    </row>
    <row r="508" spans="1:76">
      <c r="A508" s="46" t="s">
        <v>21</v>
      </c>
      <c r="B508" s="9" t="s">
        <v>990</v>
      </c>
      <c r="C508" s="9" t="s">
        <v>59</v>
      </c>
      <c r="D508" s="359" t="s">
        <v>60</v>
      </c>
      <c r="E508" s="360"/>
      <c r="F508" s="47" t="s">
        <v>20</v>
      </c>
      <c r="G508" s="47" t="s">
        <v>20</v>
      </c>
      <c r="H508" s="47" t="s">
        <v>20</v>
      </c>
      <c r="I508" s="47" t="s">
        <v>20</v>
      </c>
      <c r="J508" s="11" t="e">
        <f>SUM(J509:J509)</f>
        <v>#REF!</v>
      </c>
      <c r="K508" s="11" t="e">
        <f>SUM(K509:K509)</f>
        <v>#REF!</v>
      </c>
      <c r="L508" s="11" t="e">
        <f>SUM(L509:L509)</f>
        <v>#REF!</v>
      </c>
      <c r="M508" s="11" t="e">
        <f>SUM(M509:M509)</f>
        <v>#REF!</v>
      </c>
      <c r="N508" s="10" t="s">
        <v>21</v>
      </c>
      <c r="O508" s="11" t="e">
        <f>SUM(O509:O509)</f>
        <v>#REF!</v>
      </c>
      <c r="P508" s="48" t="s">
        <v>21</v>
      </c>
      <c r="AI508" s="10" t="s">
        <v>990</v>
      </c>
      <c r="AS508" s="11">
        <f>SUM(AJ509:AJ509)</f>
        <v>0</v>
      </c>
      <c r="AT508" s="11">
        <f>SUM(AK509:AK509)</f>
        <v>0</v>
      </c>
      <c r="AU508" s="11" t="e">
        <f>SUM(AL509:AL509)</f>
        <v>#REF!</v>
      </c>
    </row>
    <row r="509" spans="1:76">
      <c r="A509" s="1" t="s">
        <v>1002</v>
      </c>
      <c r="B509" s="2" t="s">
        <v>990</v>
      </c>
      <c r="C509" s="2" t="s">
        <v>61</v>
      </c>
      <c r="D509" s="349" t="s">
        <v>62</v>
      </c>
      <c r="E509" s="342"/>
      <c r="F509" s="2" t="s">
        <v>63</v>
      </c>
      <c r="G509" s="12" t="e">
        <f>#REF!</f>
        <v>#REF!</v>
      </c>
      <c r="H509" s="12" t="e">
        <f>#REF!</f>
        <v>#REF!</v>
      </c>
      <c r="I509" s="49" t="s">
        <v>554</v>
      </c>
      <c r="J509" s="12" t="e">
        <f>G509*AO509</f>
        <v>#REF!</v>
      </c>
      <c r="K509" s="12" t="e">
        <f>G509*AP509</f>
        <v>#REF!</v>
      </c>
      <c r="L509" s="12" t="e">
        <f>G509*H509</f>
        <v>#REF!</v>
      </c>
      <c r="M509" s="12" t="e">
        <f>L509*(1+BW509/100)</f>
        <v>#REF!</v>
      </c>
      <c r="N509" s="12">
        <v>2.0999999999999999E-3</v>
      </c>
      <c r="O509" s="12" t="e">
        <f>G509*N509</f>
        <v>#REF!</v>
      </c>
      <c r="P509" s="50" t="s">
        <v>577</v>
      </c>
      <c r="Z509" s="12">
        <f>IF(AQ509="5",BJ509,0)</f>
        <v>0</v>
      </c>
      <c r="AB509" s="12">
        <f>IF(AQ509="1",BH509,0)</f>
        <v>0</v>
      </c>
      <c r="AC509" s="12">
        <f>IF(AQ509="1",BI509,0)</f>
        <v>0</v>
      </c>
      <c r="AD509" s="12" t="e">
        <f>IF(AQ509="7",BH509,0)</f>
        <v>#REF!</v>
      </c>
      <c r="AE509" s="12" t="e">
        <f>IF(AQ509="7",BI509,0)</f>
        <v>#REF!</v>
      </c>
      <c r="AF509" s="12">
        <f>IF(AQ509="2",BH509,0)</f>
        <v>0</v>
      </c>
      <c r="AG509" s="12">
        <f>IF(AQ509="2",BI509,0)</f>
        <v>0</v>
      </c>
      <c r="AH509" s="12">
        <f>IF(AQ509="0",BJ509,0)</f>
        <v>0</v>
      </c>
      <c r="AI509" s="10" t="s">
        <v>990</v>
      </c>
      <c r="AJ509" s="12">
        <f>IF(AN509=0,L509,0)</f>
        <v>0</v>
      </c>
      <c r="AK509" s="12">
        <f>IF(AN509=12,L509,0)</f>
        <v>0</v>
      </c>
      <c r="AL509" s="12" t="e">
        <f>IF(AN509=21,L509,0)</f>
        <v>#REF!</v>
      </c>
      <c r="AN509" s="12">
        <v>21</v>
      </c>
      <c r="AO509" s="12" t="e">
        <f>H509*0</f>
        <v>#REF!</v>
      </c>
      <c r="AP509" s="12" t="e">
        <f>H509*(1-0)</f>
        <v>#REF!</v>
      </c>
      <c r="AQ509" s="49" t="s">
        <v>567</v>
      </c>
      <c r="AV509" s="12" t="e">
        <f>AW509+AX509</f>
        <v>#REF!</v>
      </c>
      <c r="AW509" s="12" t="e">
        <f>G509*AO509</f>
        <v>#REF!</v>
      </c>
      <c r="AX509" s="12" t="e">
        <f>G509*AP509</f>
        <v>#REF!</v>
      </c>
      <c r="AY509" s="49" t="s">
        <v>578</v>
      </c>
      <c r="AZ509" s="49" t="s">
        <v>1003</v>
      </c>
      <c r="BA509" s="10" t="s">
        <v>993</v>
      </c>
      <c r="BC509" s="12" t="e">
        <f>AW509+AX509</f>
        <v>#REF!</v>
      </c>
      <c r="BD509" s="12" t="e">
        <f>H509/(100-BE509)*100</f>
        <v>#REF!</v>
      </c>
      <c r="BE509" s="12">
        <v>0</v>
      </c>
      <c r="BF509" s="12" t="e">
        <f>O509</f>
        <v>#REF!</v>
      </c>
      <c r="BH509" s="12" t="e">
        <f>G509*AO509</f>
        <v>#REF!</v>
      </c>
      <c r="BI509" s="12" t="e">
        <f>G509*AP509</f>
        <v>#REF!</v>
      </c>
      <c r="BJ509" s="12" t="e">
        <f>G509*H509</f>
        <v>#REF!</v>
      </c>
      <c r="BK509" s="12"/>
      <c r="BL509" s="12">
        <v>713</v>
      </c>
      <c r="BW509" s="12" t="str">
        <f>I509</f>
        <v>21</v>
      </c>
      <c r="BX509" s="3" t="s">
        <v>62</v>
      </c>
    </row>
    <row r="510" spans="1:76">
      <c r="A510" s="46" t="s">
        <v>21</v>
      </c>
      <c r="B510" s="9" t="s">
        <v>990</v>
      </c>
      <c r="C510" s="9" t="s">
        <v>126</v>
      </c>
      <c r="D510" s="359" t="s">
        <v>127</v>
      </c>
      <c r="E510" s="360"/>
      <c r="F510" s="47" t="s">
        <v>20</v>
      </c>
      <c r="G510" s="47" t="s">
        <v>20</v>
      </c>
      <c r="H510" s="47" t="s">
        <v>20</v>
      </c>
      <c r="I510" s="47" t="s">
        <v>20</v>
      </c>
      <c r="J510" s="11" t="e">
        <f>SUM(J511:J525)</f>
        <v>#REF!</v>
      </c>
      <c r="K510" s="11" t="e">
        <f>SUM(K511:K525)</f>
        <v>#REF!</v>
      </c>
      <c r="L510" s="11" t="e">
        <f>SUM(L511:L525)</f>
        <v>#REF!</v>
      </c>
      <c r="M510" s="11" t="e">
        <f>SUM(M511:M525)</f>
        <v>#REF!</v>
      </c>
      <c r="N510" s="10" t="s">
        <v>21</v>
      </c>
      <c r="O510" s="11" t="e">
        <f>SUM(O511:O525)</f>
        <v>#REF!</v>
      </c>
      <c r="P510" s="48" t="s">
        <v>21</v>
      </c>
      <c r="AI510" s="10" t="s">
        <v>990</v>
      </c>
      <c r="AS510" s="11">
        <f>SUM(AJ511:AJ525)</f>
        <v>0</v>
      </c>
      <c r="AT510" s="11">
        <f>SUM(AK511:AK525)</f>
        <v>0</v>
      </c>
      <c r="AU510" s="11" t="e">
        <f>SUM(AL511:AL525)</f>
        <v>#REF!</v>
      </c>
    </row>
    <row r="511" spans="1:76">
      <c r="A511" s="1" t="s">
        <v>1004</v>
      </c>
      <c r="B511" s="2" t="s">
        <v>990</v>
      </c>
      <c r="C511" s="2" t="s">
        <v>357</v>
      </c>
      <c r="D511" s="349" t="s">
        <v>358</v>
      </c>
      <c r="E511" s="342"/>
      <c r="F511" s="2" t="s">
        <v>68</v>
      </c>
      <c r="G511" s="12" t="e">
        <f>#REF!</f>
        <v>#REF!</v>
      </c>
      <c r="H511" s="12" t="e">
        <f>#REF!</f>
        <v>#REF!</v>
      </c>
      <c r="I511" s="49" t="s">
        <v>554</v>
      </c>
      <c r="J511" s="12" t="e">
        <f>G511*AO511</f>
        <v>#REF!</v>
      </c>
      <c r="K511" s="12" t="e">
        <f>G511*AP511</f>
        <v>#REF!</v>
      </c>
      <c r="L511" s="12" t="e">
        <f>G511*H511</f>
        <v>#REF!</v>
      </c>
      <c r="M511" s="12" t="e">
        <f>L511*(1+BW511/100)</f>
        <v>#REF!</v>
      </c>
      <c r="N511" s="12">
        <v>2.4399999999999999E-3</v>
      </c>
      <c r="O511" s="12" t="e">
        <f>G511*N511</f>
        <v>#REF!</v>
      </c>
      <c r="P511" s="50" t="s">
        <v>577</v>
      </c>
      <c r="Z511" s="12">
        <f>IF(AQ511="5",BJ511,0)</f>
        <v>0</v>
      </c>
      <c r="AB511" s="12">
        <f>IF(AQ511="1",BH511,0)</f>
        <v>0</v>
      </c>
      <c r="AC511" s="12">
        <f>IF(AQ511="1",BI511,0)</f>
        <v>0</v>
      </c>
      <c r="AD511" s="12" t="e">
        <f>IF(AQ511="7",BH511,0)</f>
        <v>#REF!</v>
      </c>
      <c r="AE511" s="12" t="e">
        <f>IF(AQ511="7",BI511,0)</f>
        <v>#REF!</v>
      </c>
      <c r="AF511" s="12">
        <f>IF(AQ511="2",BH511,0)</f>
        <v>0</v>
      </c>
      <c r="AG511" s="12">
        <f>IF(AQ511="2",BI511,0)</f>
        <v>0</v>
      </c>
      <c r="AH511" s="12">
        <f>IF(AQ511="0",BJ511,0)</f>
        <v>0</v>
      </c>
      <c r="AI511" s="10" t="s">
        <v>990</v>
      </c>
      <c r="AJ511" s="12">
        <f>IF(AN511=0,L511,0)</f>
        <v>0</v>
      </c>
      <c r="AK511" s="12">
        <f>IF(AN511=12,L511,0)</f>
        <v>0</v>
      </c>
      <c r="AL511" s="12" t="e">
        <f>IF(AN511=21,L511,0)</f>
        <v>#REF!</v>
      </c>
      <c r="AN511" s="12">
        <v>21</v>
      </c>
      <c r="AO511" s="12" t="e">
        <f>H511*0</f>
        <v>#REF!</v>
      </c>
      <c r="AP511" s="12" t="e">
        <f>H511*(1-0)</f>
        <v>#REF!</v>
      </c>
      <c r="AQ511" s="49" t="s">
        <v>567</v>
      </c>
      <c r="AV511" s="12" t="e">
        <f>AW511+AX511</f>
        <v>#REF!</v>
      </c>
      <c r="AW511" s="12" t="e">
        <f>G511*AO511</f>
        <v>#REF!</v>
      </c>
      <c r="AX511" s="12" t="e">
        <f>G511*AP511</f>
        <v>#REF!</v>
      </c>
      <c r="AY511" s="49" t="s">
        <v>610</v>
      </c>
      <c r="AZ511" s="49" t="s">
        <v>1005</v>
      </c>
      <c r="BA511" s="10" t="s">
        <v>993</v>
      </c>
      <c r="BC511" s="12" t="e">
        <f>AW511+AX511</f>
        <v>#REF!</v>
      </c>
      <c r="BD511" s="12" t="e">
        <f>H511/(100-BE511)*100</f>
        <v>#REF!</v>
      </c>
      <c r="BE511" s="12">
        <v>0</v>
      </c>
      <c r="BF511" s="12" t="e">
        <f>O511</f>
        <v>#REF!</v>
      </c>
      <c r="BH511" s="12" t="e">
        <f>G511*AO511</f>
        <v>#REF!</v>
      </c>
      <c r="BI511" s="12" t="e">
        <f>G511*AP511</f>
        <v>#REF!</v>
      </c>
      <c r="BJ511" s="12" t="e">
        <f>G511*H511</f>
        <v>#REF!</v>
      </c>
      <c r="BK511" s="12"/>
      <c r="BL511" s="12">
        <v>722</v>
      </c>
      <c r="BW511" s="12" t="str">
        <f>I511</f>
        <v>21</v>
      </c>
      <c r="BX511" s="3" t="s">
        <v>358</v>
      </c>
    </row>
    <row r="512" spans="1:76">
      <c r="A512" s="1" t="s">
        <v>1006</v>
      </c>
      <c r="B512" s="2" t="s">
        <v>990</v>
      </c>
      <c r="C512" s="2" t="s">
        <v>359</v>
      </c>
      <c r="D512" s="349" t="s">
        <v>360</v>
      </c>
      <c r="E512" s="342"/>
      <c r="F512" s="2" t="s">
        <v>63</v>
      </c>
      <c r="G512" s="12" t="e">
        <f>#REF!</f>
        <v>#REF!</v>
      </c>
      <c r="H512" s="12" t="e">
        <f>#REF!</f>
        <v>#REF!</v>
      </c>
      <c r="I512" s="49" t="s">
        <v>554</v>
      </c>
      <c r="J512" s="12" t="e">
        <f>G512*AO512</f>
        <v>#REF!</v>
      </c>
      <c r="K512" s="12" t="e">
        <f>G512*AP512</f>
        <v>#REF!</v>
      </c>
      <c r="L512" s="12" t="e">
        <f>G512*H512</f>
        <v>#REF!</v>
      </c>
      <c r="M512" s="12" t="e">
        <f>L512*(1+BW512/100)</f>
        <v>#REF!</v>
      </c>
      <c r="N512" s="12">
        <v>2.9E-4</v>
      </c>
      <c r="O512" s="12" t="e">
        <f>G512*N512</f>
        <v>#REF!</v>
      </c>
      <c r="P512" s="50" t="s">
        <v>577</v>
      </c>
      <c r="Z512" s="12">
        <f>IF(AQ512="5",BJ512,0)</f>
        <v>0</v>
      </c>
      <c r="AB512" s="12">
        <f>IF(AQ512="1",BH512,0)</f>
        <v>0</v>
      </c>
      <c r="AC512" s="12">
        <f>IF(AQ512="1",BI512,0)</f>
        <v>0</v>
      </c>
      <c r="AD512" s="12" t="e">
        <f>IF(AQ512="7",BH512,0)</f>
        <v>#REF!</v>
      </c>
      <c r="AE512" s="12" t="e">
        <f>IF(AQ512="7",BI512,0)</f>
        <v>#REF!</v>
      </c>
      <c r="AF512" s="12">
        <f>IF(AQ512="2",BH512,0)</f>
        <v>0</v>
      </c>
      <c r="AG512" s="12">
        <f>IF(AQ512="2",BI512,0)</f>
        <v>0</v>
      </c>
      <c r="AH512" s="12">
        <f>IF(AQ512="0",BJ512,0)</f>
        <v>0</v>
      </c>
      <c r="AI512" s="10" t="s">
        <v>990</v>
      </c>
      <c r="AJ512" s="12">
        <f>IF(AN512=0,L512,0)</f>
        <v>0</v>
      </c>
      <c r="AK512" s="12">
        <f>IF(AN512=12,L512,0)</f>
        <v>0</v>
      </c>
      <c r="AL512" s="12" t="e">
        <f>IF(AN512=21,L512,0)</f>
        <v>#REF!</v>
      </c>
      <c r="AN512" s="12">
        <v>21</v>
      </c>
      <c r="AO512" s="12" t="e">
        <f>H512*0</f>
        <v>#REF!</v>
      </c>
      <c r="AP512" s="12" t="e">
        <f>H512*(1-0)</f>
        <v>#REF!</v>
      </c>
      <c r="AQ512" s="49" t="s">
        <v>567</v>
      </c>
      <c r="AV512" s="12" t="e">
        <f>AW512+AX512</f>
        <v>#REF!</v>
      </c>
      <c r="AW512" s="12" t="e">
        <f>G512*AO512</f>
        <v>#REF!</v>
      </c>
      <c r="AX512" s="12" t="e">
        <f>G512*AP512</f>
        <v>#REF!</v>
      </c>
      <c r="AY512" s="49" t="s">
        <v>610</v>
      </c>
      <c r="AZ512" s="49" t="s">
        <v>1005</v>
      </c>
      <c r="BA512" s="10" t="s">
        <v>993</v>
      </c>
      <c r="BC512" s="12" t="e">
        <f>AW512+AX512</f>
        <v>#REF!</v>
      </c>
      <c r="BD512" s="12" t="e">
        <f>H512/(100-BE512)*100</f>
        <v>#REF!</v>
      </c>
      <c r="BE512" s="12">
        <v>0</v>
      </c>
      <c r="BF512" s="12" t="e">
        <f>O512</f>
        <v>#REF!</v>
      </c>
      <c r="BH512" s="12" t="e">
        <f>G512*AO512</f>
        <v>#REF!</v>
      </c>
      <c r="BI512" s="12" t="e">
        <f>G512*AP512</f>
        <v>#REF!</v>
      </c>
      <c r="BJ512" s="12" t="e">
        <f>G512*H512</f>
        <v>#REF!</v>
      </c>
      <c r="BK512" s="12"/>
      <c r="BL512" s="12">
        <v>722</v>
      </c>
      <c r="BW512" s="12" t="str">
        <f>I512</f>
        <v>21</v>
      </c>
      <c r="BX512" s="3" t="s">
        <v>360</v>
      </c>
    </row>
    <row r="513" spans="1:76">
      <c r="A513" s="1" t="s">
        <v>1007</v>
      </c>
      <c r="B513" s="2" t="s">
        <v>990</v>
      </c>
      <c r="C513" s="2" t="s">
        <v>361</v>
      </c>
      <c r="D513" s="349" t="s">
        <v>362</v>
      </c>
      <c r="E513" s="342"/>
      <c r="F513" s="2" t="s">
        <v>68</v>
      </c>
      <c r="G513" s="12" t="e">
        <f>#REF!</f>
        <v>#REF!</v>
      </c>
      <c r="H513" s="12" t="e">
        <f>#REF!</f>
        <v>#REF!</v>
      </c>
      <c r="I513" s="49" t="s">
        <v>554</v>
      </c>
      <c r="J513" s="12" t="e">
        <f>G513*AO513</f>
        <v>#REF!</v>
      </c>
      <c r="K513" s="12" t="e">
        <f>G513*AP513</f>
        <v>#REF!</v>
      </c>
      <c r="L513" s="12" t="e">
        <f>G513*H513</f>
        <v>#REF!</v>
      </c>
      <c r="M513" s="12" t="e">
        <f>L513*(1+BW513/100)</f>
        <v>#REF!</v>
      </c>
      <c r="N513" s="12">
        <v>6.0200000000000002E-3</v>
      </c>
      <c r="O513" s="12" t="e">
        <f>G513*N513</f>
        <v>#REF!</v>
      </c>
      <c r="P513" s="50" t="s">
        <v>577</v>
      </c>
      <c r="Z513" s="12">
        <f>IF(AQ513="5",BJ513,0)</f>
        <v>0</v>
      </c>
      <c r="AB513" s="12">
        <f>IF(AQ513="1",BH513,0)</f>
        <v>0</v>
      </c>
      <c r="AC513" s="12">
        <f>IF(AQ513="1",BI513,0)</f>
        <v>0</v>
      </c>
      <c r="AD513" s="12" t="e">
        <f>IF(AQ513="7",BH513,0)</f>
        <v>#REF!</v>
      </c>
      <c r="AE513" s="12" t="e">
        <f>IF(AQ513="7",BI513,0)</f>
        <v>#REF!</v>
      </c>
      <c r="AF513" s="12">
        <f>IF(AQ513="2",BH513,0)</f>
        <v>0</v>
      </c>
      <c r="AG513" s="12">
        <f>IF(AQ513="2",BI513,0)</f>
        <v>0</v>
      </c>
      <c r="AH513" s="12">
        <f>IF(AQ513="0",BJ513,0)</f>
        <v>0</v>
      </c>
      <c r="AI513" s="10" t="s">
        <v>990</v>
      </c>
      <c r="AJ513" s="12">
        <f>IF(AN513=0,L513,0)</f>
        <v>0</v>
      </c>
      <c r="AK513" s="12">
        <f>IF(AN513=12,L513,0)</f>
        <v>0</v>
      </c>
      <c r="AL513" s="12" t="e">
        <f>IF(AN513=21,L513,0)</f>
        <v>#REF!</v>
      </c>
      <c r="AN513" s="12">
        <v>21</v>
      </c>
      <c r="AO513" s="12" t="e">
        <f>H513*0.591079336</f>
        <v>#REF!</v>
      </c>
      <c r="AP513" s="12" t="e">
        <f>H513*(1-0.591079336)</f>
        <v>#REF!</v>
      </c>
      <c r="AQ513" s="49" t="s">
        <v>567</v>
      </c>
      <c r="AV513" s="12" t="e">
        <f>AW513+AX513</f>
        <v>#REF!</v>
      </c>
      <c r="AW513" s="12" t="e">
        <f>G513*AO513</f>
        <v>#REF!</v>
      </c>
      <c r="AX513" s="12" t="e">
        <f>G513*AP513</f>
        <v>#REF!</v>
      </c>
      <c r="AY513" s="49" t="s">
        <v>610</v>
      </c>
      <c r="AZ513" s="49" t="s">
        <v>1005</v>
      </c>
      <c r="BA513" s="10" t="s">
        <v>993</v>
      </c>
      <c r="BC513" s="12" t="e">
        <f>AW513+AX513</f>
        <v>#REF!</v>
      </c>
      <c r="BD513" s="12" t="e">
        <f>H513/(100-BE513)*100</f>
        <v>#REF!</v>
      </c>
      <c r="BE513" s="12">
        <v>0</v>
      </c>
      <c r="BF513" s="12" t="e">
        <f>O513</f>
        <v>#REF!</v>
      </c>
      <c r="BH513" s="12" t="e">
        <f>G513*AO513</f>
        <v>#REF!</v>
      </c>
      <c r="BI513" s="12" t="e">
        <f>G513*AP513</f>
        <v>#REF!</v>
      </c>
      <c r="BJ513" s="12" t="e">
        <f>G513*H513</f>
        <v>#REF!</v>
      </c>
      <c r="BK513" s="12"/>
      <c r="BL513" s="12">
        <v>722</v>
      </c>
      <c r="BW513" s="12" t="str">
        <f>I513</f>
        <v>21</v>
      </c>
      <c r="BX513" s="3" t="s">
        <v>362</v>
      </c>
    </row>
    <row r="514" spans="1:76">
      <c r="A514" s="1" t="s">
        <v>1008</v>
      </c>
      <c r="B514" s="2" t="s">
        <v>990</v>
      </c>
      <c r="C514" s="2" t="s">
        <v>136</v>
      </c>
      <c r="D514" s="349" t="s">
        <v>137</v>
      </c>
      <c r="E514" s="342"/>
      <c r="F514" s="2" t="s">
        <v>63</v>
      </c>
      <c r="G514" s="12" t="e">
        <f>#REF!</f>
        <v>#REF!</v>
      </c>
      <c r="H514" s="12" t="e">
        <f>#REF!</f>
        <v>#REF!</v>
      </c>
      <c r="I514" s="49" t="s">
        <v>554</v>
      </c>
      <c r="J514" s="12" t="e">
        <f>G514*AO514</f>
        <v>#REF!</v>
      </c>
      <c r="K514" s="12" t="e">
        <f>G514*AP514</f>
        <v>#REF!</v>
      </c>
      <c r="L514" s="12" t="e">
        <f>G514*H514</f>
        <v>#REF!</v>
      </c>
      <c r="M514" s="12" t="e">
        <f>L514*(1+BW514/100)</f>
        <v>#REF!</v>
      </c>
      <c r="N514" s="12">
        <v>5.3499999999999997E-3</v>
      </c>
      <c r="O514" s="12" t="e">
        <f>G514*N514</f>
        <v>#REF!</v>
      </c>
      <c r="P514" s="50" t="s">
        <v>577</v>
      </c>
      <c r="Z514" s="12">
        <f>IF(AQ514="5",BJ514,0)</f>
        <v>0</v>
      </c>
      <c r="AB514" s="12">
        <f>IF(AQ514="1",BH514,0)</f>
        <v>0</v>
      </c>
      <c r="AC514" s="12">
        <f>IF(AQ514="1",BI514,0)</f>
        <v>0</v>
      </c>
      <c r="AD514" s="12" t="e">
        <f>IF(AQ514="7",BH514,0)</f>
        <v>#REF!</v>
      </c>
      <c r="AE514" s="12" t="e">
        <f>IF(AQ514="7",BI514,0)</f>
        <v>#REF!</v>
      </c>
      <c r="AF514" s="12">
        <f>IF(AQ514="2",BH514,0)</f>
        <v>0</v>
      </c>
      <c r="AG514" s="12">
        <f>IF(AQ514="2",BI514,0)</f>
        <v>0</v>
      </c>
      <c r="AH514" s="12">
        <f>IF(AQ514="0",BJ514,0)</f>
        <v>0</v>
      </c>
      <c r="AI514" s="10" t="s">
        <v>990</v>
      </c>
      <c r="AJ514" s="12">
        <f>IF(AN514=0,L514,0)</f>
        <v>0</v>
      </c>
      <c r="AK514" s="12">
        <f>IF(AN514=12,L514,0)</f>
        <v>0</v>
      </c>
      <c r="AL514" s="12" t="e">
        <f>IF(AN514=21,L514,0)</f>
        <v>#REF!</v>
      </c>
      <c r="AN514" s="12">
        <v>21</v>
      </c>
      <c r="AO514" s="12" t="e">
        <f>H514*0.334193548</f>
        <v>#REF!</v>
      </c>
      <c r="AP514" s="12" t="e">
        <f>H514*(1-0.334193548)</f>
        <v>#REF!</v>
      </c>
      <c r="AQ514" s="49" t="s">
        <v>567</v>
      </c>
      <c r="AV514" s="12" t="e">
        <f>AW514+AX514</f>
        <v>#REF!</v>
      </c>
      <c r="AW514" s="12" t="e">
        <f>G514*AO514</f>
        <v>#REF!</v>
      </c>
      <c r="AX514" s="12" t="e">
        <f>G514*AP514</f>
        <v>#REF!</v>
      </c>
      <c r="AY514" s="49" t="s">
        <v>610</v>
      </c>
      <c r="AZ514" s="49" t="s">
        <v>1005</v>
      </c>
      <c r="BA514" s="10" t="s">
        <v>993</v>
      </c>
      <c r="BC514" s="12" t="e">
        <f>AW514+AX514</f>
        <v>#REF!</v>
      </c>
      <c r="BD514" s="12" t="e">
        <f>H514/(100-BE514)*100</f>
        <v>#REF!</v>
      </c>
      <c r="BE514" s="12">
        <v>0</v>
      </c>
      <c r="BF514" s="12" t="e">
        <f>O514</f>
        <v>#REF!</v>
      </c>
      <c r="BH514" s="12" t="e">
        <f>G514*AO514</f>
        <v>#REF!</v>
      </c>
      <c r="BI514" s="12" t="e">
        <f>G514*AP514</f>
        <v>#REF!</v>
      </c>
      <c r="BJ514" s="12" t="e">
        <f>G514*H514</f>
        <v>#REF!</v>
      </c>
      <c r="BK514" s="12"/>
      <c r="BL514" s="12">
        <v>722</v>
      </c>
      <c r="BW514" s="12" t="str">
        <f>I514</f>
        <v>21</v>
      </c>
      <c r="BX514" s="3" t="s">
        <v>137</v>
      </c>
    </row>
    <row r="515" spans="1:76">
      <c r="A515" s="1" t="s">
        <v>1009</v>
      </c>
      <c r="B515" s="2" t="s">
        <v>990</v>
      </c>
      <c r="C515" s="2" t="s">
        <v>143</v>
      </c>
      <c r="D515" s="349" t="s">
        <v>363</v>
      </c>
      <c r="E515" s="342"/>
      <c r="F515" s="2" t="s">
        <v>63</v>
      </c>
      <c r="G515" s="12" t="e">
        <f>#REF!</f>
        <v>#REF!</v>
      </c>
      <c r="H515" s="12" t="e">
        <f>#REF!</f>
        <v>#REF!</v>
      </c>
      <c r="I515" s="49" t="s">
        <v>554</v>
      </c>
      <c r="J515" s="12" t="e">
        <f>G515*AO515</f>
        <v>#REF!</v>
      </c>
      <c r="K515" s="12" t="e">
        <f>G515*AP515</f>
        <v>#REF!</v>
      </c>
      <c r="L515" s="12" t="e">
        <f>G515*H515</f>
        <v>#REF!</v>
      </c>
      <c r="M515" s="12" t="e">
        <f>L515*(1+BW515/100)</f>
        <v>#REF!</v>
      </c>
      <c r="N515" s="12">
        <v>6.9999999999999994E-5</v>
      </c>
      <c r="O515" s="12" t="e">
        <f>G515*N515</f>
        <v>#REF!</v>
      </c>
      <c r="P515" s="50" t="s">
        <v>577</v>
      </c>
      <c r="Z515" s="12">
        <f>IF(AQ515="5",BJ515,0)</f>
        <v>0</v>
      </c>
      <c r="AB515" s="12">
        <f>IF(AQ515="1",BH515,0)</f>
        <v>0</v>
      </c>
      <c r="AC515" s="12">
        <f>IF(AQ515="1",BI515,0)</f>
        <v>0</v>
      </c>
      <c r="AD515" s="12" t="e">
        <f>IF(AQ515="7",BH515,0)</f>
        <v>#REF!</v>
      </c>
      <c r="AE515" s="12" t="e">
        <f>IF(AQ515="7",BI515,0)</f>
        <v>#REF!</v>
      </c>
      <c r="AF515" s="12">
        <f>IF(AQ515="2",BH515,0)</f>
        <v>0</v>
      </c>
      <c r="AG515" s="12">
        <f>IF(AQ515="2",BI515,0)</f>
        <v>0</v>
      </c>
      <c r="AH515" s="12">
        <f>IF(AQ515="0",BJ515,0)</f>
        <v>0</v>
      </c>
      <c r="AI515" s="10" t="s">
        <v>990</v>
      </c>
      <c r="AJ515" s="12">
        <f>IF(AN515=0,L515,0)</f>
        <v>0</v>
      </c>
      <c r="AK515" s="12">
        <f>IF(AN515=12,L515,0)</f>
        <v>0</v>
      </c>
      <c r="AL515" s="12" t="e">
        <f>IF(AN515=21,L515,0)</f>
        <v>#REF!</v>
      </c>
      <c r="AN515" s="12">
        <v>21</v>
      </c>
      <c r="AO515" s="12" t="e">
        <f>H515*0.599757869</f>
        <v>#REF!</v>
      </c>
      <c r="AP515" s="12" t="e">
        <f>H515*(1-0.599757869)</f>
        <v>#REF!</v>
      </c>
      <c r="AQ515" s="49" t="s">
        <v>567</v>
      </c>
      <c r="AV515" s="12" t="e">
        <f>AW515+AX515</f>
        <v>#REF!</v>
      </c>
      <c r="AW515" s="12" t="e">
        <f>G515*AO515</f>
        <v>#REF!</v>
      </c>
      <c r="AX515" s="12" t="e">
        <f>G515*AP515</f>
        <v>#REF!</v>
      </c>
      <c r="AY515" s="49" t="s">
        <v>610</v>
      </c>
      <c r="AZ515" s="49" t="s">
        <v>1005</v>
      </c>
      <c r="BA515" s="10" t="s">
        <v>993</v>
      </c>
      <c r="BC515" s="12" t="e">
        <f>AW515+AX515</f>
        <v>#REF!</v>
      </c>
      <c r="BD515" s="12" t="e">
        <f>H515/(100-BE515)*100</f>
        <v>#REF!</v>
      </c>
      <c r="BE515" s="12">
        <v>0</v>
      </c>
      <c r="BF515" s="12" t="e">
        <f>O515</f>
        <v>#REF!</v>
      </c>
      <c r="BH515" s="12" t="e">
        <f>G515*AO515</f>
        <v>#REF!</v>
      </c>
      <c r="BI515" s="12" t="e">
        <f>G515*AP515</f>
        <v>#REF!</v>
      </c>
      <c r="BJ515" s="12" t="e">
        <f>G515*H515</f>
        <v>#REF!</v>
      </c>
      <c r="BK515" s="12"/>
      <c r="BL515" s="12">
        <v>722</v>
      </c>
      <c r="BW515" s="12" t="str">
        <f>I515</f>
        <v>21</v>
      </c>
      <c r="BX515" s="3" t="s">
        <v>363</v>
      </c>
    </row>
    <row r="516" spans="1:76">
      <c r="A516" s="51"/>
      <c r="C516" s="13" t="s">
        <v>117</v>
      </c>
      <c r="D516" s="363" t="s">
        <v>142</v>
      </c>
      <c r="E516" s="364"/>
      <c r="F516" s="364"/>
      <c r="G516" s="364"/>
      <c r="H516" s="364"/>
      <c r="I516" s="364"/>
      <c r="J516" s="364"/>
      <c r="K516" s="364"/>
      <c r="L516" s="364"/>
      <c r="M516" s="364"/>
      <c r="N516" s="364"/>
      <c r="O516" s="364"/>
      <c r="P516" s="365"/>
      <c r="BX516" s="14" t="s">
        <v>142</v>
      </c>
    </row>
    <row r="517" spans="1:76">
      <c r="A517" s="1" t="s">
        <v>1010</v>
      </c>
      <c r="B517" s="2" t="s">
        <v>990</v>
      </c>
      <c r="C517" s="2" t="s">
        <v>364</v>
      </c>
      <c r="D517" s="349" t="s">
        <v>365</v>
      </c>
      <c r="E517" s="342"/>
      <c r="F517" s="2" t="s">
        <v>63</v>
      </c>
      <c r="G517" s="12" t="e">
        <f>#REF!</f>
        <v>#REF!</v>
      </c>
      <c r="H517" s="12" t="e">
        <f>#REF!</f>
        <v>#REF!</v>
      </c>
      <c r="I517" s="49" t="s">
        <v>554</v>
      </c>
      <c r="J517" s="12" t="e">
        <f t="shared" ref="J517:J525" si="676">G517*AO517</f>
        <v>#REF!</v>
      </c>
      <c r="K517" s="12" t="e">
        <f t="shared" ref="K517:K525" si="677">G517*AP517</f>
        <v>#REF!</v>
      </c>
      <c r="L517" s="12" t="e">
        <f t="shared" ref="L517:L525" si="678">G517*H517</f>
        <v>#REF!</v>
      </c>
      <c r="M517" s="12" t="e">
        <f t="shared" ref="M517:M525" si="679">L517*(1+BW517/100)</f>
        <v>#REF!</v>
      </c>
      <c r="N517" s="12">
        <v>4.0000000000000003E-5</v>
      </c>
      <c r="O517" s="12" t="e">
        <f t="shared" ref="O517:O525" si="680">G517*N517</f>
        <v>#REF!</v>
      </c>
      <c r="P517" s="50" t="s">
        <v>577</v>
      </c>
      <c r="Z517" s="12">
        <f t="shared" ref="Z517:Z525" si="681">IF(AQ517="5",BJ517,0)</f>
        <v>0</v>
      </c>
      <c r="AB517" s="12">
        <f t="shared" ref="AB517:AB525" si="682">IF(AQ517="1",BH517,0)</f>
        <v>0</v>
      </c>
      <c r="AC517" s="12">
        <f t="shared" ref="AC517:AC525" si="683">IF(AQ517="1",BI517,0)</f>
        <v>0</v>
      </c>
      <c r="AD517" s="12" t="e">
        <f t="shared" ref="AD517:AD525" si="684">IF(AQ517="7",BH517,0)</f>
        <v>#REF!</v>
      </c>
      <c r="AE517" s="12" t="e">
        <f t="shared" ref="AE517:AE525" si="685">IF(AQ517="7",BI517,0)</f>
        <v>#REF!</v>
      </c>
      <c r="AF517" s="12">
        <f t="shared" ref="AF517:AF525" si="686">IF(AQ517="2",BH517,0)</f>
        <v>0</v>
      </c>
      <c r="AG517" s="12">
        <f t="shared" ref="AG517:AG525" si="687">IF(AQ517="2",BI517,0)</f>
        <v>0</v>
      </c>
      <c r="AH517" s="12">
        <f t="shared" ref="AH517:AH525" si="688">IF(AQ517="0",BJ517,0)</f>
        <v>0</v>
      </c>
      <c r="AI517" s="10" t="s">
        <v>990</v>
      </c>
      <c r="AJ517" s="12">
        <f t="shared" ref="AJ517:AJ525" si="689">IF(AN517=0,L517,0)</f>
        <v>0</v>
      </c>
      <c r="AK517" s="12">
        <f t="shared" ref="AK517:AK525" si="690">IF(AN517=12,L517,0)</f>
        <v>0</v>
      </c>
      <c r="AL517" s="12" t="e">
        <f t="shared" ref="AL517:AL525" si="691">IF(AN517=21,L517,0)</f>
        <v>#REF!</v>
      </c>
      <c r="AN517" s="12">
        <v>21</v>
      </c>
      <c r="AO517" s="12" t="e">
        <f>H517*0.347100252</f>
        <v>#REF!</v>
      </c>
      <c r="AP517" s="12" t="e">
        <f>H517*(1-0.347100252)</f>
        <v>#REF!</v>
      </c>
      <c r="AQ517" s="49" t="s">
        <v>567</v>
      </c>
      <c r="AV517" s="12" t="e">
        <f t="shared" ref="AV517:AV525" si="692">AW517+AX517</f>
        <v>#REF!</v>
      </c>
      <c r="AW517" s="12" t="e">
        <f t="shared" ref="AW517:AW525" si="693">G517*AO517</f>
        <v>#REF!</v>
      </c>
      <c r="AX517" s="12" t="e">
        <f t="shared" ref="AX517:AX525" si="694">G517*AP517</f>
        <v>#REF!</v>
      </c>
      <c r="AY517" s="49" t="s">
        <v>610</v>
      </c>
      <c r="AZ517" s="49" t="s">
        <v>1005</v>
      </c>
      <c r="BA517" s="10" t="s">
        <v>993</v>
      </c>
      <c r="BC517" s="12" t="e">
        <f t="shared" ref="BC517:BC525" si="695">AW517+AX517</f>
        <v>#REF!</v>
      </c>
      <c r="BD517" s="12" t="e">
        <f t="shared" ref="BD517:BD525" si="696">H517/(100-BE517)*100</f>
        <v>#REF!</v>
      </c>
      <c r="BE517" s="12">
        <v>0</v>
      </c>
      <c r="BF517" s="12" t="e">
        <f t="shared" ref="BF517:BF525" si="697">O517</f>
        <v>#REF!</v>
      </c>
      <c r="BH517" s="12" t="e">
        <f t="shared" ref="BH517:BH525" si="698">G517*AO517</f>
        <v>#REF!</v>
      </c>
      <c r="BI517" s="12" t="e">
        <f t="shared" ref="BI517:BI525" si="699">G517*AP517</f>
        <v>#REF!</v>
      </c>
      <c r="BJ517" s="12" t="e">
        <f t="shared" ref="BJ517:BJ525" si="700">G517*H517</f>
        <v>#REF!</v>
      </c>
      <c r="BK517" s="12"/>
      <c r="BL517" s="12">
        <v>722</v>
      </c>
      <c r="BW517" s="12" t="str">
        <f t="shared" ref="BW517:BW525" si="701">I517</f>
        <v>21</v>
      </c>
      <c r="BX517" s="3" t="s">
        <v>365</v>
      </c>
    </row>
    <row r="518" spans="1:76">
      <c r="A518" s="1" t="s">
        <v>1011</v>
      </c>
      <c r="B518" s="2" t="s">
        <v>990</v>
      </c>
      <c r="C518" s="2" t="s">
        <v>366</v>
      </c>
      <c r="D518" s="349" t="s">
        <v>367</v>
      </c>
      <c r="E518" s="342"/>
      <c r="F518" s="2" t="s">
        <v>68</v>
      </c>
      <c r="G518" s="12" t="e">
        <f>#REF!</f>
        <v>#REF!</v>
      </c>
      <c r="H518" s="12" t="e">
        <f>#REF!</f>
        <v>#REF!</v>
      </c>
      <c r="I518" s="49" t="s">
        <v>554</v>
      </c>
      <c r="J518" s="12" t="e">
        <f t="shared" si="676"/>
        <v>#REF!</v>
      </c>
      <c r="K518" s="12" t="e">
        <f t="shared" si="677"/>
        <v>#REF!</v>
      </c>
      <c r="L518" s="12" t="e">
        <f t="shared" si="678"/>
        <v>#REF!</v>
      </c>
      <c r="M518" s="12" t="e">
        <f t="shared" si="679"/>
        <v>#REF!</v>
      </c>
      <c r="N518" s="12">
        <v>1E-3</v>
      </c>
      <c r="O518" s="12" t="e">
        <f t="shared" si="680"/>
        <v>#REF!</v>
      </c>
      <c r="P518" s="50" t="s">
        <v>577</v>
      </c>
      <c r="Z518" s="12">
        <f t="shared" si="681"/>
        <v>0</v>
      </c>
      <c r="AB518" s="12">
        <f t="shared" si="682"/>
        <v>0</v>
      </c>
      <c r="AC518" s="12">
        <f t="shared" si="683"/>
        <v>0</v>
      </c>
      <c r="AD518" s="12" t="e">
        <f t="shared" si="684"/>
        <v>#REF!</v>
      </c>
      <c r="AE518" s="12" t="e">
        <f t="shared" si="685"/>
        <v>#REF!</v>
      </c>
      <c r="AF518" s="12">
        <f t="shared" si="686"/>
        <v>0</v>
      </c>
      <c r="AG518" s="12">
        <f t="shared" si="687"/>
        <v>0</v>
      </c>
      <c r="AH518" s="12">
        <f t="shared" si="688"/>
        <v>0</v>
      </c>
      <c r="AI518" s="10" t="s">
        <v>990</v>
      </c>
      <c r="AJ518" s="12">
        <f t="shared" si="689"/>
        <v>0</v>
      </c>
      <c r="AK518" s="12">
        <f t="shared" si="690"/>
        <v>0</v>
      </c>
      <c r="AL518" s="12" t="e">
        <f t="shared" si="691"/>
        <v>#REF!</v>
      </c>
      <c r="AN518" s="12">
        <v>21</v>
      </c>
      <c r="AO518" s="12" t="e">
        <f>H518*0.945125475</f>
        <v>#REF!</v>
      </c>
      <c r="AP518" s="12" t="e">
        <f>H518*(1-0.945125475)</f>
        <v>#REF!</v>
      </c>
      <c r="AQ518" s="49" t="s">
        <v>567</v>
      </c>
      <c r="AV518" s="12" t="e">
        <f t="shared" si="692"/>
        <v>#REF!</v>
      </c>
      <c r="AW518" s="12" t="e">
        <f t="shared" si="693"/>
        <v>#REF!</v>
      </c>
      <c r="AX518" s="12" t="e">
        <f t="shared" si="694"/>
        <v>#REF!</v>
      </c>
      <c r="AY518" s="49" t="s">
        <v>610</v>
      </c>
      <c r="AZ518" s="49" t="s">
        <v>1005</v>
      </c>
      <c r="BA518" s="10" t="s">
        <v>993</v>
      </c>
      <c r="BC518" s="12" t="e">
        <f t="shared" si="695"/>
        <v>#REF!</v>
      </c>
      <c r="BD518" s="12" t="e">
        <f t="shared" si="696"/>
        <v>#REF!</v>
      </c>
      <c r="BE518" s="12">
        <v>0</v>
      </c>
      <c r="BF518" s="12" t="e">
        <f t="shared" si="697"/>
        <v>#REF!</v>
      </c>
      <c r="BH518" s="12" t="e">
        <f t="shared" si="698"/>
        <v>#REF!</v>
      </c>
      <c r="BI518" s="12" t="e">
        <f t="shared" si="699"/>
        <v>#REF!</v>
      </c>
      <c r="BJ518" s="12" t="e">
        <f t="shared" si="700"/>
        <v>#REF!</v>
      </c>
      <c r="BK518" s="12"/>
      <c r="BL518" s="12">
        <v>722</v>
      </c>
      <c r="BW518" s="12" t="str">
        <f t="shared" si="701"/>
        <v>21</v>
      </c>
      <c r="BX518" s="3" t="s">
        <v>367</v>
      </c>
    </row>
    <row r="519" spans="1:76">
      <c r="A519" s="1" t="s">
        <v>1012</v>
      </c>
      <c r="B519" s="2" t="s">
        <v>990</v>
      </c>
      <c r="C519" s="2" t="s">
        <v>368</v>
      </c>
      <c r="D519" s="349" t="s">
        <v>369</v>
      </c>
      <c r="E519" s="342"/>
      <c r="F519" s="2" t="s">
        <v>68</v>
      </c>
      <c r="G519" s="12" t="e">
        <f>#REF!</f>
        <v>#REF!</v>
      </c>
      <c r="H519" s="12" t="e">
        <f>#REF!</f>
        <v>#REF!</v>
      </c>
      <c r="I519" s="49" t="s">
        <v>554</v>
      </c>
      <c r="J519" s="12" t="e">
        <f t="shared" si="676"/>
        <v>#REF!</v>
      </c>
      <c r="K519" s="12" t="e">
        <f t="shared" si="677"/>
        <v>#REF!</v>
      </c>
      <c r="L519" s="12" t="e">
        <f t="shared" si="678"/>
        <v>#REF!</v>
      </c>
      <c r="M519" s="12" t="e">
        <f t="shared" si="679"/>
        <v>#REF!</v>
      </c>
      <c r="N519" s="12">
        <v>1.5E-3</v>
      </c>
      <c r="O519" s="12" t="e">
        <f t="shared" si="680"/>
        <v>#REF!</v>
      </c>
      <c r="P519" s="50" t="s">
        <v>577</v>
      </c>
      <c r="Z519" s="12">
        <f t="shared" si="681"/>
        <v>0</v>
      </c>
      <c r="AB519" s="12">
        <f t="shared" si="682"/>
        <v>0</v>
      </c>
      <c r="AC519" s="12">
        <f t="shared" si="683"/>
        <v>0</v>
      </c>
      <c r="AD519" s="12" t="e">
        <f t="shared" si="684"/>
        <v>#REF!</v>
      </c>
      <c r="AE519" s="12" t="e">
        <f t="shared" si="685"/>
        <v>#REF!</v>
      </c>
      <c r="AF519" s="12">
        <f t="shared" si="686"/>
        <v>0</v>
      </c>
      <c r="AG519" s="12">
        <f t="shared" si="687"/>
        <v>0</v>
      </c>
      <c r="AH519" s="12">
        <f t="shared" si="688"/>
        <v>0</v>
      </c>
      <c r="AI519" s="10" t="s">
        <v>990</v>
      </c>
      <c r="AJ519" s="12">
        <f t="shared" si="689"/>
        <v>0</v>
      </c>
      <c r="AK519" s="12">
        <f t="shared" si="690"/>
        <v>0</v>
      </c>
      <c r="AL519" s="12" t="e">
        <f t="shared" si="691"/>
        <v>#REF!</v>
      </c>
      <c r="AN519" s="12">
        <v>21</v>
      </c>
      <c r="AO519" s="12" t="e">
        <f>H519*0.958778158</f>
        <v>#REF!</v>
      </c>
      <c r="AP519" s="12" t="e">
        <f>H519*(1-0.958778158)</f>
        <v>#REF!</v>
      </c>
      <c r="AQ519" s="49" t="s">
        <v>567</v>
      </c>
      <c r="AV519" s="12" t="e">
        <f t="shared" si="692"/>
        <v>#REF!</v>
      </c>
      <c r="AW519" s="12" t="e">
        <f t="shared" si="693"/>
        <v>#REF!</v>
      </c>
      <c r="AX519" s="12" t="e">
        <f t="shared" si="694"/>
        <v>#REF!</v>
      </c>
      <c r="AY519" s="49" t="s">
        <v>610</v>
      </c>
      <c r="AZ519" s="49" t="s">
        <v>1005</v>
      </c>
      <c r="BA519" s="10" t="s">
        <v>993</v>
      </c>
      <c r="BC519" s="12" t="e">
        <f t="shared" si="695"/>
        <v>#REF!</v>
      </c>
      <c r="BD519" s="12" t="e">
        <f t="shared" si="696"/>
        <v>#REF!</v>
      </c>
      <c r="BE519" s="12">
        <v>0</v>
      </c>
      <c r="BF519" s="12" t="e">
        <f t="shared" si="697"/>
        <v>#REF!</v>
      </c>
      <c r="BH519" s="12" t="e">
        <f t="shared" si="698"/>
        <v>#REF!</v>
      </c>
      <c r="BI519" s="12" t="e">
        <f t="shared" si="699"/>
        <v>#REF!</v>
      </c>
      <c r="BJ519" s="12" t="e">
        <f t="shared" si="700"/>
        <v>#REF!</v>
      </c>
      <c r="BK519" s="12"/>
      <c r="BL519" s="12">
        <v>722</v>
      </c>
      <c r="BW519" s="12" t="str">
        <f t="shared" si="701"/>
        <v>21</v>
      </c>
      <c r="BX519" s="3" t="s">
        <v>369</v>
      </c>
    </row>
    <row r="520" spans="1:76">
      <c r="A520" s="1" t="s">
        <v>1013</v>
      </c>
      <c r="B520" s="2" t="s">
        <v>990</v>
      </c>
      <c r="C520" s="2" t="s">
        <v>149</v>
      </c>
      <c r="D520" s="349" t="s">
        <v>150</v>
      </c>
      <c r="E520" s="342"/>
      <c r="F520" s="2" t="s">
        <v>68</v>
      </c>
      <c r="G520" s="12" t="e">
        <f>#REF!</f>
        <v>#REF!</v>
      </c>
      <c r="H520" s="12" t="e">
        <f>#REF!</f>
        <v>#REF!</v>
      </c>
      <c r="I520" s="49" t="s">
        <v>554</v>
      </c>
      <c r="J520" s="12" t="e">
        <f t="shared" si="676"/>
        <v>#REF!</v>
      </c>
      <c r="K520" s="12" t="e">
        <f t="shared" si="677"/>
        <v>#REF!</v>
      </c>
      <c r="L520" s="12" t="e">
        <f t="shared" si="678"/>
        <v>#REF!</v>
      </c>
      <c r="M520" s="12" t="e">
        <f t="shared" si="679"/>
        <v>#REF!</v>
      </c>
      <c r="N520" s="12">
        <v>3.2000000000000003E-4</v>
      </c>
      <c r="O520" s="12" t="e">
        <f t="shared" si="680"/>
        <v>#REF!</v>
      </c>
      <c r="P520" s="50" t="s">
        <v>605</v>
      </c>
      <c r="Z520" s="12">
        <f t="shared" si="681"/>
        <v>0</v>
      </c>
      <c r="AB520" s="12">
        <f t="shared" si="682"/>
        <v>0</v>
      </c>
      <c r="AC520" s="12">
        <f t="shared" si="683"/>
        <v>0</v>
      </c>
      <c r="AD520" s="12" t="e">
        <f t="shared" si="684"/>
        <v>#REF!</v>
      </c>
      <c r="AE520" s="12" t="e">
        <f t="shared" si="685"/>
        <v>#REF!</v>
      </c>
      <c r="AF520" s="12">
        <f t="shared" si="686"/>
        <v>0</v>
      </c>
      <c r="AG520" s="12">
        <f t="shared" si="687"/>
        <v>0</v>
      </c>
      <c r="AH520" s="12">
        <f t="shared" si="688"/>
        <v>0</v>
      </c>
      <c r="AI520" s="10" t="s">
        <v>990</v>
      </c>
      <c r="AJ520" s="12">
        <f t="shared" si="689"/>
        <v>0</v>
      </c>
      <c r="AK520" s="12">
        <f t="shared" si="690"/>
        <v>0</v>
      </c>
      <c r="AL520" s="12" t="e">
        <f t="shared" si="691"/>
        <v>#REF!</v>
      </c>
      <c r="AN520" s="12">
        <v>21</v>
      </c>
      <c r="AO520" s="12" t="e">
        <f>H520*0.767472727</f>
        <v>#REF!</v>
      </c>
      <c r="AP520" s="12" t="e">
        <f>H520*(1-0.767472727)</f>
        <v>#REF!</v>
      </c>
      <c r="AQ520" s="49" t="s">
        <v>567</v>
      </c>
      <c r="AV520" s="12" t="e">
        <f t="shared" si="692"/>
        <v>#REF!</v>
      </c>
      <c r="AW520" s="12" t="e">
        <f t="shared" si="693"/>
        <v>#REF!</v>
      </c>
      <c r="AX520" s="12" t="e">
        <f t="shared" si="694"/>
        <v>#REF!</v>
      </c>
      <c r="AY520" s="49" t="s">
        <v>610</v>
      </c>
      <c r="AZ520" s="49" t="s">
        <v>1005</v>
      </c>
      <c r="BA520" s="10" t="s">
        <v>993</v>
      </c>
      <c r="BC520" s="12" t="e">
        <f t="shared" si="695"/>
        <v>#REF!</v>
      </c>
      <c r="BD520" s="12" t="e">
        <f t="shared" si="696"/>
        <v>#REF!</v>
      </c>
      <c r="BE520" s="12">
        <v>0</v>
      </c>
      <c r="BF520" s="12" t="e">
        <f t="shared" si="697"/>
        <v>#REF!</v>
      </c>
      <c r="BH520" s="12" t="e">
        <f t="shared" si="698"/>
        <v>#REF!</v>
      </c>
      <c r="BI520" s="12" t="e">
        <f t="shared" si="699"/>
        <v>#REF!</v>
      </c>
      <c r="BJ520" s="12" t="e">
        <f t="shared" si="700"/>
        <v>#REF!</v>
      </c>
      <c r="BK520" s="12"/>
      <c r="BL520" s="12">
        <v>722</v>
      </c>
      <c r="BW520" s="12" t="str">
        <f t="shared" si="701"/>
        <v>21</v>
      </c>
      <c r="BX520" s="3" t="s">
        <v>150</v>
      </c>
    </row>
    <row r="521" spans="1:76">
      <c r="A521" s="1" t="s">
        <v>1014</v>
      </c>
      <c r="B521" s="2" t="s">
        <v>990</v>
      </c>
      <c r="C521" s="2" t="s">
        <v>370</v>
      </c>
      <c r="D521" s="349" t="s">
        <v>371</v>
      </c>
      <c r="E521" s="342"/>
      <c r="F521" s="2" t="s">
        <v>68</v>
      </c>
      <c r="G521" s="12" t="e">
        <f>#REF!</f>
        <v>#REF!</v>
      </c>
      <c r="H521" s="12" t="e">
        <f>#REF!</f>
        <v>#REF!</v>
      </c>
      <c r="I521" s="49" t="s">
        <v>554</v>
      </c>
      <c r="J521" s="12" t="e">
        <f t="shared" si="676"/>
        <v>#REF!</v>
      </c>
      <c r="K521" s="12" t="e">
        <f t="shared" si="677"/>
        <v>#REF!</v>
      </c>
      <c r="L521" s="12" t="e">
        <f t="shared" si="678"/>
        <v>#REF!</v>
      </c>
      <c r="M521" s="12" t="e">
        <f t="shared" si="679"/>
        <v>#REF!</v>
      </c>
      <c r="N521" s="12">
        <v>5.1999999999999995E-4</v>
      </c>
      <c r="O521" s="12" t="e">
        <f t="shared" si="680"/>
        <v>#REF!</v>
      </c>
      <c r="P521" s="50" t="s">
        <v>605</v>
      </c>
      <c r="Z521" s="12">
        <f t="shared" si="681"/>
        <v>0</v>
      </c>
      <c r="AB521" s="12">
        <f t="shared" si="682"/>
        <v>0</v>
      </c>
      <c r="AC521" s="12">
        <f t="shared" si="683"/>
        <v>0</v>
      </c>
      <c r="AD521" s="12" t="e">
        <f t="shared" si="684"/>
        <v>#REF!</v>
      </c>
      <c r="AE521" s="12" t="e">
        <f t="shared" si="685"/>
        <v>#REF!</v>
      </c>
      <c r="AF521" s="12">
        <f t="shared" si="686"/>
        <v>0</v>
      </c>
      <c r="AG521" s="12">
        <f t="shared" si="687"/>
        <v>0</v>
      </c>
      <c r="AH521" s="12">
        <f t="shared" si="688"/>
        <v>0</v>
      </c>
      <c r="AI521" s="10" t="s">
        <v>990</v>
      </c>
      <c r="AJ521" s="12">
        <f t="shared" si="689"/>
        <v>0</v>
      </c>
      <c r="AK521" s="12">
        <f t="shared" si="690"/>
        <v>0</v>
      </c>
      <c r="AL521" s="12" t="e">
        <f t="shared" si="691"/>
        <v>#REF!</v>
      </c>
      <c r="AN521" s="12">
        <v>21</v>
      </c>
      <c r="AO521" s="12" t="e">
        <f>H521*0.869366701</f>
        <v>#REF!</v>
      </c>
      <c r="AP521" s="12" t="e">
        <f>H521*(1-0.869366701)</f>
        <v>#REF!</v>
      </c>
      <c r="AQ521" s="49" t="s">
        <v>567</v>
      </c>
      <c r="AV521" s="12" t="e">
        <f t="shared" si="692"/>
        <v>#REF!</v>
      </c>
      <c r="AW521" s="12" t="e">
        <f t="shared" si="693"/>
        <v>#REF!</v>
      </c>
      <c r="AX521" s="12" t="e">
        <f t="shared" si="694"/>
        <v>#REF!</v>
      </c>
      <c r="AY521" s="49" t="s">
        <v>610</v>
      </c>
      <c r="AZ521" s="49" t="s">
        <v>1005</v>
      </c>
      <c r="BA521" s="10" t="s">
        <v>993</v>
      </c>
      <c r="BC521" s="12" t="e">
        <f t="shared" si="695"/>
        <v>#REF!</v>
      </c>
      <c r="BD521" s="12" t="e">
        <f t="shared" si="696"/>
        <v>#REF!</v>
      </c>
      <c r="BE521" s="12">
        <v>0</v>
      </c>
      <c r="BF521" s="12" t="e">
        <f t="shared" si="697"/>
        <v>#REF!</v>
      </c>
      <c r="BH521" s="12" t="e">
        <f t="shared" si="698"/>
        <v>#REF!</v>
      </c>
      <c r="BI521" s="12" t="e">
        <f t="shared" si="699"/>
        <v>#REF!</v>
      </c>
      <c r="BJ521" s="12" t="e">
        <f t="shared" si="700"/>
        <v>#REF!</v>
      </c>
      <c r="BK521" s="12"/>
      <c r="BL521" s="12">
        <v>722</v>
      </c>
      <c r="BW521" s="12" t="str">
        <f t="shared" si="701"/>
        <v>21</v>
      </c>
      <c r="BX521" s="3" t="s">
        <v>371</v>
      </c>
    </row>
    <row r="522" spans="1:76">
      <c r="A522" s="1" t="s">
        <v>1015</v>
      </c>
      <c r="B522" s="2" t="s">
        <v>990</v>
      </c>
      <c r="C522" s="2" t="s">
        <v>372</v>
      </c>
      <c r="D522" s="349" t="s">
        <v>373</v>
      </c>
      <c r="E522" s="342"/>
      <c r="F522" s="2" t="s">
        <v>68</v>
      </c>
      <c r="G522" s="12" t="e">
        <f>#REF!</f>
        <v>#REF!</v>
      </c>
      <c r="H522" s="12" t="e">
        <f>#REF!</f>
        <v>#REF!</v>
      </c>
      <c r="I522" s="49" t="s">
        <v>554</v>
      </c>
      <c r="J522" s="12" t="e">
        <f t="shared" si="676"/>
        <v>#REF!</v>
      </c>
      <c r="K522" s="12" t="e">
        <f t="shared" si="677"/>
        <v>#REF!</v>
      </c>
      <c r="L522" s="12" t="e">
        <f t="shared" si="678"/>
        <v>#REF!</v>
      </c>
      <c r="M522" s="12" t="e">
        <f t="shared" si="679"/>
        <v>#REF!</v>
      </c>
      <c r="N522" s="12">
        <v>5.0000000000000001E-4</v>
      </c>
      <c r="O522" s="12" t="e">
        <f t="shared" si="680"/>
        <v>#REF!</v>
      </c>
      <c r="P522" s="50" t="s">
        <v>605</v>
      </c>
      <c r="Z522" s="12">
        <f t="shared" si="681"/>
        <v>0</v>
      </c>
      <c r="AB522" s="12">
        <f t="shared" si="682"/>
        <v>0</v>
      </c>
      <c r="AC522" s="12">
        <f t="shared" si="683"/>
        <v>0</v>
      </c>
      <c r="AD522" s="12" t="e">
        <f t="shared" si="684"/>
        <v>#REF!</v>
      </c>
      <c r="AE522" s="12" t="e">
        <f t="shared" si="685"/>
        <v>#REF!</v>
      </c>
      <c r="AF522" s="12">
        <f t="shared" si="686"/>
        <v>0</v>
      </c>
      <c r="AG522" s="12">
        <f t="shared" si="687"/>
        <v>0</v>
      </c>
      <c r="AH522" s="12">
        <f t="shared" si="688"/>
        <v>0</v>
      </c>
      <c r="AI522" s="10" t="s">
        <v>990</v>
      </c>
      <c r="AJ522" s="12">
        <f t="shared" si="689"/>
        <v>0</v>
      </c>
      <c r="AK522" s="12">
        <f t="shared" si="690"/>
        <v>0</v>
      </c>
      <c r="AL522" s="12" t="e">
        <f t="shared" si="691"/>
        <v>#REF!</v>
      </c>
      <c r="AN522" s="12">
        <v>21</v>
      </c>
      <c r="AO522" s="12" t="e">
        <f>H522*0.767894737</f>
        <v>#REF!</v>
      </c>
      <c r="AP522" s="12" t="e">
        <f>H522*(1-0.767894737)</f>
        <v>#REF!</v>
      </c>
      <c r="AQ522" s="49" t="s">
        <v>567</v>
      </c>
      <c r="AV522" s="12" t="e">
        <f t="shared" si="692"/>
        <v>#REF!</v>
      </c>
      <c r="AW522" s="12" t="e">
        <f t="shared" si="693"/>
        <v>#REF!</v>
      </c>
      <c r="AX522" s="12" t="e">
        <f t="shared" si="694"/>
        <v>#REF!</v>
      </c>
      <c r="AY522" s="49" t="s">
        <v>610</v>
      </c>
      <c r="AZ522" s="49" t="s">
        <v>1005</v>
      </c>
      <c r="BA522" s="10" t="s">
        <v>993</v>
      </c>
      <c r="BC522" s="12" t="e">
        <f t="shared" si="695"/>
        <v>#REF!</v>
      </c>
      <c r="BD522" s="12" t="e">
        <f t="shared" si="696"/>
        <v>#REF!</v>
      </c>
      <c r="BE522" s="12">
        <v>0</v>
      </c>
      <c r="BF522" s="12" t="e">
        <f t="shared" si="697"/>
        <v>#REF!</v>
      </c>
      <c r="BH522" s="12" t="e">
        <f t="shared" si="698"/>
        <v>#REF!</v>
      </c>
      <c r="BI522" s="12" t="e">
        <f t="shared" si="699"/>
        <v>#REF!</v>
      </c>
      <c r="BJ522" s="12" t="e">
        <f t="shared" si="700"/>
        <v>#REF!</v>
      </c>
      <c r="BK522" s="12"/>
      <c r="BL522" s="12">
        <v>722</v>
      </c>
      <c r="BW522" s="12" t="str">
        <f t="shared" si="701"/>
        <v>21</v>
      </c>
      <c r="BX522" s="3" t="s">
        <v>373</v>
      </c>
    </row>
    <row r="523" spans="1:76">
      <c r="A523" s="1" t="s">
        <v>1016</v>
      </c>
      <c r="B523" s="2" t="s">
        <v>990</v>
      </c>
      <c r="C523" s="2" t="s">
        <v>156</v>
      </c>
      <c r="D523" s="349" t="s">
        <v>157</v>
      </c>
      <c r="E523" s="342"/>
      <c r="F523" s="2" t="s">
        <v>68</v>
      </c>
      <c r="G523" s="12" t="e">
        <f>#REF!</f>
        <v>#REF!</v>
      </c>
      <c r="H523" s="12" t="e">
        <f>#REF!</f>
        <v>#REF!</v>
      </c>
      <c r="I523" s="49" t="s">
        <v>554</v>
      </c>
      <c r="J523" s="12" t="e">
        <f t="shared" si="676"/>
        <v>#REF!</v>
      </c>
      <c r="K523" s="12" t="e">
        <f t="shared" si="677"/>
        <v>#REF!</v>
      </c>
      <c r="L523" s="12" t="e">
        <f t="shared" si="678"/>
        <v>#REF!</v>
      </c>
      <c r="M523" s="12" t="e">
        <f t="shared" si="679"/>
        <v>#REF!</v>
      </c>
      <c r="N523" s="12">
        <v>3.6999999999999999E-4</v>
      </c>
      <c r="O523" s="12" t="e">
        <f t="shared" si="680"/>
        <v>#REF!</v>
      </c>
      <c r="P523" s="50" t="s">
        <v>605</v>
      </c>
      <c r="Z523" s="12">
        <f t="shared" si="681"/>
        <v>0</v>
      </c>
      <c r="AB523" s="12">
        <f t="shared" si="682"/>
        <v>0</v>
      </c>
      <c r="AC523" s="12">
        <f t="shared" si="683"/>
        <v>0</v>
      </c>
      <c r="AD523" s="12" t="e">
        <f t="shared" si="684"/>
        <v>#REF!</v>
      </c>
      <c r="AE523" s="12" t="e">
        <f t="shared" si="685"/>
        <v>#REF!</v>
      </c>
      <c r="AF523" s="12">
        <f t="shared" si="686"/>
        <v>0</v>
      </c>
      <c r="AG523" s="12">
        <f t="shared" si="687"/>
        <v>0</v>
      </c>
      <c r="AH523" s="12">
        <f t="shared" si="688"/>
        <v>0</v>
      </c>
      <c r="AI523" s="10" t="s">
        <v>990</v>
      </c>
      <c r="AJ523" s="12">
        <f t="shared" si="689"/>
        <v>0</v>
      </c>
      <c r="AK523" s="12">
        <f t="shared" si="690"/>
        <v>0</v>
      </c>
      <c r="AL523" s="12" t="e">
        <f t="shared" si="691"/>
        <v>#REF!</v>
      </c>
      <c r="AN523" s="12">
        <v>21</v>
      </c>
      <c r="AO523" s="12" t="e">
        <f>H523*0.901698693</f>
        <v>#REF!</v>
      </c>
      <c r="AP523" s="12" t="e">
        <f>H523*(1-0.901698693)</f>
        <v>#REF!</v>
      </c>
      <c r="AQ523" s="49" t="s">
        <v>567</v>
      </c>
      <c r="AV523" s="12" t="e">
        <f t="shared" si="692"/>
        <v>#REF!</v>
      </c>
      <c r="AW523" s="12" t="e">
        <f t="shared" si="693"/>
        <v>#REF!</v>
      </c>
      <c r="AX523" s="12" t="e">
        <f t="shared" si="694"/>
        <v>#REF!</v>
      </c>
      <c r="AY523" s="49" t="s">
        <v>610</v>
      </c>
      <c r="AZ523" s="49" t="s">
        <v>1005</v>
      </c>
      <c r="BA523" s="10" t="s">
        <v>993</v>
      </c>
      <c r="BC523" s="12" t="e">
        <f t="shared" si="695"/>
        <v>#REF!</v>
      </c>
      <c r="BD523" s="12" t="e">
        <f t="shared" si="696"/>
        <v>#REF!</v>
      </c>
      <c r="BE523" s="12">
        <v>0</v>
      </c>
      <c r="BF523" s="12" t="e">
        <f t="shared" si="697"/>
        <v>#REF!</v>
      </c>
      <c r="BH523" s="12" t="e">
        <f t="shared" si="698"/>
        <v>#REF!</v>
      </c>
      <c r="BI523" s="12" t="e">
        <f t="shared" si="699"/>
        <v>#REF!</v>
      </c>
      <c r="BJ523" s="12" t="e">
        <f t="shared" si="700"/>
        <v>#REF!</v>
      </c>
      <c r="BK523" s="12"/>
      <c r="BL523" s="12">
        <v>722</v>
      </c>
      <c r="BW523" s="12" t="str">
        <f t="shared" si="701"/>
        <v>21</v>
      </c>
      <c r="BX523" s="3" t="s">
        <v>157</v>
      </c>
    </row>
    <row r="524" spans="1:76">
      <c r="A524" s="1" t="s">
        <v>1017</v>
      </c>
      <c r="B524" s="2" t="s">
        <v>990</v>
      </c>
      <c r="C524" s="2" t="s">
        <v>162</v>
      </c>
      <c r="D524" s="349" t="s">
        <v>374</v>
      </c>
      <c r="E524" s="342"/>
      <c r="F524" s="2" t="s">
        <v>68</v>
      </c>
      <c r="G524" s="12" t="e">
        <f>#REF!</f>
        <v>#REF!</v>
      </c>
      <c r="H524" s="12" t="e">
        <f>#REF!</f>
        <v>#REF!</v>
      </c>
      <c r="I524" s="49" t="s">
        <v>554</v>
      </c>
      <c r="J524" s="12" t="e">
        <f t="shared" si="676"/>
        <v>#REF!</v>
      </c>
      <c r="K524" s="12" t="e">
        <f t="shared" si="677"/>
        <v>#REF!</v>
      </c>
      <c r="L524" s="12" t="e">
        <f t="shared" si="678"/>
        <v>#REF!</v>
      </c>
      <c r="M524" s="12" t="e">
        <f t="shared" si="679"/>
        <v>#REF!</v>
      </c>
      <c r="N524" s="12">
        <v>0</v>
      </c>
      <c r="O524" s="12" t="e">
        <f t="shared" si="680"/>
        <v>#REF!</v>
      </c>
      <c r="P524" s="50" t="s">
        <v>21</v>
      </c>
      <c r="Z524" s="12">
        <f t="shared" si="681"/>
        <v>0</v>
      </c>
      <c r="AB524" s="12">
        <f t="shared" si="682"/>
        <v>0</v>
      </c>
      <c r="AC524" s="12">
        <f t="shared" si="683"/>
        <v>0</v>
      </c>
      <c r="AD524" s="12" t="e">
        <f t="shared" si="684"/>
        <v>#REF!</v>
      </c>
      <c r="AE524" s="12" t="e">
        <f t="shared" si="685"/>
        <v>#REF!</v>
      </c>
      <c r="AF524" s="12">
        <f t="shared" si="686"/>
        <v>0</v>
      </c>
      <c r="AG524" s="12">
        <f t="shared" si="687"/>
        <v>0</v>
      </c>
      <c r="AH524" s="12">
        <f t="shared" si="688"/>
        <v>0</v>
      </c>
      <c r="AI524" s="10" t="s">
        <v>990</v>
      </c>
      <c r="AJ524" s="12">
        <f t="shared" si="689"/>
        <v>0</v>
      </c>
      <c r="AK524" s="12">
        <f t="shared" si="690"/>
        <v>0</v>
      </c>
      <c r="AL524" s="12" t="e">
        <f t="shared" si="691"/>
        <v>#REF!</v>
      </c>
      <c r="AN524" s="12">
        <v>21</v>
      </c>
      <c r="AO524" s="12" t="e">
        <f>H524*0.930503731</f>
        <v>#REF!</v>
      </c>
      <c r="AP524" s="12" t="e">
        <f>H524*(1-0.930503731)</f>
        <v>#REF!</v>
      </c>
      <c r="AQ524" s="49" t="s">
        <v>567</v>
      </c>
      <c r="AV524" s="12" t="e">
        <f t="shared" si="692"/>
        <v>#REF!</v>
      </c>
      <c r="AW524" s="12" t="e">
        <f t="shared" si="693"/>
        <v>#REF!</v>
      </c>
      <c r="AX524" s="12" t="e">
        <f t="shared" si="694"/>
        <v>#REF!</v>
      </c>
      <c r="AY524" s="49" t="s">
        <v>610</v>
      </c>
      <c r="AZ524" s="49" t="s">
        <v>1005</v>
      </c>
      <c r="BA524" s="10" t="s">
        <v>993</v>
      </c>
      <c r="BC524" s="12" t="e">
        <f t="shared" si="695"/>
        <v>#REF!</v>
      </c>
      <c r="BD524" s="12" t="e">
        <f t="shared" si="696"/>
        <v>#REF!</v>
      </c>
      <c r="BE524" s="12">
        <v>0</v>
      </c>
      <c r="BF524" s="12" t="e">
        <f t="shared" si="697"/>
        <v>#REF!</v>
      </c>
      <c r="BH524" s="12" t="e">
        <f t="shared" si="698"/>
        <v>#REF!</v>
      </c>
      <c r="BI524" s="12" t="e">
        <f t="shared" si="699"/>
        <v>#REF!</v>
      </c>
      <c r="BJ524" s="12" t="e">
        <f t="shared" si="700"/>
        <v>#REF!</v>
      </c>
      <c r="BK524" s="12"/>
      <c r="BL524" s="12">
        <v>722</v>
      </c>
      <c r="BW524" s="12" t="str">
        <f t="shared" si="701"/>
        <v>21</v>
      </c>
      <c r="BX524" s="3" t="s">
        <v>374</v>
      </c>
    </row>
    <row r="525" spans="1:76">
      <c r="A525" s="1" t="s">
        <v>1018</v>
      </c>
      <c r="B525" s="2" t="s">
        <v>990</v>
      </c>
      <c r="C525" s="2" t="s">
        <v>375</v>
      </c>
      <c r="D525" s="349" t="s">
        <v>445</v>
      </c>
      <c r="E525" s="342"/>
      <c r="F525" s="2" t="s">
        <v>68</v>
      </c>
      <c r="G525" s="12" t="e">
        <f>#REF!</f>
        <v>#REF!</v>
      </c>
      <c r="H525" s="12" t="e">
        <f>#REF!</f>
        <v>#REF!</v>
      </c>
      <c r="I525" s="49" t="s">
        <v>554</v>
      </c>
      <c r="J525" s="12" t="e">
        <f t="shared" si="676"/>
        <v>#REF!</v>
      </c>
      <c r="K525" s="12" t="e">
        <f t="shared" si="677"/>
        <v>#REF!</v>
      </c>
      <c r="L525" s="12" t="e">
        <f t="shared" si="678"/>
        <v>#REF!</v>
      </c>
      <c r="M525" s="12" t="e">
        <f t="shared" si="679"/>
        <v>#REF!</v>
      </c>
      <c r="N525" s="12">
        <v>0.04</v>
      </c>
      <c r="O525" s="12" t="e">
        <f t="shared" si="680"/>
        <v>#REF!</v>
      </c>
      <c r="P525" s="50" t="s">
        <v>605</v>
      </c>
      <c r="Z525" s="12">
        <f t="shared" si="681"/>
        <v>0</v>
      </c>
      <c r="AB525" s="12">
        <f t="shared" si="682"/>
        <v>0</v>
      </c>
      <c r="AC525" s="12">
        <f t="shared" si="683"/>
        <v>0</v>
      </c>
      <c r="AD525" s="12" t="e">
        <f t="shared" si="684"/>
        <v>#REF!</v>
      </c>
      <c r="AE525" s="12" t="e">
        <f t="shared" si="685"/>
        <v>#REF!</v>
      </c>
      <c r="AF525" s="12">
        <f t="shared" si="686"/>
        <v>0</v>
      </c>
      <c r="AG525" s="12">
        <f t="shared" si="687"/>
        <v>0</v>
      </c>
      <c r="AH525" s="12">
        <f t="shared" si="688"/>
        <v>0</v>
      </c>
      <c r="AI525" s="10" t="s">
        <v>990</v>
      </c>
      <c r="AJ525" s="12">
        <f t="shared" si="689"/>
        <v>0</v>
      </c>
      <c r="AK525" s="12">
        <f t="shared" si="690"/>
        <v>0</v>
      </c>
      <c r="AL525" s="12" t="e">
        <f t="shared" si="691"/>
        <v>#REF!</v>
      </c>
      <c r="AN525" s="12">
        <v>21</v>
      </c>
      <c r="AO525" s="12" t="e">
        <f>H525*1</f>
        <v>#REF!</v>
      </c>
      <c r="AP525" s="12" t="e">
        <f>H525*(1-1)</f>
        <v>#REF!</v>
      </c>
      <c r="AQ525" s="49" t="s">
        <v>567</v>
      </c>
      <c r="AV525" s="12" t="e">
        <f t="shared" si="692"/>
        <v>#REF!</v>
      </c>
      <c r="AW525" s="12" t="e">
        <f t="shared" si="693"/>
        <v>#REF!</v>
      </c>
      <c r="AX525" s="12" t="e">
        <f t="shared" si="694"/>
        <v>#REF!</v>
      </c>
      <c r="AY525" s="49" t="s">
        <v>610</v>
      </c>
      <c r="AZ525" s="49" t="s">
        <v>1005</v>
      </c>
      <c r="BA525" s="10" t="s">
        <v>993</v>
      </c>
      <c r="BC525" s="12" t="e">
        <f t="shared" si="695"/>
        <v>#REF!</v>
      </c>
      <c r="BD525" s="12" t="e">
        <f t="shared" si="696"/>
        <v>#REF!</v>
      </c>
      <c r="BE525" s="12">
        <v>0</v>
      </c>
      <c r="BF525" s="12" t="e">
        <f t="shared" si="697"/>
        <v>#REF!</v>
      </c>
      <c r="BH525" s="12" t="e">
        <f t="shared" si="698"/>
        <v>#REF!</v>
      </c>
      <c r="BI525" s="12" t="e">
        <f t="shared" si="699"/>
        <v>#REF!</v>
      </c>
      <c r="BJ525" s="12" t="e">
        <f t="shared" si="700"/>
        <v>#REF!</v>
      </c>
      <c r="BK525" s="12"/>
      <c r="BL525" s="12">
        <v>722</v>
      </c>
      <c r="BW525" s="12" t="str">
        <f t="shared" si="701"/>
        <v>21</v>
      </c>
      <c r="BX525" s="3" t="s">
        <v>445</v>
      </c>
    </row>
    <row r="526" spans="1:76">
      <c r="A526" s="46" t="s">
        <v>21</v>
      </c>
      <c r="B526" s="9" t="s">
        <v>990</v>
      </c>
      <c r="C526" s="9" t="s">
        <v>380</v>
      </c>
      <c r="D526" s="359" t="s">
        <v>381</v>
      </c>
      <c r="E526" s="360"/>
      <c r="F526" s="47" t="s">
        <v>20</v>
      </c>
      <c r="G526" s="47" t="s">
        <v>20</v>
      </c>
      <c r="H526" s="47" t="s">
        <v>20</v>
      </c>
      <c r="I526" s="47" t="s">
        <v>20</v>
      </c>
      <c r="J526" s="11" t="e">
        <f>SUM(J527:J527)</f>
        <v>#REF!</v>
      </c>
      <c r="K526" s="11" t="e">
        <f>SUM(K527:K527)</f>
        <v>#REF!</v>
      </c>
      <c r="L526" s="11" t="e">
        <f>SUM(L527:L527)</f>
        <v>#REF!</v>
      </c>
      <c r="M526" s="11" t="e">
        <f>SUM(M527:M527)</f>
        <v>#REF!</v>
      </c>
      <c r="N526" s="10" t="s">
        <v>21</v>
      </c>
      <c r="O526" s="11" t="e">
        <f>SUM(O527:O527)</f>
        <v>#REF!</v>
      </c>
      <c r="P526" s="48" t="s">
        <v>21</v>
      </c>
      <c r="AI526" s="10" t="s">
        <v>990</v>
      </c>
      <c r="AS526" s="11">
        <f>SUM(AJ527:AJ527)</f>
        <v>0</v>
      </c>
      <c r="AT526" s="11">
        <f>SUM(AK527:AK527)</f>
        <v>0</v>
      </c>
      <c r="AU526" s="11" t="e">
        <f>SUM(AL527:AL527)</f>
        <v>#REF!</v>
      </c>
    </row>
    <row r="527" spans="1:76">
      <c r="A527" s="1" t="s">
        <v>1019</v>
      </c>
      <c r="B527" s="2" t="s">
        <v>990</v>
      </c>
      <c r="C527" s="2" t="s">
        <v>83</v>
      </c>
      <c r="D527" s="349" t="s">
        <v>255</v>
      </c>
      <c r="E527" s="342"/>
      <c r="F527" s="2" t="s">
        <v>58</v>
      </c>
      <c r="G527" s="12" t="e">
        <f>#REF!</f>
        <v>#REF!</v>
      </c>
      <c r="H527" s="12" t="e">
        <f>#REF!</f>
        <v>#REF!</v>
      </c>
      <c r="I527" s="49" t="s">
        <v>554</v>
      </c>
      <c r="J527" s="12" t="e">
        <f>G527*AO527</f>
        <v>#REF!</v>
      </c>
      <c r="K527" s="12" t="e">
        <f>G527*AP527</f>
        <v>#REF!</v>
      </c>
      <c r="L527" s="12" t="e">
        <f>G527*H527</f>
        <v>#REF!</v>
      </c>
      <c r="M527" s="12" t="e">
        <f>L527*(1+BW527/100)</f>
        <v>#REF!</v>
      </c>
      <c r="N527" s="12">
        <v>0</v>
      </c>
      <c r="O527" s="12" t="e">
        <f>G527*N527</f>
        <v>#REF!</v>
      </c>
      <c r="P527" s="50" t="s">
        <v>21</v>
      </c>
      <c r="Z527" s="12">
        <f>IF(AQ527="5",BJ527,0)</f>
        <v>0</v>
      </c>
      <c r="AB527" s="12">
        <f>IF(AQ527="1",BH527,0)</f>
        <v>0</v>
      </c>
      <c r="AC527" s="12">
        <f>IF(AQ527="1",BI527,0)</f>
        <v>0</v>
      </c>
      <c r="AD527" s="12" t="e">
        <f>IF(AQ527="7",BH527,0)</f>
        <v>#REF!</v>
      </c>
      <c r="AE527" s="12" t="e">
        <f>IF(AQ527="7",BI527,0)</f>
        <v>#REF!</v>
      </c>
      <c r="AF527" s="12">
        <f>IF(AQ527="2",BH527,0)</f>
        <v>0</v>
      </c>
      <c r="AG527" s="12">
        <f>IF(AQ527="2",BI527,0)</f>
        <v>0</v>
      </c>
      <c r="AH527" s="12">
        <f>IF(AQ527="0",BJ527,0)</f>
        <v>0</v>
      </c>
      <c r="AI527" s="10" t="s">
        <v>990</v>
      </c>
      <c r="AJ527" s="12">
        <f>IF(AN527=0,L527,0)</f>
        <v>0</v>
      </c>
      <c r="AK527" s="12">
        <f>IF(AN527=12,L527,0)</f>
        <v>0</v>
      </c>
      <c r="AL527" s="12" t="e">
        <f>IF(AN527=21,L527,0)</f>
        <v>#REF!</v>
      </c>
      <c r="AN527" s="12">
        <v>21</v>
      </c>
      <c r="AO527" s="12" t="e">
        <f>H527*0.346020761</f>
        <v>#REF!</v>
      </c>
      <c r="AP527" s="12" t="e">
        <f>H527*(1-0.346020761)</f>
        <v>#REF!</v>
      </c>
      <c r="AQ527" s="49" t="s">
        <v>567</v>
      </c>
      <c r="AV527" s="12" t="e">
        <f>AW527+AX527</f>
        <v>#REF!</v>
      </c>
      <c r="AW527" s="12" t="e">
        <f>G527*AO527</f>
        <v>#REF!</v>
      </c>
      <c r="AX527" s="12" t="e">
        <f>G527*AP527</f>
        <v>#REF!</v>
      </c>
      <c r="AY527" s="49" t="s">
        <v>745</v>
      </c>
      <c r="AZ527" s="49" t="s">
        <v>1020</v>
      </c>
      <c r="BA527" s="10" t="s">
        <v>993</v>
      </c>
      <c r="BC527" s="12" t="e">
        <f>AW527+AX527</f>
        <v>#REF!</v>
      </c>
      <c r="BD527" s="12" t="e">
        <f>H527/(100-BE527)*100</f>
        <v>#REF!</v>
      </c>
      <c r="BE527" s="12">
        <v>0</v>
      </c>
      <c r="BF527" s="12" t="e">
        <f>O527</f>
        <v>#REF!</v>
      </c>
      <c r="BH527" s="12" t="e">
        <f>G527*AO527</f>
        <v>#REF!</v>
      </c>
      <c r="BI527" s="12" t="e">
        <f>G527*AP527</f>
        <v>#REF!</v>
      </c>
      <c r="BJ527" s="12" t="e">
        <f>G527*H527</f>
        <v>#REF!</v>
      </c>
      <c r="BK527" s="12"/>
      <c r="BL527" s="12">
        <v>73</v>
      </c>
      <c r="BW527" s="12" t="str">
        <f>I527</f>
        <v>21</v>
      </c>
      <c r="BX527" s="3" t="s">
        <v>255</v>
      </c>
    </row>
    <row r="528" spans="1:76">
      <c r="A528" s="46" t="s">
        <v>21</v>
      </c>
      <c r="B528" s="9" t="s">
        <v>990</v>
      </c>
      <c r="C528" s="9" t="s">
        <v>64</v>
      </c>
      <c r="D528" s="359" t="s">
        <v>65</v>
      </c>
      <c r="E528" s="360"/>
      <c r="F528" s="47" t="s">
        <v>20</v>
      </c>
      <c r="G528" s="47" t="s">
        <v>20</v>
      </c>
      <c r="H528" s="47" t="s">
        <v>20</v>
      </c>
      <c r="I528" s="47" t="s">
        <v>20</v>
      </c>
      <c r="J528" s="11" t="e">
        <f>SUM(J529:J535)</f>
        <v>#REF!</v>
      </c>
      <c r="K528" s="11" t="e">
        <f>SUM(K529:K535)</f>
        <v>#REF!</v>
      </c>
      <c r="L528" s="11" t="e">
        <f>SUM(L529:L535)</f>
        <v>#REF!</v>
      </c>
      <c r="M528" s="11" t="e">
        <f>SUM(M529:M535)</f>
        <v>#REF!</v>
      </c>
      <c r="N528" s="10" t="s">
        <v>21</v>
      </c>
      <c r="O528" s="11" t="e">
        <f>SUM(O529:O535)</f>
        <v>#REF!</v>
      </c>
      <c r="P528" s="48" t="s">
        <v>21</v>
      </c>
      <c r="AI528" s="10" t="s">
        <v>990</v>
      </c>
      <c r="AS528" s="11">
        <f>SUM(AJ529:AJ535)</f>
        <v>0</v>
      </c>
      <c r="AT528" s="11">
        <f>SUM(AK529:AK535)</f>
        <v>0</v>
      </c>
      <c r="AU528" s="11" t="e">
        <f>SUM(AL529:AL535)</f>
        <v>#REF!</v>
      </c>
    </row>
    <row r="529" spans="1:76">
      <c r="A529" s="1" t="s">
        <v>1021</v>
      </c>
      <c r="B529" s="2" t="s">
        <v>990</v>
      </c>
      <c r="C529" s="2" t="s">
        <v>382</v>
      </c>
      <c r="D529" s="349" t="s">
        <v>114</v>
      </c>
      <c r="E529" s="342"/>
      <c r="F529" s="2" t="s">
        <v>58</v>
      </c>
      <c r="G529" s="12" t="e">
        <f>#REF!</f>
        <v>#REF!</v>
      </c>
      <c r="H529" s="12" t="e">
        <f>#REF!</f>
        <v>#REF!</v>
      </c>
      <c r="I529" s="49" t="s">
        <v>554</v>
      </c>
      <c r="J529" s="12" t="e">
        <f t="shared" ref="J529:J535" si="702">G529*AO529</f>
        <v>#REF!</v>
      </c>
      <c r="K529" s="12" t="e">
        <f t="shared" ref="K529:K535" si="703">G529*AP529</f>
        <v>#REF!</v>
      </c>
      <c r="L529" s="12" t="e">
        <f t="shared" ref="L529:L535" si="704">G529*H529</f>
        <v>#REF!</v>
      </c>
      <c r="M529" s="12" t="e">
        <f t="shared" ref="M529:M535" si="705">L529*(1+BW529/100)</f>
        <v>#REF!</v>
      </c>
      <c r="N529" s="12">
        <v>1.1299999999999999E-3</v>
      </c>
      <c r="O529" s="12" t="e">
        <f t="shared" ref="O529:O535" si="706">G529*N529</f>
        <v>#REF!</v>
      </c>
      <c r="P529" s="50" t="s">
        <v>577</v>
      </c>
      <c r="Z529" s="12">
        <f t="shared" ref="Z529:Z535" si="707">IF(AQ529="5",BJ529,0)</f>
        <v>0</v>
      </c>
      <c r="AB529" s="12">
        <f t="shared" ref="AB529:AB535" si="708">IF(AQ529="1",BH529,0)</f>
        <v>0</v>
      </c>
      <c r="AC529" s="12">
        <f t="shared" ref="AC529:AC535" si="709">IF(AQ529="1",BI529,0)</f>
        <v>0</v>
      </c>
      <c r="AD529" s="12" t="e">
        <f t="shared" ref="AD529:AD535" si="710">IF(AQ529="7",BH529,0)</f>
        <v>#REF!</v>
      </c>
      <c r="AE529" s="12" t="e">
        <f t="shared" ref="AE529:AE535" si="711">IF(AQ529="7",BI529,0)</f>
        <v>#REF!</v>
      </c>
      <c r="AF529" s="12">
        <f t="shared" ref="AF529:AF535" si="712">IF(AQ529="2",BH529,0)</f>
        <v>0</v>
      </c>
      <c r="AG529" s="12">
        <f t="shared" ref="AG529:AG535" si="713">IF(AQ529="2",BI529,0)</f>
        <v>0</v>
      </c>
      <c r="AH529" s="12">
        <f t="shared" ref="AH529:AH535" si="714">IF(AQ529="0",BJ529,0)</f>
        <v>0</v>
      </c>
      <c r="AI529" s="10" t="s">
        <v>990</v>
      </c>
      <c r="AJ529" s="12">
        <f t="shared" ref="AJ529:AJ535" si="715">IF(AN529=0,L529,0)</f>
        <v>0</v>
      </c>
      <c r="AK529" s="12">
        <f t="shared" ref="AK529:AK535" si="716">IF(AN529=12,L529,0)</f>
        <v>0</v>
      </c>
      <c r="AL529" s="12" t="e">
        <f t="shared" ref="AL529:AL535" si="717">IF(AN529=21,L529,0)</f>
        <v>#REF!</v>
      </c>
      <c r="AN529" s="12">
        <v>21</v>
      </c>
      <c r="AO529" s="12" t="e">
        <f>H529*0.628766234</f>
        <v>#REF!</v>
      </c>
      <c r="AP529" s="12" t="e">
        <f>H529*(1-0.628766234)</f>
        <v>#REF!</v>
      </c>
      <c r="AQ529" s="49" t="s">
        <v>567</v>
      </c>
      <c r="AV529" s="12" t="e">
        <f t="shared" ref="AV529:AV535" si="718">AW529+AX529</f>
        <v>#REF!</v>
      </c>
      <c r="AW529" s="12" t="e">
        <f t="shared" ref="AW529:AW535" si="719">G529*AO529</f>
        <v>#REF!</v>
      </c>
      <c r="AX529" s="12" t="e">
        <f t="shared" ref="AX529:AX535" si="720">G529*AP529</f>
        <v>#REF!</v>
      </c>
      <c r="AY529" s="49" t="s">
        <v>580</v>
      </c>
      <c r="AZ529" s="49" t="s">
        <v>1020</v>
      </c>
      <c r="BA529" s="10" t="s">
        <v>993</v>
      </c>
      <c r="BC529" s="12" t="e">
        <f t="shared" ref="BC529:BC535" si="721">AW529+AX529</f>
        <v>#REF!</v>
      </c>
      <c r="BD529" s="12" t="e">
        <f t="shared" ref="BD529:BD535" si="722">H529/(100-BE529)*100</f>
        <v>#REF!</v>
      </c>
      <c r="BE529" s="12">
        <v>0</v>
      </c>
      <c r="BF529" s="12" t="e">
        <f t="shared" ref="BF529:BF535" si="723">O529</f>
        <v>#REF!</v>
      </c>
      <c r="BH529" s="12" t="e">
        <f t="shared" ref="BH529:BH535" si="724">G529*AO529</f>
        <v>#REF!</v>
      </c>
      <c r="BI529" s="12" t="e">
        <f t="shared" ref="BI529:BI535" si="725">G529*AP529</f>
        <v>#REF!</v>
      </c>
      <c r="BJ529" s="12" t="e">
        <f t="shared" ref="BJ529:BJ535" si="726">G529*H529</f>
        <v>#REF!</v>
      </c>
      <c r="BK529" s="12"/>
      <c r="BL529" s="12">
        <v>732</v>
      </c>
      <c r="BW529" s="12" t="str">
        <f t="shared" ref="BW529:BW535" si="727">I529</f>
        <v>21</v>
      </c>
      <c r="BX529" s="3" t="s">
        <v>114</v>
      </c>
    </row>
    <row r="530" spans="1:76">
      <c r="A530" s="1" t="s">
        <v>1022</v>
      </c>
      <c r="B530" s="2" t="s">
        <v>990</v>
      </c>
      <c r="C530" s="2" t="s">
        <v>383</v>
      </c>
      <c r="D530" s="349" t="s">
        <v>384</v>
      </c>
      <c r="E530" s="342"/>
      <c r="F530" s="2" t="s">
        <v>63</v>
      </c>
      <c r="G530" s="12" t="e">
        <f>#REF!</f>
        <v>#REF!</v>
      </c>
      <c r="H530" s="12" t="e">
        <f>#REF!</f>
        <v>#REF!</v>
      </c>
      <c r="I530" s="49" t="s">
        <v>554</v>
      </c>
      <c r="J530" s="12" t="e">
        <f t="shared" si="702"/>
        <v>#REF!</v>
      </c>
      <c r="K530" s="12" t="e">
        <f t="shared" si="703"/>
        <v>#REF!</v>
      </c>
      <c r="L530" s="12" t="e">
        <f t="shared" si="704"/>
        <v>#REF!</v>
      </c>
      <c r="M530" s="12" t="e">
        <f t="shared" si="705"/>
        <v>#REF!</v>
      </c>
      <c r="N530" s="12">
        <v>7.7420000000000003E-2</v>
      </c>
      <c r="O530" s="12" t="e">
        <f t="shared" si="706"/>
        <v>#REF!</v>
      </c>
      <c r="P530" s="50" t="s">
        <v>577</v>
      </c>
      <c r="Z530" s="12">
        <f t="shared" si="707"/>
        <v>0</v>
      </c>
      <c r="AB530" s="12">
        <f t="shared" si="708"/>
        <v>0</v>
      </c>
      <c r="AC530" s="12">
        <f t="shared" si="709"/>
        <v>0</v>
      </c>
      <c r="AD530" s="12" t="e">
        <f t="shared" si="710"/>
        <v>#REF!</v>
      </c>
      <c r="AE530" s="12" t="e">
        <f t="shared" si="711"/>
        <v>#REF!</v>
      </c>
      <c r="AF530" s="12">
        <f t="shared" si="712"/>
        <v>0</v>
      </c>
      <c r="AG530" s="12">
        <f t="shared" si="713"/>
        <v>0</v>
      </c>
      <c r="AH530" s="12">
        <f t="shared" si="714"/>
        <v>0</v>
      </c>
      <c r="AI530" s="10" t="s">
        <v>990</v>
      </c>
      <c r="AJ530" s="12">
        <f t="shared" si="715"/>
        <v>0</v>
      </c>
      <c r="AK530" s="12">
        <f t="shared" si="716"/>
        <v>0</v>
      </c>
      <c r="AL530" s="12" t="e">
        <f t="shared" si="717"/>
        <v>#REF!</v>
      </c>
      <c r="AN530" s="12">
        <v>21</v>
      </c>
      <c r="AO530" s="12" t="e">
        <f>H530*0</f>
        <v>#REF!</v>
      </c>
      <c r="AP530" s="12" t="e">
        <f>H530*(1-0)</f>
        <v>#REF!</v>
      </c>
      <c r="AQ530" s="49" t="s">
        <v>567</v>
      </c>
      <c r="AV530" s="12" t="e">
        <f t="shared" si="718"/>
        <v>#REF!</v>
      </c>
      <c r="AW530" s="12" t="e">
        <f t="shared" si="719"/>
        <v>#REF!</v>
      </c>
      <c r="AX530" s="12" t="e">
        <f t="shared" si="720"/>
        <v>#REF!</v>
      </c>
      <c r="AY530" s="49" t="s">
        <v>580</v>
      </c>
      <c r="AZ530" s="49" t="s">
        <v>1020</v>
      </c>
      <c r="BA530" s="10" t="s">
        <v>993</v>
      </c>
      <c r="BC530" s="12" t="e">
        <f t="shared" si="721"/>
        <v>#REF!</v>
      </c>
      <c r="BD530" s="12" t="e">
        <f t="shared" si="722"/>
        <v>#REF!</v>
      </c>
      <c r="BE530" s="12">
        <v>0</v>
      </c>
      <c r="BF530" s="12" t="e">
        <f t="shared" si="723"/>
        <v>#REF!</v>
      </c>
      <c r="BH530" s="12" t="e">
        <f t="shared" si="724"/>
        <v>#REF!</v>
      </c>
      <c r="BI530" s="12" t="e">
        <f t="shared" si="725"/>
        <v>#REF!</v>
      </c>
      <c r="BJ530" s="12" t="e">
        <f t="shared" si="726"/>
        <v>#REF!</v>
      </c>
      <c r="BK530" s="12"/>
      <c r="BL530" s="12">
        <v>732</v>
      </c>
      <c r="BW530" s="12" t="str">
        <f t="shared" si="727"/>
        <v>21</v>
      </c>
      <c r="BX530" s="3" t="s">
        <v>384</v>
      </c>
    </row>
    <row r="531" spans="1:76">
      <c r="A531" s="1" t="s">
        <v>1023</v>
      </c>
      <c r="B531" s="2" t="s">
        <v>990</v>
      </c>
      <c r="C531" s="2" t="s">
        <v>385</v>
      </c>
      <c r="D531" s="349" t="s">
        <v>386</v>
      </c>
      <c r="E531" s="342"/>
      <c r="F531" s="2" t="s">
        <v>68</v>
      </c>
      <c r="G531" s="12" t="e">
        <f>#REF!</f>
        <v>#REF!</v>
      </c>
      <c r="H531" s="12" t="e">
        <f>#REF!</f>
        <v>#REF!</v>
      </c>
      <c r="I531" s="49" t="s">
        <v>554</v>
      </c>
      <c r="J531" s="12" t="e">
        <f t="shared" si="702"/>
        <v>#REF!</v>
      </c>
      <c r="K531" s="12" t="e">
        <f t="shared" si="703"/>
        <v>#REF!</v>
      </c>
      <c r="L531" s="12" t="e">
        <f t="shared" si="704"/>
        <v>#REF!</v>
      </c>
      <c r="M531" s="12" t="e">
        <f t="shared" si="705"/>
        <v>#REF!</v>
      </c>
      <c r="N531" s="12">
        <v>6.5329999999999999E-2</v>
      </c>
      <c r="O531" s="12" t="e">
        <f t="shared" si="706"/>
        <v>#REF!</v>
      </c>
      <c r="P531" s="50" t="s">
        <v>605</v>
      </c>
      <c r="Z531" s="12">
        <f t="shared" si="707"/>
        <v>0</v>
      </c>
      <c r="AB531" s="12">
        <f t="shared" si="708"/>
        <v>0</v>
      </c>
      <c r="AC531" s="12">
        <f t="shared" si="709"/>
        <v>0</v>
      </c>
      <c r="AD531" s="12" t="e">
        <f t="shared" si="710"/>
        <v>#REF!</v>
      </c>
      <c r="AE531" s="12" t="e">
        <f t="shared" si="711"/>
        <v>#REF!</v>
      </c>
      <c r="AF531" s="12">
        <f t="shared" si="712"/>
        <v>0</v>
      </c>
      <c r="AG531" s="12">
        <f t="shared" si="713"/>
        <v>0</v>
      </c>
      <c r="AH531" s="12">
        <f t="shared" si="714"/>
        <v>0</v>
      </c>
      <c r="AI531" s="10" t="s">
        <v>990</v>
      </c>
      <c r="AJ531" s="12">
        <f t="shared" si="715"/>
        <v>0</v>
      </c>
      <c r="AK531" s="12">
        <f t="shared" si="716"/>
        <v>0</v>
      </c>
      <c r="AL531" s="12" t="e">
        <f t="shared" si="717"/>
        <v>#REF!</v>
      </c>
      <c r="AN531" s="12">
        <v>21</v>
      </c>
      <c r="AO531" s="12" t="e">
        <f>H531*0.674383346</f>
        <v>#REF!</v>
      </c>
      <c r="AP531" s="12" t="e">
        <f>H531*(1-0.674383346)</f>
        <v>#REF!</v>
      </c>
      <c r="AQ531" s="49" t="s">
        <v>567</v>
      </c>
      <c r="AV531" s="12" t="e">
        <f t="shared" si="718"/>
        <v>#REF!</v>
      </c>
      <c r="AW531" s="12" t="e">
        <f t="shared" si="719"/>
        <v>#REF!</v>
      </c>
      <c r="AX531" s="12" t="e">
        <f t="shared" si="720"/>
        <v>#REF!</v>
      </c>
      <c r="AY531" s="49" t="s">
        <v>580</v>
      </c>
      <c r="AZ531" s="49" t="s">
        <v>1020</v>
      </c>
      <c r="BA531" s="10" t="s">
        <v>993</v>
      </c>
      <c r="BC531" s="12" t="e">
        <f t="shared" si="721"/>
        <v>#REF!</v>
      </c>
      <c r="BD531" s="12" t="e">
        <f t="shared" si="722"/>
        <v>#REF!</v>
      </c>
      <c r="BE531" s="12">
        <v>0</v>
      </c>
      <c r="BF531" s="12" t="e">
        <f t="shared" si="723"/>
        <v>#REF!</v>
      </c>
      <c r="BH531" s="12" t="e">
        <f t="shared" si="724"/>
        <v>#REF!</v>
      </c>
      <c r="BI531" s="12" t="e">
        <f t="shared" si="725"/>
        <v>#REF!</v>
      </c>
      <c r="BJ531" s="12" t="e">
        <f t="shared" si="726"/>
        <v>#REF!</v>
      </c>
      <c r="BK531" s="12"/>
      <c r="BL531" s="12">
        <v>732</v>
      </c>
      <c r="BW531" s="12" t="str">
        <f t="shared" si="727"/>
        <v>21</v>
      </c>
      <c r="BX531" s="3" t="s">
        <v>386</v>
      </c>
    </row>
    <row r="532" spans="1:76">
      <c r="A532" s="1" t="s">
        <v>1024</v>
      </c>
      <c r="B532" s="2" t="s">
        <v>990</v>
      </c>
      <c r="C532" s="2" t="s">
        <v>387</v>
      </c>
      <c r="D532" s="349" t="s">
        <v>388</v>
      </c>
      <c r="E532" s="342"/>
      <c r="F532" s="2" t="s">
        <v>68</v>
      </c>
      <c r="G532" s="12" t="e">
        <f>#REF!</f>
        <v>#REF!</v>
      </c>
      <c r="H532" s="12" t="e">
        <f>#REF!</f>
        <v>#REF!</v>
      </c>
      <c r="I532" s="49" t="s">
        <v>554</v>
      </c>
      <c r="J532" s="12" t="e">
        <f t="shared" si="702"/>
        <v>#REF!</v>
      </c>
      <c r="K532" s="12" t="e">
        <f t="shared" si="703"/>
        <v>#REF!</v>
      </c>
      <c r="L532" s="12" t="e">
        <f t="shared" si="704"/>
        <v>#REF!</v>
      </c>
      <c r="M532" s="12" t="e">
        <f t="shared" si="705"/>
        <v>#REF!</v>
      </c>
      <c r="N532" s="12">
        <v>7.417E-2</v>
      </c>
      <c r="O532" s="12" t="e">
        <f t="shared" si="706"/>
        <v>#REF!</v>
      </c>
      <c r="P532" s="50" t="s">
        <v>577</v>
      </c>
      <c r="Z532" s="12">
        <f t="shared" si="707"/>
        <v>0</v>
      </c>
      <c r="AB532" s="12">
        <f t="shared" si="708"/>
        <v>0</v>
      </c>
      <c r="AC532" s="12">
        <f t="shared" si="709"/>
        <v>0</v>
      </c>
      <c r="AD532" s="12" t="e">
        <f t="shared" si="710"/>
        <v>#REF!</v>
      </c>
      <c r="AE532" s="12" t="e">
        <f t="shared" si="711"/>
        <v>#REF!</v>
      </c>
      <c r="AF532" s="12">
        <f t="shared" si="712"/>
        <v>0</v>
      </c>
      <c r="AG532" s="12">
        <f t="shared" si="713"/>
        <v>0</v>
      </c>
      <c r="AH532" s="12">
        <f t="shared" si="714"/>
        <v>0</v>
      </c>
      <c r="AI532" s="10" t="s">
        <v>990</v>
      </c>
      <c r="AJ532" s="12">
        <f t="shared" si="715"/>
        <v>0</v>
      </c>
      <c r="AK532" s="12">
        <f t="shared" si="716"/>
        <v>0</v>
      </c>
      <c r="AL532" s="12" t="e">
        <f t="shared" si="717"/>
        <v>#REF!</v>
      </c>
      <c r="AN532" s="12">
        <v>21</v>
      </c>
      <c r="AO532" s="12" t="e">
        <f>H532*0.47508805</f>
        <v>#REF!</v>
      </c>
      <c r="AP532" s="12" t="e">
        <f>H532*(1-0.47508805)</f>
        <v>#REF!</v>
      </c>
      <c r="AQ532" s="49" t="s">
        <v>567</v>
      </c>
      <c r="AV532" s="12" t="e">
        <f t="shared" si="718"/>
        <v>#REF!</v>
      </c>
      <c r="AW532" s="12" t="e">
        <f t="shared" si="719"/>
        <v>#REF!</v>
      </c>
      <c r="AX532" s="12" t="e">
        <f t="shared" si="720"/>
        <v>#REF!</v>
      </c>
      <c r="AY532" s="49" t="s">
        <v>580</v>
      </c>
      <c r="AZ532" s="49" t="s">
        <v>1020</v>
      </c>
      <c r="BA532" s="10" t="s">
        <v>993</v>
      </c>
      <c r="BC532" s="12" t="e">
        <f t="shared" si="721"/>
        <v>#REF!</v>
      </c>
      <c r="BD532" s="12" t="e">
        <f t="shared" si="722"/>
        <v>#REF!</v>
      </c>
      <c r="BE532" s="12">
        <v>0</v>
      </c>
      <c r="BF532" s="12" t="e">
        <f t="shared" si="723"/>
        <v>#REF!</v>
      </c>
      <c r="BH532" s="12" t="e">
        <f t="shared" si="724"/>
        <v>#REF!</v>
      </c>
      <c r="BI532" s="12" t="e">
        <f t="shared" si="725"/>
        <v>#REF!</v>
      </c>
      <c r="BJ532" s="12" t="e">
        <f t="shared" si="726"/>
        <v>#REF!</v>
      </c>
      <c r="BK532" s="12"/>
      <c r="BL532" s="12">
        <v>732</v>
      </c>
      <c r="BW532" s="12" t="str">
        <f t="shared" si="727"/>
        <v>21</v>
      </c>
      <c r="BX532" s="3" t="s">
        <v>388</v>
      </c>
    </row>
    <row r="533" spans="1:76">
      <c r="A533" s="1" t="s">
        <v>1025</v>
      </c>
      <c r="B533" s="2" t="s">
        <v>990</v>
      </c>
      <c r="C533" s="2" t="s">
        <v>179</v>
      </c>
      <c r="D533" s="349" t="s">
        <v>389</v>
      </c>
      <c r="E533" s="342"/>
      <c r="F533" s="2" t="s">
        <v>21</v>
      </c>
      <c r="G533" s="12" t="e">
        <f>#REF!</f>
        <v>#REF!</v>
      </c>
      <c r="H533" s="12" t="e">
        <f>#REF!</f>
        <v>#REF!</v>
      </c>
      <c r="I533" s="49" t="s">
        <v>554</v>
      </c>
      <c r="J533" s="12" t="e">
        <f t="shared" si="702"/>
        <v>#REF!</v>
      </c>
      <c r="K533" s="12" t="e">
        <f t="shared" si="703"/>
        <v>#REF!</v>
      </c>
      <c r="L533" s="12" t="e">
        <f t="shared" si="704"/>
        <v>#REF!</v>
      </c>
      <c r="M533" s="12" t="e">
        <f t="shared" si="705"/>
        <v>#REF!</v>
      </c>
      <c r="N533" s="12">
        <v>0</v>
      </c>
      <c r="O533" s="12" t="e">
        <f t="shared" si="706"/>
        <v>#REF!</v>
      </c>
      <c r="P533" s="50" t="s">
        <v>21</v>
      </c>
      <c r="Z533" s="12">
        <f t="shared" si="707"/>
        <v>0</v>
      </c>
      <c r="AB533" s="12">
        <f t="shared" si="708"/>
        <v>0</v>
      </c>
      <c r="AC533" s="12">
        <f t="shared" si="709"/>
        <v>0</v>
      </c>
      <c r="AD533" s="12" t="e">
        <f t="shared" si="710"/>
        <v>#REF!</v>
      </c>
      <c r="AE533" s="12" t="e">
        <f t="shared" si="711"/>
        <v>#REF!</v>
      </c>
      <c r="AF533" s="12">
        <f t="shared" si="712"/>
        <v>0</v>
      </c>
      <c r="AG533" s="12">
        <f t="shared" si="713"/>
        <v>0</v>
      </c>
      <c r="AH533" s="12">
        <f t="shared" si="714"/>
        <v>0</v>
      </c>
      <c r="AI533" s="10" t="s">
        <v>990</v>
      </c>
      <c r="AJ533" s="12">
        <f t="shared" si="715"/>
        <v>0</v>
      </c>
      <c r="AK533" s="12">
        <f t="shared" si="716"/>
        <v>0</v>
      </c>
      <c r="AL533" s="12" t="e">
        <f t="shared" si="717"/>
        <v>#REF!</v>
      </c>
      <c r="AN533" s="12">
        <v>21</v>
      </c>
      <c r="AO533" s="12" t="e">
        <f>H533*0.974240082</f>
        <v>#REF!</v>
      </c>
      <c r="AP533" s="12" t="e">
        <f>H533*(1-0.974240082)</f>
        <v>#REF!</v>
      </c>
      <c r="AQ533" s="49" t="s">
        <v>567</v>
      </c>
      <c r="AV533" s="12" t="e">
        <f t="shared" si="718"/>
        <v>#REF!</v>
      </c>
      <c r="AW533" s="12" t="e">
        <f t="shared" si="719"/>
        <v>#REF!</v>
      </c>
      <c r="AX533" s="12" t="e">
        <f t="shared" si="720"/>
        <v>#REF!</v>
      </c>
      <c r="AY533" s="49" t="s">
        <v>580</v>
      </c>
      <c r="AZ533" s="49" t="s">
        <v>1020</v>
      </c>
      <c r="BA533" s="10" t="s">
        <v>993</v>
      </c>
      <c r="BC533" s="12" t="e">
        <f t="shared" si="721"/>
        <v>#REF!</v>
      </c>
      <c r="BD533" s="12" t="e">
        <f t="shared" si="722"/>
        <v>#REF!</v>
      </c>
      <c r="BE533" s="12">
        <v>0</v>
      </c>
      <c r="BF533" s="12" t="e">
        <f t="shared" si="723"/>
        <v>#REF!</v>
      </c>
      <c r="BH533" s="12" t="e">
        <f t="shared" si="724"/>
        <v>#REF!</v>
      </c>
      <c r="BI533" s="12" t="e">
        <f t="shared" si="725"/>
        <v>#REF!</v>
      </c>
      <c r="BJ533" s="12" t="e">
        <f t="shared" si="726"/>
        <v>#REF!</v>
      </c>
      <c r="BK533" s="12"/>
      <c r="BL533" s="12">
        <v>732</v>
      </c>
      <c r="BW533" s="12" t="str">
        <f t="shared" si="727"/>
        <v>21</v>
      </c>
      <c r="BX533" s="3" t="s">
        <v>389</v>
      </c>
    </row>
    <row r="534" spans="1:76">
      <c r="A534" s="1" t="s">
        <v>1026</v>
      </c>
      <c r="B534" s="2" t="s">
        <v>990</v>
      </c>
      <c r="C534" s="2" t="s">
        <v>390</v>
      </c>
      <c r="D534" s="349" t="s">
        <v>391</v>
      </c>
      <c r="E534" s="342"/>
      <c r="F534" s="2" t="s">
        <v>58</v>
      </c>
      <c r="G534" s="12" t="e">
        <f>#REF!</f>
        <v>#REF!</v>
      </c>
      <c r="H534" s="12" t="e">
        <f>#REF!</f>
        <v>#REF!</v>
      </c>
      <c r="I534" s="49" t="s">
        <v>554</v>
      </c>
      <c r="J534" s="12" t="e">
        <f t="shared" si="702"/>
        <v>#REF!</v>
      </c>
      <c r="K534" s="12" t="e">
        <f t="shared" si="703"/>
        <v>#REF!</v>
      </c>
      <c r="L534" s="12" t="e">
        <f t="shared" si="704"/>
        <v>#REF!</v>
      </c>
      <c r="M534" s="12" t="e">
        <f t="shared" si="705"/>
        <v>#REF!</v>
      </c>
      <c r="N534" s="12">
        <v>1.9820000000000001E-2</v>
      </c>
      <c r="O534" s="12" t="e">
        <f t="shared" si="706"/>
        <v>#REF!</v>
      </c>
      <c r="P534" s="50" t="s">
        <v>605</v>
      </c>
      <c r="Z534" s="12">
        <f t="shared" si="707"/>
        <v>0</v>
      </c>
      <c r="AB534" s="12">
        <f t="shared" si="708"/>
        <v>0</v>
      </c>
      <c r="AC534" s="12">
        <f t="shared" si="709"/>
        <v>0</v>
      </c>
      <c r="AD534" s="12" t="e">
        <f t="shared" si="710"/>
        <v>#REF!</v>
      </c>
      <c r="AE534" s="12" t="e">
        <f t="shared" si="711"/>
        <v>#REF!</v>
      </c>
      <c r="AF534" s="12">
        <f t="shared" si="712"/>
        <v>0</v>
      </c>
      <c r="AG534" s="12">
        <f t="shared" si="713"/>
        <v>0</v>
      </c>
      <c r="AH534" s="12">
        <f t="shared" si="714"/>
        <v>0</v>
      </c>
      <c r="AI534" s="10" t="s">
        <v>990</v>
      </c>
      <c r="AJ534" s="12">
        <f t="shared" si="715"/>
        <v>0</v>
      </c>
      <c r="AK534" s="12">
        <f t="shared" si="716"/>
        <v>0</v>
      </c>
      <c r="AL534" s="12" t="e">
        <f t="shared" si="717"/>
        <v>#REF!</v>
      </c>
      <c r="AN534" s="12">
        <v>21</v>
      </c>
      <c r="AO534" s="12" t="e">
        <f>H534*0.642985042</f>
        <v>#REF!</v>
      </c>
      <c r="AP534" s="12" t="e">
        <f>H534*(1-0.642985042)</f>
        <v>#REF!</v>
      </c>
      <c r="AQ534" s="49" t="s">
        <v>567</v>
      </c>
      <c r="AV534" s="12" t="e">
        <f t="shared" si="718"/>
        <v>#REF!</v>
      </c>
      <c r="AW534" s="12" t="e">
        <f t="shared" si="719"/>
        <v>#REF!</v>
      </c>
      <c r="AX534" s="12" t="e">
        <f t="shared" si="720"/>
        <v>#REF!</v>
      </c>
      <c r="AY534" s="49" t="s">
        <v>580</v>
      </c>
      <c r="AZ534" s="49" t="s">
        <v>1020</v>
      </c>
      <c r="BA534" s="10" t="s">
        <v>993</v>
      </c>
      <c r="BC534" s="12" t="e">
        <f t="shared" si="721"/>
        <v>#REF!</v>
      </c>
      <c r="BD534" s="12" t="e">
        <f t="shared" si="722"/>
        <v>#REF!</v>
      </c>
      <c r="BE534" s="12">
        <v>0</v>
      </c>
      <c r="BF534" s="12" t="e">
        <f t="shared" si="723"/>
        <v>#REF!</v>
      </c>
      <c r="BH534" s="12" t="e">
        <f t="shared" si="724"/>
        <v>#REF!</v>
      </c>
      <c r="BI534" s="12" t="e">
        <f t="shared" si="725"/>
        <v>#REF!</v>
      </c>
      <c r="BJ534" s="12" t="e">
        <f t="shared" si="726"/>
        <v>#REF!</v>
      </c>
      <c r="BK534" s="12"/>
      <c r="BL534" s="12">
        <v>732</v>
      </c>
      <c r="BW534" s="12" t="str">
        <f t="shared" si="727"/>
        <v>21</v>
      </c>
      <c r="BX534" s="3" t="s">
        <v>391</v>
      </c>
    </row>
    <row r="535" spans="1:76" ht="25.5">
      <c r="A535" s="1" t="s">
        <v>1027</v>
      </c>
      <c r="B535" s="2" t="s">
        <v>990</v>
      </c>
      <c r="C535" s="2" t="s">
        <v>392</v>
      </c>
      <c r="D535" s="349" t="s">
        <v>446</v>
      </c>
      <c r="E535" s="342"/>
      <c r="F535" s="2" t="s">
        <v>68</v>
      </c>
      <c r="G535" s="12" t="e">
        <f>#REF!</f>
        <v>#REF!</v>
      </c>
      <c r="H535" s="12" t="e">
        <f>#REF!</f>
        <v>#REF!</v>
      </c>
      <c r="I535" s="49" t="s">
        <v>554</v>
      </c>
      <c r="J535" s="12" t="e">
        <f t="shared" si="702"/>
        <v>#REF!</v>
      </c>
      <c r="K535" s="12" t="e">
        <f t="shared" si="703"/>
        <v>#REF!</v>
      </c>
      <c r="L535" s="12" t="e">
        <f t="shared" si="704"/>
        <v>#REF!</v>
      </c>
      <c r="M535" s="12" t="e">
        <f t="shared" si="705"/>
        <v>#REF!</v>
      </c>
      <c r="N535" s="12">
        <v>1.9E-3</v>
      </c>
      <c r="O535" s="12" t="e">
        <f t="shared" si="706"/>
        <v>#REF!</v>
      </c>
      <c r="P535" s="50" t="s">
        <v>605</v>
      </c>
      <c r="Z535" s="12">
        <f t="shared" si="707"/>
        <v>0</v>
      </c>
      <c r="AB535" s="12">
        <f t="shared" si="708"/>
        <v>0</v>
      </c>
      <c r="AC535" s="12">
        <f t="shared" si="709"/>
        <v>0</v>
      </c>
      <c r="AD535" s="12" t="e">
        <f t="shared" si="710"/>
        <v>#REF!</v>
      </c>
      <c r="AE535" s="12" t="e">
        <f t="shared" si="711"/>
        <v>#REF!</v>
      </c>
      <c r="AF535" s="12">
        <f t="shared" si="712"/>
        <v>0</v>
      </c>
      <c r="AG535" s="12">
        <f t="shared" si="713"/>
        <v>0</v>
      </c>
      <c r="AH535" s="12">
        <f t="shared" si="714"/>
        <v>0</v>
      </c>
      <c r="AI535" s="10" t="s">
        <v>990</v>
      </c>
      <c r="AJ535" s="12">
        <f t="shared" si="715"/>
        <v>0</v>
      </c>
      <c r="AK535" s="12">
        <f t="shared" si="716"/>
        <v>0</v>
      </c>
      <c r="AL535" s="12" t="e">
        <f t="shared" si="717"/>
        <v>#REF!</v>
      </c>
      <c r="AN535" s="12">
        <v>21</v>
      </c>
      <c r="AO535" s="12" t="e">
        <f>H535*1</f>
        <v>#REF!</v>
      </c>
      <c r="AP535" s="12" t="e">
        <f>H535*(1-1)</f>
        <v>#REF!</v>
      </c>
      <c r="AQ535" s="49" t="s">
        <v>567</v>
      </c>
      <c r="AV535" s="12" t="e">
        <f t="shared" si="718"/>
        <v>#REF!</v>
      </c>
      <c r="AW535" s="12" t="e">
        <f t="shared" si="719"/>
        <v>#REF!</v>
      </c>
      <c r="AX535" s="12" t="e">
        <f t="shared" si="720"/>
        <v>#REF!</v>
      </c>
      <c r="AY535" s="49" t="s">
        <v>580</v>
      </c>
      <c r="AZ535" s="49" t="s">
        <v>1020</v>
      </c>
      <c r="BA535" s="10" t="s">
        <v>993</v>
      </c>
      <c r="BC535" s="12" t="e">
        <f t="shared" si="721"/>
        <v>#REF!</v>
      </c>
      <c r="BD535" s="12" t="e">
        <f t="shared" si="722"/>
        <v>#REF!</v>
      </c>
      <c r="BE535" s="12">
        <v>0</v>
      </c>
      <c r="BF535" s="12" t="e">
        <f t="shared" si="723"/>
        <v>#REF!</v>
      </c>
      <c r="BH535" s="12" t="e">
        <f t="shared" si="724"/>
        <v>#REF!</v>
      </c>
      <c r="BI535" s="12" t="e">
        <f t="shared" si="725"/>
        <v>#REF!</v>
      </c>
      <c r="BJ535" s="12" t="e">
        <f t="shared" si="726"/>
        <v>#REF!</v>
      </c>
      <c r="BK535" s="12"/>
      <c r="BL535" s="12">
        <v>732</v>
      </c>
      <c r="BW535" s="12" t="str">
        <f t="shared" si="727"/>
        <v>21</v>
      </c>
      <c r="BX535" s="3" t="s">
        <v>446</v>
      </c>
    </row>
    <row r="536" spans="1:76">
      <c r="A536" s="46" t="s">
        <v>21</v>
      </c>
      <c r="B536" s="9" t="s">
        <v>990</v>
      </c>
      <c r="C536" s="9" t="s">
        <v>85</v>
      </c>
      <c r="D536" s="359" t="s">
        <v>86</v>
      </c>
      <c r="E536" s="360"/>
      <c r="F536" s="47" t="s">
        <v>20</v>
      </c>
      <c r="G536" s="47" t="s">
        <v>20</v>
      </c>
      <c r="H536" s="47" t="s">
        <v>20</v>
      </c>
      <c r="I536" s="47" t="s">
        <v>20</v>
      </c>
      <c r="J536" s="11" t="e">
        <f>SUM(J537:J547)</f>
        <v>#REF!</v>
      </c>
      <c r="K536" s="11" t="e">
        <f>SUM(K537:K547)</f>
        <v>#REF!</v>
      </c>
      <c r="L536" s="11" t="e">
        <f>SUM(L537:L547)</f>
        <v>#REF!</v>
      </c>
      <c r="M536" s="11" t="e">
        <f>SUM(M537:M547)</f>
        <v>#REF!</v>
      </c>
      <c r="N536" s="10" t="s">
        <v>21</v>
      </c>
      <c r="O536" s="11" t="e">
        <f>SUM(O537:O547)</f>
        <v>#REF!</v>
      </c>
      <c r="P536" s="48" t="s">
        <v>21</v>
      </c>
      <c r="AI536" s="10" t="s">
        <v>990</v>
      </c>
      <c r="AS536" s="11">
        <f>SUM(AJ537:AJ547)</f>
        <v>0</v>
      </c>
      <c r="AT536" s="11">
        <f>SUM(AK537:AK547)</f>
        <v>0</v>
      </c>
      <c r="AU536" s="11" t="e">
        <f>SUM(AL537:AL547)</f>
        <v>#REF!</v>
      </c>
    </row>
    <row r="537" spans="1:76">
      <c r="A537" s="1" t="s">
        <v>1028</v>
      </c>
      <c r="B537" s="2" t="s">
        <v>990</v>
      </c>
      <c r="C537" s="2" t="s">
        <v>394</v>
      </c>
      <c r="D537" s="349" t="s">
        <v>395</v>
      </c>
      <c r="E537" s="342"/>
      <c r="F537" s="2" t="s">
        <v>68</v>
      </c>
      <c r="G537" s="12" t="e">
        <f>#REF!</f>
        <v>#REF!</v>
      </c>
      <c r="H537" s="12" t="e">
        <f>#REF!</f>
        <v>#REF!</v>
      </c>
      <c r="I537" s="49" t="s">
        <v>554</v>
      </c>
      <c r="J537" s="12" t="e">
        <f t="shared" ref="J537:J547" si="728">G537*AO537</f>
        <v>#REF!</v>
      </c>
      <c r="K537" s="12" t="e">
        <f t="shared" ref="K537:K547" si="729">G537*AP537</f>
        <v>#REF!</v>
      </c>
      <c r="L537" s="12" t="e">
        <f t="shared" ref="L537:L547" si="730">G537*H537</f>
        <v>#REF!</v>
      </c>
      <c r="M537" s="12" t="e">
        <f t="shared" ref="M537:M547" si="731">L537*(1+BW537/100)</f>
        <v>#REF!</v>
      </c>
      <c r="N537" s="12">
        <v>2.1700000000000001E-3</v>
      </c>
      <c r="O537" s="12" t="e">
        <f t="shared" ref="O537:O547" si="732">G537*N537</f>
        <v>#REF!</v>
      </c>
      <c r="P537" s="50" t="s">
        <v>577</v>
      </c>
      <c r="Z537" s="12">
        <f t="shared" ref="Z537:Z547" si="733">IF(AQ537="5",BJ537,0)</f>
        <v>0</v>
      </c>
      <c r="AB537" s="12">
        <f t="shared" ref="AB537:AB547" si="734">IF(AQ537="1",BH537,0)</f>
        <v>0</v>
      </c>
      <c r="AC537" s="12">
        <f t="shared" ref="AC537:AC547" si="735">IF(AQ537="1",BI537,0)</f>
        <v>0</v>
      </c>
      <c r="AD537" s="12" t="e">
        <f t="shared" ref="AD537:AD547" si="736">IF(AQ537="7",BH537,0)</f>
        <v>#REF!</v>
      </c>
      <c r="AE537" s="12" t="e">
        <f t="shared" ref="AE537:AE547" si="737">IF(AQ537="7",BI537,0)</f>
        <v>#REF!</v>
      </c>
      <c r="AF537" s="12">
        <f t="shared" ref="AF537:AF547" si="738">IF(AQ537="2",BH537,0)</f>
        <v>0</v>
      </c>
      <c r="AG537" s="12">
        <f t="shared" ref="AG537:AG547" si="739">IF(AQ537="2",BI537,0)</f>
        <v>0</v>
      </c>
      <c r="AH537" s="12">
        <f t="shared" ref="AH537:AH547" si="740">IF(AQ537="0",BJ537,0)</f>
        <v>0</v>
      </c>
      <c r="AI537" s="10" t="s">
        <v>990</v>
      </c>
      <c r="AJ537" s="12">
        <f t="shared" ref="AJ537:AJ547" si="741">IF(AN537=0,L537,0)</f>
        <v>0</v>
      </c>
      <c r="AK537" s="12">
        <f t="shared" ref="AK537:AK547" si="742">IF(AN537=12,L537,0)</f>
        <v>0</v>
      </c>
      <c r="AL537" s="12" t="e">
        <f t="shared" ref="AL537:AL547" si="743">IF(AN537=21,L537,0)</f>
        <v>#REF!</v>
      </c>
      <c r="AN537" s="12">
        <v>21</v>
      </c>
      <c r="AO537" s="12" t="e">
        <f>H537*0.593006993</f>
        <v>#REF!</v>
      </c>
      <c r="AP537" s="12" t="e">
        <f>H537*(1-0.593006993)</f>
        <v>#REF!</v>
      </c>
      <c r="AQ537" s="49" t="s">
        <v>567</v>
      </c>
      <c r="AV537" s="12" t="e">
        <f t="shared" ref="AV537:AV547" si="744">AW537+AX537</f>
        <v>#REF!</v>
      </c>
      <c r="AW537" s="12" t="e">
        <f t="shared" ref="AW537:AW547" si="745">G537*AO537</f>
        <v>#REF!</v>
      </c>
      <c r="AX537" s="12" t="e">
        <f t="shared" ref="AX537:AX547" si="746">G537*AP537</f>
        <v>#REF!</v>
      </c>
      <c r="AY537" s="49" t="s">
        <v>588</v>
      </c>
      <c r="AZ537" s="49" t="s">
        <v>1020</v>
      </c>
      <c r="BA537" s="10" t="s">
        <v>993</v>
      </c>
      <c r="BC537" s="12" t="e">
        <f t="shared" ref="BC537:BC547" si="747">AW537+AX537</f>
        <v>#REF!</v>
      </c>
      <c r="BD537" s="12" t="e">
        <f t="shared" ref="BD537:BD547" si="748">H537/(100-BE537)*100</f>
        <v>#REF!</v>
      </c>
      <c r="BE537" s="12">
        <v>0</v>
      </c>
      <c r="BF537" s="12" t="e">
        <f t="shared" ref="BF537:BF547" si="749">O537</f>
        <v>#REF!</v>
      </c>
      <c r="BH537" s="12" t="e">
        <f t="shared" ref="BH537:BH547" si="750">G537*AO537</f>
        <v>#REF!</v>
      </c>
      <c r="BI537" s="12" t="e">
        <f t="shared" ref="BI537:BI547" si="751">G537*AP537</f>
        <v>#REF!</v>
      </c>
      <c r="BJ537" s="12" t="e">
        <f t="shared" ref="BJ537:BJ547" si="752">G537*H537</f>
        <v>#REF!</v>
      </c>
      <c r="BK537" s="12"/>
      <c r="BL537" s="12">
        <v>733</v>
      </c>
      <c r="BW537" s="12" t="str">
        <f t="shared" ref="BW537:BW547" si="753">I537</f>
        <v>21</v>
      </c>
      <c r="BX537" s="3" t="s">
        <v>395</v>
      </c>
    </row>
    <row r="538" spans="1:76">
      <c r="A538" s="1" t="s">
        <v>1029</v>
      </c>
      <c r="B538" s="2" t="s">
        <v>990</v>
      </c>
      <c r="C538" s="2" t="s">
        <v>396</v>
      </c>
      <c r="D538" s="349" t="s">
        <v>397</v>
      </c>
      <c r="E538" s="342"/>
      <c r="F538" s="2" t="s">
        <v>68</v>
      </c>
      <c r="G538" s="12" t="e">
        <f>#REF!</f>
        <v>#REF!</v>
      </c>
      <c r="H538" s="12" t="e">
        <f>#REF!</f>
        <v>#REF!</v>
      </c>
      <c r="I538" s="49" t="s">
        <v>554</v>
      </c>
      <c r="J538" s="12" t="e">
        <f t="shared" si="728"/>
        <v>#REF!</v>
      </c>
      <c r="K538" s="12" t="e">
        <f t="shared" si="729"/>
        <v>#REF!</v>
      </c>
      <c r="L538" s="12" t="e">
        <f t="shared" si="730"/>
        <v>#REF!</v>
      </c>
      <c r="M538" s="12" t="e">
        <f t="shared" si="731"/>
        <v>#REF!</v>
      </c>
      <c r="N538" s="12">
        <v>2.1000000000000001E-4</v>
      </c>
      <c r="O538" s="12" t="e">
        <f t="shared" si="732"/>
        <v>#REF!</v>
      </c>
      <c r="P538" s="50" t="s">
        <v>577</v>
      </c>
      <c r="Z538" s="12">
        <f t="shared" si="733"/>
        <v>0</v>
      </c>
      <c r="AB538" s="12">
        <f t="shared" si="734"/>
        <v>0</v>
      </c>
      <c r="AC538" s="12">
        <f t="shared" si="735"/>
        <v>0</v>
      </c>
      <c r="AD538" s="12" t="e">
        <f t="shared" si="736"/>
        <v>#REF!</v>
      </c>
      <c r="AE538" s="12" t="e">
        <f t="shared" si="737"/>
        <v>#REF!</v>
      </c>
      <c r="AF538" s="12">
        <f t="shared" si="738"/>
        <v>0</v>
      </c>
      <c r="AG538" s="12">
        <f t="shared" si="739"/>
        <v>0</v>
      </c>
      <c r="AH538" s="12">
        <f t="shared" si="740"/>
        <v>0</v>
      </c>
      <c r="AI538" s="10" t="s">
        <v>990</v>
      </c>
      <c r="AJ538" s="12">
        <f t="shared" si="741"/>
        <v>0</v>
      </c>
      <c r="AK538" s="12">
        <f t="shared" si="742"/>
        <v>0</v>
      </c>
      <c r="AL538" s="12" t="e">
        <f t="shared" si="743"/>
        <v>#REF!</v>
      </c>
      <c r="AN538" s="12">
        <v>21</v>
      </c>
      <c r="AO538" s="12" t="e">
        <f>H538*0.236903409</f>
        <v>#REF!</v>
      </c>
      <c r="AP538" s="12" t="e">
        <f>H538*(1-0.236903409)</f>
        <v>#REF!</v>
      </c>
      <c r="AQ538" s="49" t="s">
        <v>567</v>
      </c>
      <c r="AV538" s="12" t="e">
        <f t="shared" si="744"/>
        <v>#REF!</v>
      </c>
      <c r="AW538" s="12" t="e">
        <f t="shared" si="745"/>
        <v>#REF!</v>
      </c>
      <c r="AX538" s="12" t="e">
        <f t="shared" si="746"/>
        <v>#REF!</v>
      </c>
      <c r="AY538" s="49" t="s">
        <v>588</v>
      </c>
      <c r="AZ538" s="49" t="s">
        <v>1020</v>
      </c>
      <c r="BA538" s="10" t="s">
        <v>993</v>
      </c>
      <c r="BC538" s="12" t="e">
        <f t="shared" si="747"/>
        <v>#REF!</v>
      </c>
      <c r="BD538" s="12" t="e">
        <f t="shared" si="748"/>
        <v>#REF!</v>
      </c>
      <c r="BE538" s="12">
        <v>0</v>
      </c>
      <c r="BF538" s="12" t="e">
        <f t="shared" si="749"/>
        <v>#REF!</v>
      </c>
      <c r="BH538" s="12" t="e">
        <f t="shared" si="750"/>
        <v>#REF!</v>
      </c>
      <c r="BI538" s="12" t="e">
        <f t="shared" si="751"/>
        <v>#REF!</v>
      </c>
      <c r="BJ538" s="12" t="e">
        <f t="shared" si="752"/>
        <v>#REF!</v>
      </c>
      <c r="BK538" s="12"/>
      <c r="BL538" s="12">
        <v>733</v>
      </c>
      <c r="BW538" s="12" t="str">
        <f t="shared" si="753"/>
        <v>21</v>
      </c>
      <c r="BX538" s="3" t="s">
        <v>397</v>
      </c>
    </row>
    <row r="539" spans="1:76">
      <c r="A539" s="1" t="s">
        <v>1030</v>
      </c>
      <c r="B539" s="2" t="s">
        <v>990</v>
      </c>
      <c r="C539" s="2" t="s">
        <v>398</v>
      </c>
      <c r="D539" s="349" t="s">
        <v>399</v>
      </c>
      <c r="E539" s="342"/>
      <c r="F539" s="2" t="s">
        <v>68</v>
      </c>
      <c r="G539" s="12" t="e">
        <f>#REF!</f>
        <v>#REF!</v>
      </c>
      <c r="H539" s="12" t="e">
        <f>#REF!</f>
        <v>#REF!</v>
      </c>
      <c r="I539" s="49" t="s">
        <v>554</v>
      </c>
      <c r="J539" s="12" t="e">
        <f t="shared" si="728"/>
        <v>#REF!</v>
      </c>
      <c r="K539" s="12" t="e">
        <f t="shared" si="729"/>
        <v>#REF!</v>
      </c>
      <c r="L539" s="12" t="e">
        <f t="shared" si="730"/>
        <v>#REF!</v>
      </c>
      <c r="M539" s="12" t="e">
        <f t="shared" si="731"/>
        <v>#REF!</v>
      </c>
      <c r="N539" s="12">
        <v>1.3999999999999999E-4</v>
      </c>
      <c r="O539" s="12" t="e">
        <f t="shared" si="732"/>
        <v>#REF!</v>
      </c>
      <c r="P539" s="50" t="s">
        <v>605</v>
      </c>
      <c r="Z539" s="12">
        <f t="shared" si="733"/>
        <v>0</v>
      </c>
      <c r="AB539" s="12">
        <f t="shared" si="734"/>
        <v>0</v>
      </c>
      <c r="AC539" s="12">
        <f t="shared" si="735"/>
        <v>0</v>
      </c>
      <c r="AD539" s="12" t="e">
        <f t="shared" si="736"/>
        <v>#REF!</v>
      </c>
      <c r="AE539" s="12" t="e">
        <f t="shared" si="737"/>
        <v>#REF!</v>
      </c>
      <c r="AF539" s="12">
        <f t="shared" si="738"/>
        <v>0</v>
      </c>
      <c r="AG539" s="12">
        <f t="shared" si="739"/>
        <v>0</v>
      </c>
      <c r="AH539" s="12">
        <f t="shared" si="740"/>
        <v>0</v>
      </c>
      <c r="AI539" s="10" t="s">
        <v>990</v>
      </c>
      <c r="AJ539" s="12">
        <f t="shared" si="741"/>
        <v>0</v>
      </c>
      <c r="AK539" s="12">
        <f t="shared" si="742"/>
        <v>0</v>
      </c>
      <c r="AL539" s="12" t="e">
        <f t="shared" si="743"/>
        <v>#REF!</v>
      </c>
      <c r="AN539" s="12">
        <v>21</v>
      </c>
      <c r="AO539" s="12" t="e">
        <f>H539*0.345851429</f>
        <v>#REF!</v>
      </c>
      <c r="AP539" s="12" t="e">
        <f>H539*(1-0.345851429)</f>
        <v>#REF!</v>
      </c>
      <c r="AQ539" s="49" t="s">
        <v>567</v>
      </c>
      <c r="AV539" s="12" t="e">
        <f t="shared" si="744"/>
        <v>#REF!</v>
      </c>
      <c r="AW539" s="12" t="e">
        <f t="shared" si="745"/>
        <v>#REF!</v>
      </c>
      <c r="AX539" s="12" t="e">
        <f t="shared" si="746"/>
        <v>#REF!</v>
      </c>
      <c r="AY539" s="49" t="s">
        <v>588</v>
      </c>
      <c r="AZ539" s="49" t="s">
        <v>1020</v>
      </c>
      <c r="BA539" s="10" t="s">
        <v>993</v>
      </c>
      <c r="BC539" s="12" t="e">
        <f t="shared" si="747"/>
        <v>#REF!</v>
      </c>
      <c r="BD539" s="12" t="e">
        <f t="shared" si="748"/>
        <v>#REF!</v>
      </c>
      <c r="BE539" s="12">
        <v>0</v>
      </c>
      <c r="BF539" s="12" t="e">
        <f t="shared" si="749"/>
        <v>#REF!</v>
      </c>
      <c r="BH539" s="12" t="e">
        <f t="shared" si="750"/>
        <v>#REF!</v>
      </c>
      <c r="BI539" s="12" t="e">
        <f t="shared" si="751"/>
        <v>#REF!</v>
      </c>
      <c r="BJ539" s="12" t="e">
        <f t="shared" si="752"/>
        <v>#REF!</v>
      </c>
      <c r="BK539" s="12"/>
      <c r="BL539" s="12">
        <v>733</v>
      </c>
      <c r="BW539" s="12" t="str">
        <f t="shared" si="753"/>
        <v>21</v>
      </c>
      <c r="BX539" s="3" t="s">
        <v>399</v>
      </c>
    </row>
    <row r="540" spans="1:76">
      <c r="A540" s="1" t="s">
        <v>1031</v>
      </c>
      <c r="B540" s="2" t="s">
        <v>990</v>
      </c>
      <c r="C540" s="2" t="s">
        <v>400</v>
      </c>
      <c r="D540" s="349" t="s">
        <v>401</v>
      </c>
      <c r="E540" s="342"/>
      <c r="F540" s="2" t="s">
        <v>63</v>
      </c>
      <c r="G540" s="12" t="e">
        <f>#REF!</f>
        <v>#REF!</v>
      </c>
      <c r="H540" s="12" t="e">
        <f>#REF!</f>
        <v>#REF!</v>
      </c>
      <c r="I540" s="49" t="s">
        <v>554</v>
      </c>
      <c r="J540" s="12" t="e">
        <f t="shared" si="728"/>
        <v>#REF!</v>
      </c>
      <c r="K540" s="12" t="e">
        <f t="shared" si="729"/>
        <v>#REF!</v>
      </c>
      <c r="L540" s="12" t="e">
        <f t="shared" si="730"/>
        <v>#REF!</v>
      </c>
      <c r="M540" s="12" t="e">
        <f t="shared" si="731"/>
        <v>#REF!</v>
      </c>
      <c r="N540" s="12">
        <v>8.4700000000000001E-3</v>
      </c>
      <c r="O540" s="12" t="e">
        <f t="shared" si="732"/>
        <v>#REF!</v>
      </c>
      <c r="P540" s="50" t="s">
        <v>577</v>
      </c>
      <c r="Z540" s="12">
        <f t="shared" si="733"/>
        <v>0</v>
      </c>
      <c r="AB540" s="12">
        <f t="shared" si="734"/>
        <v>0</v>
      </c>
      <c r="AC540" s="12">
        <f t="shared" si="735"/>
        <v>0</v>
      </c>
      <c r="AD540" s="12" t="e">
        <f t="shared" si="736"/>
        <v>#REF!</v>
      </c>
      <c r="AE540" s="12" t="e">
        <f t="shared" si="737"/>
        <v>#REF!</v>
      </c>
      <c r="AF540" s="12">
        <f t="shared" si="738"/>
        <v>0</v>
      </c>
      <c r="AG540" s="12">
        <f t="shared" si="739"/>
        <v>0</v>
      </c>
      <c r="AH540" s="12">
        <f t="shared" si="740"/>
        <v>0</v>
      </c>
      <c r="AI540" s="10" t="s">
        <v>990</v>
      </c>
      <c r="AJ540" s="12">
        <f t="shared" si="741"/>
        <v>0</v>
      </c>
      <c r="AK540" s="12">
        <f t="shared" si="742"/>
        <v>0</v>
      </c>
      <c r="AL540" s="12" t="e">
        <f t="shared" si="743"/>
        <v>#REF!</v>
      </c>
      <c r="AN540" s="12">
        <v>21</v>
      </c>
      <c r="AO540" s="12" t="e">
        <f>H540*0.193150786</f>
        <v>#REF!</v>
      </c>
      <c r="AP540" s="12" t="e">
        <f>H540*(1-0.193150786)</f>
        <v>#REF!</v>
      </c>
      <c r="AQ540" s="49" t="s">
        <v>567</v>
      </c>
      <c r="AV540" s="12" t="e">
        <f t="shared" si="744"/>
        <v>#REF!</v>
      </c>
      <c r="AW540" s="12" t="e">
        <f t="shared" si="745"/>
        <v>#REF!</v>
      </c>
      <c r="AX540" s="12" t="e">
        <f t="shared" si="746"/>
        <v>#REF!</v>
      </c>
      <c r="AY540" s="49" t="s">
        <v>588</v>
      </c>
      <c r="AZ540" s="49" t="s">
        <v>1020</v>
      </c>
      <c r="BA540" s="10" t="s">
        <v>993</v>
      </c>
      <c r="BC540" s="12" t="e">
        <f t="shared" si="747"/>
        <v>#REF!</v>
      </c>
      <c r="BD540" s="12" t="e">
        <f t="shared" si="748"/>
        <v>#REF!</v>
      </c>
      <c r="BE540" s="12">
        <v>0</v>
      </c>
      <c r="BF540" s="12" t="e">
        <f t="shared" si="749"/>
        <v>#REF!</v>
      </c>
      <c r="BH540" s="12" t="e">
        <f t="shared" si="750"/>
        <v>#REF!</v>
      </c>
      <c r="BI540" s="12" t="e">
        <f t="shared" si="751"/>
        <v>#REF!</v>
      </c>
      <c r="BJ540" s="12" t="e">
        <f t="shared" si="752"/>
        <v>#REF!</v>
      </c>
      <c r="BK540" s="12"/>
      <c r="BL540" s="12">
        <v>733</v>
      </c>
      <c r="BW540" s="12" t="str">
        <f t="shared" si="753"/>
        <v>21</v>
      </c>
      <c r="BX540" s="3" t="s">
        <v>401</v>
      </c>
    </row>
    <row r="541" spans="1:76">
      <c r="A541" s="1" t="s">
        <v>1032</v>
      </c>
      <c r="B541" s="2" t="s">
        <v>990</v>
      </c>
      <c r="C541" s="2" t="s">
        <v>402</v>
      </c>
      <c r="D541" s="349" t="s">
        <v>403</v>
      </c>
      <c r="E541" s="342"/>
      <c r="F541" s="2" t="s">
        <v>63</v>
      </c>
      <c r="G541" s="12" t="e">
        <f>#REF!</f>
        <v>#REF!</v>
      </c>
      <c r="H541" s="12" t="e">
        <f>#REF!</f>
        <v>#REF!</v>
      </c>
      <c r="I541" s="49" t="s">
        <v>554</v>
      </c>
      <c r="J541" s="12" t="e">
        <f t="shared" si="728"/>
        <v>#REF!</v>
      </c>
      <c r="K541" s="12" t="e">
        <f t="shared" si="729"/>
        <v>#REF!</v>
      </c>
      <c r="L541" s="12" t="e">
        <f t="shared" si="730"/>
        <v>#REF!</v>
      </c>
      <c r="M541" s="12" t="e">
        <f t="shared" si="731"/>
        <v>#REF!</v>
      </c>
      <c r="N541" s="12">
        <v>7.6E-3</v>
      </c>
      <c r="O541" s="12" t="e">
        <f t="shared" si="732"/>
        <v>#REF!</v>
      </c>
      <c r="P541" s="50" t="s">
        <v>605</v>
      </c>
      <c r="Z541" s="12">
        <f t="shared" si="733"/>
        <v>0</v>
      </c>
      <c r="AB541" s="12">
        <f t="shared" si="734"/>
        <v>0</v>
      </c>
      <c r="AC541" s="12">
        <f t="shared" si="735"/>
        <v>0</v>
      </c>
      <c r="AD541" s="12" t="e">
        <f t="shared" si="736"/>
        <v>#REF!</v>
      </c>
      <c r="AE541" s="12" t="e">
        <f t="shared" si="737"/>
        <v>#REF!</v>
      </c>
      <c r="AF541" s="12">
        <f t="shared" si="738"/>
        <v>0</v>
      </c>
      <c r="AG541" s="12">
        <f t="shared" si="739"/>
        <v>0</v>
      </c>
      <c r="AH541" s="12">
        <f t="shared" si="740"/>
        <v>0</v>
      </c>
      <c r="AI541" s="10" t="s">
        <v>990</v>
      </c>
      <c r="AJ541" s="12">
        <f t="shared" si="741"/>
        <v>0</v>
      </c>
      <c r="AK541" s="12">
        <f t="shared" si="742"/>
        <v>0</v>
      </c>
      <c r="AL541" s="12" t="e">
        <f t="shared" si="743"/>
        <v>#REF!</v>
      </c>
      <c r="AN541" s="12">
        <v>21</v>
      </c>
      <c r="AO541" s="12" t="e">
        <f>H541*0.583448607</f>
        <v>#REF!</v>
      </c>
      <c r="AP541" s="12" t="e">
        <f>H541*(1-0.583448607)</f>
        <v>#REF!</v>
      </c>
      <c r="AQ541" s="49" t="s">
        <v>567</v>
      </c>
      <c r="AV541" s="12" t="e">
        <f t="shared" si="744"/>
        <v>#REF!</v>
      </c>
      <c r="AW541" s="12" t="e">
        <f t="shared" si="745"/>
        <v>#REF!</v>
      </c>
      <c r="AX541" s="12" t="e">
        <f t="shared" si="746"/>
        <v>#REF!</v>
      </c>
      <c r="AY541" s="49" t="s">
        <v>588</v>
      </c>
      <c r="AZ541" s="49" t="s">
        <v>1020</v>
      </c>
      <c r="BA541" s="10" t="s">
        <v>993</v>
      </c>
      <c r="BC541" s="12" t="e">
        <f t="shared" si="747"/>
        <v>#REF!</v>
      </c>
      <c r="BD541" s="12" t="e">
        <f t="shared" si="748"/>
        <v>#REF!</v>
      </c>
      <c r="BE541" s="12">
        <v>0</v>
      </c>
      <c r="BF541" s="12" t="e">
        <f t="shared" si="749"/>
        <v>#REF!</v>
      </c>
      <c r="BH541" s="12" t="e">
        <f t="shared" si="750"/>
        <v>#REF!</v>
      </c>
      <c r="BI541" s="12" t="e">
        <f t="shared" si="751"/>
        <v>#REF!</v>
      </c>
      <c r="BJ541" s="12" t="e">
        <f t="shared" si="752"/>
        <v>#REF!</v>
      </c>
      <c r="BK541" s="12"/>
      <c r="BL541" s="12">
        <v>733</v>
      </c>
      <c r="BW541" s="12" t="str">
        <f t="shared" si="753"/>
        <v>21</v>
      </c>
      <c r="BX541" s="3" t="s">
        <v>403</v>
      </c>
    </row>
    <row r="542" spans="1:76">
      <c r="A542" s="1" t="s">
        <v>1033</v>
      </c>
      <c r="B542" s="2" t="s">
        <v>990</v>
      </c>
      <c r="C542" s="2" t="s">
        <v>404</v>
      </c>
      <c r="D542" s="349" t="s">
        <v>405</v>
      </c>
      <c r="E542" s="342"/>
      <c r="F542" s="2" t="s">
        <v>63</v>
      </c>
      <c r="G542" s="12" t="e">
        <f>#REF!</f>
        <v>#REF!</v>
      </c>
      <c r="H542" s="12" t="e">
        <f>#REF!</f>
        <v>#REF!</v>
      </c>
      <c r="I542" s="49" t="s">
        <v>554</v>
      </c>
      <c r="J542" s="12" t="e">
        <f t="shared" si="728"/>
        <v>#REF!</v>
      </c>
      <c r="K542" s="12" t="e">
        <f t="shared" si="729"/>
        <v>#REF!</v>
      </c>
      <c r="L542" s="12" t="e">
        <f t="shared" si="730"/>
        <v>#REF!</v>
      </c>
      <c r="M542" s="12" t="e">
        <f t="shared" si="731"/>
        <v>#REF!</v>
      </c>
      <c r="N542" s="12">
        <v>4.8700000000000002E-3</v>
      </c>
      <c r="O542" s="12" t="e">
        <f t="shared" si="732"/>
        <v>#REF!</v>
      </c>
      <c r="P542" s="50" t="s">
        <v>577</v>
      </c>
      <c r="Z542" s="12">
        <f t="shared" si="733"/>
        <v>0</v>
      </c>
      <c r="AB542" s="12">
        <f t="shared" si="734"/>
        <v>0</v>
      </c>
      <c r="AC542" s="12">
        <f t="shared" si="735"/>
        <v>0</v>
      </c>
      <c r="AD542" s="12" t="e">
        <f t="shared" si="736"/>
        <v>#REF!</v>
      </c>
      <c r="AE542" s="12" t="e">
        <f t="shared" si="737"/>
        <v>#REF!</v>
      </c>
      <c r="AF542" s="12">
        <f t="shared" si="738"/>
        <v>0</v>
      </c>
      <c r="AG542" s="12">
        <f t="shared" si="739"/>
        <v>0</v>
      </c>
      <c r="AH542" s="12">
        <f t="shared" si="740"/>
        <v>0</v>
      </c>
      <c r="AI542" s="10" t="s">
        <v>990</v>
      </c>
      <c r="AJ542" s="12">
        <f t="shared" si="741"/>
        <v>0</v>
      </c>
      <c r="AK542" s="12">
        <f t="shared" si="742"/>
        <v>0</v>
      </c>
      <c r="AL542" s="12" t="e">
        <f t="shared" si="743"/>
        <v>#REF!</v>
      </c>
      <c r="AN542" s="12">
        <v>21</v>
      </c>
      <c r="AO542" s="12" t="e">
        <f>H542*0.106027821</f>
        <v>#REF!</v>
      </c>
      <c r="AP542" s="12" t="e">
        <f>H542*(1-0.106027821)</f>
        <v>#REF!</v>
      </c>
      <c r="AQ542" s="49" t="s">
        <v>567</v>
      </c>
      <c r="AV542" s="12" t="e">
        <f t="shared" si="744"/>
        <v>#REF!</v>
      </c>
      <c r="AW542" s="12" t="e">
        <f t="shared" si="745"/>
        <v>#REF!</v>
      </c>
      <c r="AX542" s="12" t="e">
        <f t="shared" si="746"/>
        <v>#REF!</v>
      </c>
      <c r="AY542" s="49" t="s">
        <v>588</v>
      </c>
      <c r="AZ542" s="49" t="s">
        <v>1020</v>
      </c>
      <c r="BA542" s="10" t="s">
        <v>993</v>
      </c>
      <c r="BC542" s="12" t="e">
        <f t="shared" si="747"/>
        <v>#REF!</v>
      </c>
      <c r="BD542" s="12" t="e">
        <f t="shared" si="748"/>
        <v>#REF!</v>
      </c>
      <c r="BE542" s="12">
        <v>0</v>
      </c>
      <c r="BF542" s="12" t="e">
        <f t="shared" si="749"/>
        <v>#REF!</v>
      </c>
      <c r="BH542" s="12" t="e">
        <f t="shared" si="750"/>
        <v>#REF!</v>
      </c>
      <c r="BI542" s="12" t="e">
        <f t="shared" si="751"/>
        <v>#REF!</v>
      </c>
      <c r="BJ542" s="12" t="e">
        <f t="shared" si="752"/>
        <v>#REF!</v>
      </c>
      <c r="BK542" s="12"/>
      <c r="BL542" s="12">
        <v>733</v>
      </c>
      <c r="BW542" s="12" t="str">
        <f t="shared" si="753"/>
        <v>21</v>
      </c>
      <c r="BX542" s="3" t="s">
        <v>405</v>
      </c>
    </row>
    <row r="543" spans="1:76">
      <c r="A543" s="1" t="s">
        <v>1034</v>
      </c>
      <c r="B543" s="2" t="s">
        <v>990</v>
      </c>
      <c r="C543" s="2" t="s">
        <v>406</v>
      </c>
      <c r="D543" s="349" t="s">
        <v>407</v>
      </c>
      <c r="E543" s="342"/>
      <c r="F543" s="2" t="s">
        <v>63</v>
      </c>
      <c r="G543" s="12" t="e">
        <f>#REF!</f>
        <v>#REF!</v>
      </c>
      <c r="H543" s="12" t="e">
        <f>#REF!</f>
        <v>#REF!</v>
      </c>
      <c r="I543" s="49" t="s">
        <v>554</v>
      </c>
      <c r="J543" s="12" t="e">
        <f t="shared" si="728"/>
        <v>#REF!</v>
      </c>
      <c r="K543" s="12" t="e">
        <f t="shared" si="729"/>
        <v>#REF!</v>
      </c>
      <c r="L543" s="12" t="e">
        <f t="shared" si="730"/>
        <v>#REF!</v>
      </c>
      <c r="M543" s="12" t="e">
        <f t="shared" si="731"/>
        <v>#REF!</v>
      </c>
      <c r="N543" s="12">
        <v>5.8500000000000002E-3</v>
      </c>
      <c r="O543" s="12" t="e">
        <f t="shared" si="732"/>
        <v>#REF!</v>
      </c>
      <c r="P543" s="50" t="s">
        <v>577</v>
      </c>
      <c r="Z543" s="12">
        <f t="shared" si="733"/>
        <v>0</v>
      </c>
      <c r="AB543" s="12">
        <f t="shared" si="734"/>
        <v>0</v>
      </c>
      <c r="AC543" s="12">
        <f t="shared" si="735"/>
        <v>0</v>
      </c>
      <c r="AD543" s="12" t="e">
        <f t="shared" si="736"/>
        <v>#REF!</v>
      </c>
      <c r="AE543" s="12" t="e">
        <f t="shared" si="737"/>
        <v>#REF!</v>
      </c>
      <c r="AF543" s="12">
        <f t="shared" si="738"/>
        <v>0</v>
      </c>
      <c r="AG543" s="12">
        <f t="shared" si="739"/>
        <v>0</v>
      </c>
      <c r="AH543" s="12">
        <f t="shared" si="740"/>
        <v>0</v>
      </c>
      <c r="AI543" s="10" t="s">
        <v>990</v>
      </c>
      <c r="AJ543" s="12">
        <f t="shared" si="741"/>
        <v>0</v>
      </c>
      <c r="AK543" s="12">
        <f t="shared" si="742"/>
        <v>0</v>
      </c>
      <c r="AL543" s="12" t="e">
        <f t="shared" si="743"/>
        <v>#REF!</v>
      </c>
      <c r="AN543" s="12">
        <v>21</v>
      </c>
      <c r="AO543" s="12" t="e">
        <f>H543*0.087066895</f>
        <v>#REF!</v>
      </c>
      <c r="AP543" s="12" t="e">
        <f>H543*(1-0.087066895)</f>
        <v>#REF!</v>
      </c>
      <c r="AQ543" s="49" t="s">
        <v>567</v>
      </c>
      <c r="AV543" s="12" t="e">
        <f t="shared" si="744"/>
        <v>#REF!</v>
      </c>
      <c r="AW543" s="12" t="e">
        <f t="shared" si="745"/>
        <v>#REF!</v>
      </c>
      <c r="AX543" s="12" t="e">
        <f t="shared" si="746"/>
        <v>#REF!</v>
      </c>
      <c r="AY543" s="49" t="s">
        <v>588</v>
      </c>
      <c r="AZ543" s="49" t="s">
        <v>1020</v>
      </c>
      <c r="BA543" s="10" t="s">
        <v>993</v>
      </c>
      <c r="BC543" s="12" t="e">
        <f t="shared" si="747"/>
        <v>#REF!</v>
      </c>
      <c r="BD543" s="12" t="e">
        <f t="shared" si="748"/>
        <v>#REF!</v>
      </c>
      <c r="BE543" s="12">
        <v>0</v>
      </c>
      <c r="BF543" s="12" t="e">
        <f t="shared" si="749"/>
        <v>#REF!</v>
      </c>
      <c r="BH543" s="12" t="e">
        <f t="shared" si="750"/>
        <v>#REF!</v>
      </c>
      <c r="BI543" s="12" t="e">
        <f t="shared" si="751"/>
        <v>#REF!</v>
      </c>
      <c r="BJ543" s="12" t="e">
        <f t="shared" si="752"/>
        <v>#REF!</v>
      </c>
      <c r="BK543" s="12"/>
      <c r="BL543" s="12">
        <v>733</v>
      </c>
      <c r="BW543" s="12" t="str">
        <f t="shared" si="753"/>
        <v>21</v>
      </c>
      <c r="BX543" s="3" t="s">
        <v>407</v>
      </c>
    </row>
    <row r="544" spans="1:76">
      <c r="A544" s="1" t="s">
        <v>1035</v>
      </c>
      <c r="B544" s="2" t="s">
        <v>990</v>
      </c>
      <c r="C544" s="2" t="s">
        <v>189</v>
      </c>
      <c r="D544" s="349" t="s">
        <v>190</v>
      </c>
      <c r="E544" s="342"/>
      <c r="F544" s="2" t="s">
        <v>63</v>
      </c>
      <c r="G544" s="12" t="e">
        <f>#REF!</f>
        <v>#REF!</v>
      </c>
      <c r="H544" s="12" t="e">
        <f>#REF!</f>
        <v>#REF!</v>
      </c>
      <c r="I544" s="49" t="s">
        <v>554</v>
      </c>
      <c r="J544" s="12" t="e">
        <f t="shared" si="728"/>
        <v>#REF!</v>
      </c>
      <c r="K544" s="12" t="e">
        <f t="shared" si="729"/>
        <v>#REF!</v>
      </c>
      <c r="L544" s="12" t="e">
        <f t="shared" si="730"/>
        <v>#REF!</v>
      </c>
      <c r="M544" s="12" t="e">
        <f t="shared" si="731"/>
        <v>#REF!</v>
      </c>
      <c r="N544" s="12">
        <v>0</v>
      </c>
      <c r="O544" s="12" t="e">
        <f t="shared" si="732"/>
        <v>#REF!</v>
      </c>
      <c r="P544" s="50" t="s">
        <v>21</v>
      </c>
      <c r="Z544" s="12">
        <f t="shared" si="733"/>
        <v>0</v>
      </c>
      <c r="AB544" s="12">
        <f t="shared" si="734"/>
        <v>0</v>
      </c>
      <c r="AC544" s="12">
        <f t="shared" si="735"/>
        <v>0</v>
      </c>
      <c r="AD544" s="12" t="e">
        <f t="shared" si="736"/>
        <v>#REF!</v>
      </c>
      <c r="AE544" s="12" t="e">
        <f t="shared" si="737"/>
        <v>#REF!</v>
      </c>
      <c r="AF544" s="12">
        <f t="shared" si="738"/>
        <v>0</v>
      </c>
      <c r="AG544" s="12">
        <f t="shared" si="739"/>
        <v>0</v>
      </c>
      <c r="AH544" s="12">
        <f t="shared" si="740"/>
        <v>0</v>
      </c>
      <c r="AI544" s="10" t="s">
        <v>990</v>
      </c>
      <c r="AJ544" s="12">
        <f t="shared" si="741"/>
        <v>0</v>
      </c>
      <c r="AK544" s="12">
        <f t="shared" si="742"/>
        <v>0</v>
      </c>
      <c r="AL544" s="12" t="e">
        <f t="shared" si="743"/>
        <v>#REF!</v>
      </c>
      <c r="AN544" s="12">
        <v>21</v>
      </c>
      <c r="AO544" s="12" t="e">
        <f>H544*0</f>
        <v>#REF!</v>
      </c>
      <c r="AP544" s="12" t="e">
        <f>H544*(1-0)</f>
        <v>#REF!</v>
      </c>
      <c r="AQ544" s="49" t="s">
        <v>567</v>
      </c>
      <c r="AV544" s="12" t="e">
        <f t="shared" si="744"/>
        <v>#REF!</v>
      </c>
      <c r="AW544" s="12" t="e">
        <f t="shared" si="745"/>
        <v>#REF!</v>
      </c>
      <c r="AX544" s="12" t="e">
        <f t="shared" si="746"/>
        <v>#REF!</v>
      </c>
      <c r="AY544" s="49" t="s">
        <v>588</v>
      </c>
      <c r="AZ544" s="49" t="s">
        <v>1020</v>
      </c>
      <c r="BA544" s="10" t="s">
        <v>993</v>
      </c>
      <c r="BC544" s="12" t="e">
        <f t="shared" si="747"/>
        <v>#REF!</v>
      </c>
      <c r="BD544" s="12" t="e">
        <f t="shared" si="748"/>
        <v>#REF!</v>
      </c>
      <c r="BE544" s="12">
        <v>0</v>
      </c>
      <c r="BF544" s="12" t="e">
        <f t="shared" si="749"/>
        <v>#REF!</v>
      </c>
      <c r="BH544" s="12" t="e">
        <f t="shared" si="750"/>
        <v>#REF!</v>
      </c>
      <c r="BI544" s="12" t="e">
        <f t="shared" si="751"/>
        <v>#REF!</v>
      </c>
      <c r="BJ544" s="12" t="e">
        <f t="shared" si="752"/>
        <v>#REF!</v>
      </c>
      <c r="BK544" s="12"/>
      <c r="BL544" s="12">
        <v>733</v>
      </c>
      <c r="BW544" s="12" t="str">
        <f t="shared" si="753"/>
        <v>21</v>
      </c>
      <c r="BX544" s="3" t="s">
        <v>190</v>
      </c>
    </row>
    <row r="545" spans="1:76">
      <c r="A545" s="1" t="s">
        <v>1036</v>
      </c>
      <c r="B545" s="2" t="s">
        <v>990</v>
      </c>
      <c r="C545" s="2" t="s">
        <v>408</v>
      </c>
      <c r="D545" s="349" t="s">
        <v>409</v>
      </c>
      <c r="E545" s="342"/>
      <c r="F545" s="2" t="s">
        <v>63</v>
      </c>
      <c r="G545" s="12" t="e">
        <f>#REF!</f>
        <v>#REF!</v>
      </c>
      <c r="H545" s="12" t="e">
        <f>#REF!</f>
        <v>#REF!</v>
      </c>
      <c r="I545" s="49" t="s">
        <v>554</v>
      </c>
      <c r="J545" s="12" t="e">
        <f t="shared" si="728"/>
        <v>#REF!</v>
      </c>
      <c r="K545" s="12" t="e">
        <f t="shared" si="729"/>
        <v>#REF!</v>
      </c>
      <c r="L545" s="12" t="e">
        <f t="shared" si="730"/>
        <v>#REF!</v>
      </c>
      <c r="M545" s="12" t="e">
        <f t="shared" si="731"/>
        <v>#REF!</v>
      </c>
      <c r="N545" s="12">
        <v>1.23E-3</v>
      </c>
      <c r="O545" s="12" t="e">
        <f t="shared" si="732"/>
        <v>#REF!</v>
      </c>
      <c r="P545" s="50" t="s">
        <v>577</v>
      </c>
      <c r="Z545" s="12">
        <f t="shared" si="733"/>
        <v>0</v>
      </c>
      <c r="AB545" s="12">
        <f t="shared" si="734"/>
        <v>0</v>
      </c>
      <c r="AC545" s="12">
        <f t="shared" si="735"/>
        <v>0</v>
      </c>
      <c r="AD545" s="12" t="e">
        <f t="shared" si="736"/>
        <v>#REF!</v>
      </c>
      <c r="AE545" s="12" t="e">
        <f t="shared" si="737"/>
        <v>#REF!</v>
      </c>
      <c r="AF545" s="12">
        <f t="shared" si="738"/>
        <v>0</v>
      </c>
      <c r="AG545" s="12">
        <f t="shared" si="739"/>
        <v>0</v>
      </c>
      <c r="AH545" s="12">
        <f t="shared" si="740"/>
        <v>0</v>
      </c>
      <c r="AI545" s="10" t="s">
        <v>990</v>
      </c>
      <c r="AJ545" s="12">
        <f t="shared" si="741"/>
        <v>0</v>
      </c>
      <c r="AK545" s="12">
        <f t="shared" si="742"/>
        <v>0</v>
      </c>
      <c r="AL545" s="12" t="e">
        <f t="shared" si="743"/>
        <v>#REF!</v>
      </c>
      <c r="AN545" s="12">
        <v>21</v>
      </c>
      <c r="AO545" s="12" t="e">
        <f>H545*1</f>
        <v>#REF!</v>
      </c>
      <c r="AP545" s="12" t="e">
        <f>H545*(1-1)</f>
        <v>#REF!</v>
      </c>
      <c r="AQ545" s="49" t="s">
        <v>567</v>
      </c>
      <c r="AV545" s="12" t="e">
        <f t="shared" si="744"/>
        <v>#REF!</v>
      </c>
      <c r="AW545" s="12" t="e">
        <f t="shared" si="745"/>
        <v>#REF!</v>
      </c>
      <c r="AX545" s="12" t="e">
        <f t="shared" si="746"/>
        <v>#REF!</v>
      </c>
      <c r="AY545" s="49" t="s">
        <v>588</v>
      </c>
      <c r="AZ545" s="49" t="s">
        <v>1020</v>
      </c>
      <c r="BA545" s="10" t="s">
        <v>993</v>
      </c>
      <c r="BC545" s="12" t="e">
        <f t="shared" si="747"/>
        <v>#REF!</v>
      </c>
      <c r="BD545" s="12" t="e">
        <f t="shared" si="748"/>
        <v>#REF!</v>
      </c>
      <c r="BE545" s="12">
        <v>0</v>
      </c>
      <c r="BF545" s="12" t="e">
        <f t="shared" si="749"/>
        <v>#REF!</v>
      </c>
      <c r="BH545" s="12" t="e">
        <f t="shared" si="750"/>
        <v>#REF!</v>
      </c>
      <c r="BI545" s="12" t="e">
        <f t="shared" si="751"/>
        <v>#REF!</v>
      </c>
      <c r="BJ545" s="12" t="e">
        <f t="shared" si="752"/>
        <v>#REF!</v>
      </c>
      <c r="BK545" s="12"/>
      <c r="BL545" s="12">
        <v>733</v>
      </c>
      <c r="BW545" s="12" t="str">
        <f t="shared" si="753"/>
        <v>21</v>
      </c>
      <c r="BX545" s="3" t="s">
        <v>409</v>
      </c>
    </row>
    <row r="546" spans="1:76">
      <c r="A546" s="1" t="s">
        <v>1037</v>
      </c>
      <c r="B546" s="2" t="s">
        <v>990</v>
      </c>
      <c r="C546" s="2" t="s">
        <v>410</v>
      </c>
      <c r="D546" s="349" t="s">
        <v>411</v>
      </c>
      <c r="E546" s="342"/>
      <c r="F546" s="2" t="s">
        <v>63</v>
      </c>
      <c r="G546" s="12" t="e">
        <f>#REF!</f>
        <v>#REF!</v>
      </c>
      <c r="H546" s="12" t="e">
        <f>#REF!</f>
        <v>#REF!</v>
      </c>
      <c r="I546" s="49" t="s">
        <v>554</v>
      </c>
      <c r="J546" s="12" t="e">
        <f t="shared" si="728"/>
        <v>#REF!</v>
      </c>
      <c r="K546" s="12" t="e">
        <f t="shared" si="729"/>
        <v>#REF!</v>
      </c>
      <c r="L546" s="12" t="e">
        <f t="shared" si="730"/>
        <v>#REF!</v>
      </c>
      <c r="M546" s="12" t="e">
        <f t="shared" si="731"/>
        <v>#REF!</v>
      </c>
      <c r="N546" s="12">
        <v>3.1E-4</v>
      </c>
      <c r="O546" s="12" t="e">
        <f t="shared" si="732"/>
        <v>#REF!</v>
      </c>
      <c r="P546" s="50" t="s">
        <v>577</v>
      </c>
      <c r="Z546" s="12">
        <f t="shared" si="733"/>
        <v>0</v>
      </c>
      <c r="AB546" s="12">
        <f t="shared" si="734"/>
        <v>0</v>
      </c>
      <c r="AC546" s="12">
        <f t="shared" si="735"/>
        <v>0</v>
      </c>
      <c r="AD546" s="12" t="e">
        <f t="shared" si="736"/>
        <v>#REF!</v>
      </c>
      <c r="AE546" s="12" t="e">
        <f t="shared" si="737"/>
        <v>#REF!</v>
      </c>
      <c r="AF546" s="12">
        <f t="shared" si="738"/>
        <v>0</v>
      </c>
      <c r="AG546" s="12">
        <f t="shared" si="739"/>
        <v>0</v>
      </c>
      <c r="AH546" s="12">
        <f t="shared" si="740"/>
        <v>0</v>
      </c>
      <c r="AI546" s="10" t="s">
        <v>990</v>
      </c>
      <c r="AJ546" s="12">
        <f t="shared" si="741"/>
        <v>0</v>
      </c>
      <c r="AK546" s="12">
        <f t="shared" si="742"/>
        <v>0</v>
      </c>
      <c r="AL546" s="12" t="e">
        <f t="shared" si="743"/>
        <v>#REF!</v>
      </c>
      <c r="AN546" s="12">
        <v>21</v>
      </c>
      <c r="AO546" s="12" t="e">
        <f>H546*1</f>
        <v>#REF!</v>
      </c>
      <c r="AP546" s="12" t="e">
        <f>H546*(1-1)</f>
        <v>#REF!</v>
      </c>
      <c r="AQ546" s="49" t="s">
        <v>567</v>
      </c>
      <c r="AV546" s="12" t="e">
        <f t="shared" si="744"/>
        <v>#REF!</v>
      </c>
      <c r="AW546" s="12" t="e">
        <f t="shared" si="745"/>
        <v>#REF!</v>
      </c>
      <c r="AX546" s="12" t="e">
        <f t="shared" si="746"/>
        <v>#REF!</v>
      </c>
      <c r="AY546" s="49" t="s">
        <v>588</v>
      </c>
      <c r="AZ546" s="49" t="s">
        <v>1020</v>
      </c>
      <c r="BA546" s="10" t="s">
        <v>993</v>
      </c>
      <c r="BC546" s="12" t="e">
        <f t="shared" si="747"/>
        <v>#REF!</v>
      </c>
      <c r="BD546" s="12" t="e">
        <f t="shared" si="748"/>
        <v>#REF!</v>
      </c>
      <c r="BE546" s="12">
        <v>0</v>
      </c>
      <c r="BF546" s="12" t="e">
        <f t="shared" si="749"/>
        <v>#REF!</v>
      </c>
      <c r="BH546" s="12" t="e">
        <f t="shared" si="750"/>
        <v>#REF!</v>
      </c>
      <c r="BI546" s="12" t="e">
        <f t="shared" si="751"/>
        <v>#REF!</v>
      </c>
      <c r="BJ546" s="12" t="e">
        <f t="shared" si="752"/>
        <v>#REF!</v>
      </c>
      <c r="BK546" s="12"/>
      <c r="BL546" s="12">
        <v>733</v>
      </c>
      <c r="BW546" s="12" t="str">
        <f t="shared" si="753"/>
        <v>21</v>
      </c>
      <c r="BX546" s="3" t="s">
        <v>411</v>
      </c>
    </row>
    <row r="547" spans="1:76">
      <c r="A547" s="1" t="s">
        <v>1038</v>
      </c>
      <c r="B547" s="2" t="s">
        <v>990</v>
      </c>
      <c r="C547" s="2" t="s">
        <v>412</v>
      </c>
      <c r="D547" s="349" t="s">
        <v>413</v>
      </c>
      <c r="E547" s="342"/>
      <c r="F547" s="2" t="s">
        <v>63</v>
      </c>
      <c r="G547" s="12" t="e">
        <f>#REF!</f>
        <v>#REF!</v>
      </c>
      <c r="H547" s="12" t="e">
        <f>#REF!</f>
        <v>#REF!</v>
      </c>
      <c r="I547" s="49" t="s">
        <v>554</v>
      </c>
      <c r="J547" s="12" t="e">
        <f t="shared" si="728"/>
        <v>#REF!</v>
      </c>
      <c r="K547" s="12" t="e">
        <f t="shared" si="729"/>
        <v>#REF!</v>
      </c>
      <c r="L547" s="12" t="e">
        <f t="shared" si="730"/>
        <v>#REF!</v>
      </c>
      <c r="M547" s="12" t="e">
        <f t="shared" si="731"/>
        <v>#REF!</v>
      </c>
      <c r="N547" s="12">
        <v>3.0000000000000001E-5</v>
      </c>
      <c r="O547" s="12" t="e">
        <f t="shared" si="732"/>
        <v>#REF!</v>
      </c>
      <c r="P547" s="50" t="s">
        <v>577</v>
      </c>
      <c r="Z547" s="12">
        <f t="shared" si="733"/>
        <v>0</v>
      </c>
      <c r="AB547" s="12">
        <f t="shared" si="734"/>
        <v>0</v>
      </c>
      <c r="AC547" s="12">
        <f t="shared" si="735"/>
        <v>0</v>
      </c>
      <c r="AD547" s="12" t="e">
        <f t="shared" si="736"/>
        <v>#REF!</v>
      </c>
      <c r="AE547" s="12" t="e">
        <f t="shared" si="737"/>
        <v>#REF!</v>
      </c>
      <c r="AF547" s="12">
        <f t="shared" si="738"/>
        <v>0</v>
      </c>
      <c r="AG547" s="12">
        <f t="shared" si="739"/>
        <v>0</v>
      </c>
      <c r="AH547" s="12">
        <f t="shared" si="740"/>
        <v>0</v>
      </c>
      <c r="AI547" s="10" t="s">
        <v>990</v>
      </c>
      <c r="AJ547" s="12">
        <f t="shared" si="741"/>
        <v>0</v>
      </c>
      <c r="AK547" s="12">
        <f t="shared" si="742"/>
        <v>0</v>
      </c>
      <c r="AL547" s="12" t="e">
        <f t="shared" si="743"/>
        <v>#REF!</v>
      </c>
      <c r="AN547" s="12">
        <v>21</v>
      </c>
      <c r="AO547" s="12" t="e">
        <f>H547*1</f>
        <v>#REF!</v>
      </c>
      <c r="AP547" s="12" t="e">
        <f>H547*(1-1)</f>
        <v>#REF!</v>
      </c>
      <c r="AQ547" s="49" t="s">
        <v>567</v>
      </c>
      <c r="AV547" s="12" t="e">
        <f t="shared" si="744"/>
        <v>#REF!</v>
      </c>
      <c r="AW547" s="12" t="e">
        <f t="shared" si="745"/>
        <v>#REF!</v>
      </c>
      <c r="AX547" s="12" t="e">
        <f t="shared" si="746"/>
        <v>#REF!</v>
      </c>
      <c r="AY547" s="49" t="s">
        <v>588</v>
      </c>
      <c r="AZ547" s="49" t="s">
        <v>1020</v>
      </c>
      <c r="BA547" s="10" t="s">
        <v>993</v>
      </c>
      <c r="BC547" s="12" t="e">
        <f t="shared" si="747"/>
        <v>#REF!</v>
      </c>
      <c r="BD547" s="12" t="e">
        <f t="shared" si="748"/>
        <v>#REF!</v>
      </c>
      <c r="BE547" s="12">
        <v>0</v>
      </c>
      <c r="BF547" s="12" t="e">
        <f t="shared" si="749"/>
        <v>#REF!</v>
      </c>
      <c r="BH547" s="12" t="e">
        <f t="shared" si="750"/>
        <v>#REF!</v>
      </c>
      <c r="BI547" s="12" t="e">
        <f t="shared" si="751"/>
        <v>#REF!</v>
      </c>
      <c r="BJ547" s="12" t="e">
        <f t="shared" si="752"/>
        <v>#REF!</v>
      </c>
      <c r="BK547" s="12"/>
      <c r="BL547" s="12">
        <v>733</v>
      </c>
      <c r="BW547" s="12" t="str">
        <f t="shared" si="753"/>
        <v>21</v>
      </c>
      <c r="BX547" s="3" t="s">
        <v>413</v>
      </c>
    </row>
    <row r="548" spans="1:76">
      <c r="A548" s="46" t="s">
        <v>21</v>
      </c>
      <c r="B548" s="9" t="s">
        <v>990</v>
      </c>
      <c r="C548" s="9" t="s">
        <v>95</v>
      </c>
      <c r="D548" s="359" t="s">
        <v>96</v>
      </c>
      <c r="E548" s="360"/>
      <c r="F548" s="47" t="s">
        <v>20</v>
      </c>
      <c r="G548" s="47" t="s">
        <v>20</v>
      </c>
      <c r="H548" s="47" t="s">
        <v>20</v>
      </c>
      <c r="I548" s="47" t="s">
        <v>20</v>
      </c>
      <c r="J548" s="11" t="e">
        <f>SUM(J549:J563)</f>
        <v>#REF!</v>
      </c>
      <c r="K548" s="11" t="e">
        <f>SUM(K549:K563)</f>
        <v>#REF!</v>
      </c>
      <c r="L548" s="11" t="e">
        <f>SUM(L549:L563)</f>
        <v>#REF!</v>
      </c>
      <c r="M548" s="11" t="e">
        <f>SUM(M549:M563)</f>
        <v>#REF!</v>
      </c>
      <c r="N548" s="10" t="s">
        <v>21</v>
      </c>
      <c r="O548" s="11" t="e">
        <f>SUM(O549:O563)</f>
        <v>#REF!</v>
      </c>
      <c r="P548" s="48" t="s">
        <v>21</v>
      </c>
      <c r="AI548" s="10" t="s">
        <v>990</v>
      </c>
      <c r="AS548" s="11">
        <f>SUM(AJ549:AJ563)</f>
        <v>0</v>
      </c>
      <c r="AT548" s="11">
        <f>SUM(AK549:AK563)</f>
        <v>0</v>
      </c>
      <c r="AU548" s="11" t="e">
        <f>SUM(AL549:AL563)</f>
        <v>#REF!</v>
      </c>
    </row>
    <row r="549" spans="1:76">
      <c r="A549" s="1" t="s">
        <v>1039</v>
      </c>
      <c r="B549" s="2" t="s">
        <v>990</v>
      </c>
      <c r="C549" s="2" t="s">
        <v>99</v>
      </c>
      <c r="D549" s="349" t="s">
        <v>100</v>
      </c>
      <c r="E549" s="342"/>
      <c r="F549" s="2" t="s">
        <v>68</v>
      </c>
      <c r="G549" s="12" t="e">
        <f>#REF!</f>
        <v>#REF!</v>
      </c>
      <c r="H549" s="12" t="e">
        <f>#REF!</f>
        <v>#REF!</v>
      </c>
      <c r="I549" s="49" t="s">
        <v>554</v>
      </c>
      <c r="J549" s="12" t="e">
        <f t="shared" ref="J549:J563" si="754">G549*AO549</f>
        <v>#REF!</v>
      </c>
      <c r="K549" s="12" t="e">
        <f t="shared" ref="K549:K563" si="755">G549*AP549</f>
        <v>#REF!</v>
      </c>
      <c r="L549" s="12" t="e">
        <f t="shared" ref="L549:L563" si="756">G549*H549</f>
        <v>#REF!</v>
      </c>
      <c r="M549" s="12" t="e">
        <f t="shared" ref="M549:M563" si="757">L549*(1+BW549/100)</f>
        <v>#REF!</v>
      </c>
      <c r="N549" s="12">
        <v>3.7100000000000002E-3</v>
      </c>
      <c r="O549" s="12" t="e">
        <f t="shared" ref="O549:O563" si="758">G549*N549</f>
        <v>#REF!</v>
      </c>
      <c r="P549" s="50" t="s">
        <v>577</v>
      </c>
      <c r="Z549" s="12">
        <f t="shared" ref="Z549:Z563" si="759">IF(AQ549="5",BJ549,0)</f>
        <v>0</v>
      </c>
      <c r="AB549" s="12">
        <f t="shared" ref="AB549:AB563" si="760">IF(AQ549="1",BH549,0)</f>
        <v>0</v>
      </c>
      <c r="AC549" s="12">
        <f t="shared" ref="AC549:AC563" si="761">IF(AQ549="1",BI549,0)</f>
        <v>0</v>
      </c>
      <c r="AD549" s="12" t="e">
        <f t="shared" ref="AD549:AD563" si="762">IF(AQ549="7",BH549,0)</f>
        <v>#REF!</v>
      </c>
      <c r="AE549" s="12" t="e">
        <f t="shared" ref="AE549:AE563" si="763">IF(AQ549="7",BI549,0)</f>
        <v>#REF!</v>
      </c>
      <c r="AF549" s="12">
        <f t="shared" ref="AF549:AF563" si="764">IF(AQ549="2",BH549,0)</f>
        <v>0</v>
      </c>
      <c r="AG549" s="12">
        <f t="shared" ref="AG549:AG563" si="765">IF(AQ549="2",BI549,0)</f>
        <v>0</v>
      </c>
      <c r="AH549" s="12">
        <f t="shared" ref="AH549:AH563" si="766">IF(AQ549="0",BJ549,0)</f>
        <v>0</v>
      </c>
      <c r="AI549" s="10" t="s">
        <v>990</v>
      </c>
      <c r="AJ549" s="12">
        <f t="shared" ref="AJ549:AJ563" si="767">IF(AN549=0,L549,0)</f>
        <v>0</v>
      </c>
      <c r="AK549" s="12">
        <f t="shared" ref="AK549:AK563" si="768">IF(AN549=12,L549,0)</f>
        <v>0</v>
      </c>
      <c r="AL549" s="12" t="e">
        <f t="shared" ref="AL549:AL563" si="769">IF(AN549=21,L549,0)</f>
        <v>#REF!</v>
      </c>
      <c r="AN549" s="12">
        <v>21</v>
      </c>
      <c r="AO549" s="12" t="e">
        <f>H549*0.265479277</f>
        <v>#REF!</v>
      </c>
      <c r="AP549" s="12" t="e">
        <f>H549*(1-0.265479277)</f>
        <v>#REF!</v>
      </c>
      <c r="AQ549" s="49" t="s">
        <v>567</v>
      </c>
      <c r="AV549" s="12" t="e">
        <f t="shared" ref="AV549:AV563" si="770">AW549+AX549</f>
        <v>#REF!</v>
      </c>
      <c r="AW549" s="12" t="e">
        <f t="shared" ref="AW549:AW563" si="771">G549*AO549</f>
        <v>#REF!</v>
      </c>
      <c r="AX549" s="12" t="e">
        <f t="shared" ref="AX549:AX563" si="772">G549*AP549</f>
        <v>#REF!</v>
      </c>
      <c r="AY549" s="49" t="s">
        <v>593</v>
      </c>
      <c r="AZ549" s="49" t="s">
        <v>1020</v>
      </c>
      <c r="BA549" s="10" t="s">
        <v>993</v>
      </c>
      <c r="BC549" s="12" t="e">
        <f t="shared" ref="BC549:BC563" si="773">AW549+AX549</f>
        <v>#REF!</v>
      </c>
      <c r="BD549" s="12" t="e">
        <f t="shared" ref="BD549:BD563" si="774">H549/(100-BE549)*100</f>
        <v>#REF!</v>
      </c>
      <c r="BE549" s="12">
        <v>0</v>
      </c>
      <c r="BF549" s="12" t="e">
        <f t="shared" ref="BF549:BF563" si="775">O549</f>
        <v>#REF!</v>
      </c>
      <c r="BH549" s="12" t="e">
        <f t="shared" ref="BH549:BH563" si="776">G549*AO549</f>
        <v>#REF!</v>
      </c>
      <c r="BI549" s="12" t="e">
        <f t="shared" ref="BI549:BI563" si="777">G549*AP549</f>
        <v>#REF!</v>
      </c>
      <c r="BJ549" s="12" t="e">
        <f t="shared" ref="BJ549:BJ563" si="778">G549*H549</f>
        <v>#REF!</v>
      </c>
      <c r="BK549" s="12"/>
      <c r="BL549" s="12">
        <v>734</v>
      </c>
      <c r="BW549" s="12" t="str">
        <f t="shared" ref="BW549:BW563" si="779">I549</f>
        <v>21</v>
      </c>
      <c r="BX549" s="3" t="s">
        <v>100</v>
      </c>
    </row>
    <row r="550" spans="1:76">
      <c r="A550" s="1" t="s">
        <v>1040</v>
      </c>
      <c r="B550" s="2" t="s">
        <v>990</v>
      </c>
      <c r="C550" s="2" t="s">
        <v>97</v>
      </c>
      <c r="D550" s="349" t="s">
        <v>98</v>
      </c>
      <c r="E550" s="342"/>
      <c r="F550" s="2" t="s">
        <v>68</v>
      </c>
      <c r="G550" s="12" t="e">
        <f>#REF!</f>
        <v>#REF!</v>
      </c>
      <c r="H550" s="12" t="e">
        <f>#REF!</f>
        <v>#REF!</v>
      </c>
      <c r="I550" s="49" t="s">
        <v>554</v>
      </c>
      <c r="J550" s="12" t="e">
        <f t="shared" si="754"/>
        <v>#REF!</v>
      </c>
      <c r="K550" s="12" t="e">
        <f t="shared" si="755"/>
        <v>#REF!</v>
      </c>
      <c r="L550" s="12" t="e">
        <f t="shared" si="756"/>
        <v>#REF!</v>
      </c>
      <c r="M550" s="12" t="e">
        <f t="shared" si="757"/>
        <v>#REF!</v>
      </c>
      <c r="N550" s="12">
        <v>3.9019999999999999E-2</v>
      </c>
      <c r="O550" s="12" t="e">
        <f t="shared" si="758"/>
        <v>#REF!</v>
      </c>
      <c r="P550" s="50" t="s">
        <v>577</v>
      </c>
      <c r="Z550" s="12">
        <f t="shared" si="759"/>
        <v>0</v>
      </c>
      <c r="AB550" s="12">
        <f t="shared" si="760"/>
        <v>0</v>
      </c>
      <c r="AC550" s="12">
        <f t="shared" si="761"/>
        <v>0</v>
      </c>
      <c r="AD550" s="12" t="e">
        <f t="shared" si="762"/>
        <v>#REF!</v>
      </c>
      <c r="AE550" s="12" t="e">
        <f t="shared" si="763"/>
        <v>#REF!</v>
      </c>
      <c r="AF550" s="12">
        <f t="shared" si="764"/>
        <v>0</v>
      </c>
      <c r="AG550" s="12">
        <f t="shared" si="765"/>
        <v>0</v>
      </c>
      <c r="AH550" s="12">
        <f t="shared" si="766"/>
        <v>0</v>
      </c>
      <c r="AI550" s="10" t="s">
        <v>990</v>
      </c>
      <c r="AJ550" s="12">
        <f t="shared" si="767"/>
        <v>0</v>
      </c>
      <c r="AK550" s="12">
        <f t="shared" si="768"/>
        <v>0</v>
      </c>
      <c r="AL550" s="12" t="e">
        <f t="shared" si="769"/>
        <v>#REF!</v>
      </c>
      <c r="AN550" s="12">
        <v>21</v>
      </c>
      <c r="AO550" s="12" t="e">
        <f>H550*0.004836759</f>
        <v>#REF!</v>
      </c>
      <c r="AP550" s="12" t="e">
        <f>H550*(1-0.004836759)</f>
        <v>#REF!</v>
      </c>
      <c r="AQ550" s="49" t="s">
        <v>567</v>
      </c>
      <c r="AV550" s="12" t="e">
        <f t="shared" si="770"/>
        <v>#REF!</v>
      </c>
      <c r="AW550" s="12" t="e">
        <f t="shared" si="771"/>
        <v>#REF!</v>
      </c>
      <c r="AX550" s="12" t="e">
        <f t="shared" si="772"/>
        <v>#REF!</v>
      </c>
      <c r="AY550" s="49" t="s">
        <v>593</v>
      </c>
      <c r="AZ550" s="49" t="s">
        <v>1020</v>
      </c>
      <c r="BA550" s="10" t="s">
        <v>993</v>
      </c>
      <c r="BC550" s="12" t="e">
        <f t="shared" si="773"/>
        <v>#REF!</v>
      </c>
      <c r="BD550" s="12" t="e">
        <f t="shared" si="774"/>
        <v>#REF!</v>
      </c>
      <c r="BE550" s="12">
        <v>0</v>
      </c>
      <c r="BF550" s="12" t="e">
        <f t="shared" si="775"/>
        <v>#REF!</v>
      </c>
      <c r="BH550" s="12" t="e">
        <f t="shared" si="776"/>
        <v>#REF!</v>
      </c>
      <c r="BI550" s="12" t="e">
        <f t="shared" si="777"/>
        <v>#REF!</v>
      </c>
      <c r="BJ550" s="12" t="e">
        <f t="shared" si="778"/>
        <v>#REF!</v>
      </c>
      <c r="BK550" s="12"/>
      <c r="BL550" s="12">
        <v>734</v>
      </c>
      <c r="BW550" s="12" t="str">
        <f t="shared" si="779"/>
        <v>21</v>
      </c>
      <c r="BX550" s="3" t="s">
        <v>98</v>
      </c>
    </row>
    <row r="551" spans="1:76">
      <c r="A551" s="1" t="s">
        <v>1041</v>
      </c>
      <c r="B551" s="2" t="s">
        <v>990</v>
      </c>
      <c r="C551" s="2" t="s">
        <v>414</v>
      </c>
      <c r="D551" s="349" t="s">
        <v>415</v>
      </c>
      <c r="E551" s="342"/>
      <c r="F551" s="2" t="s">
        <v>68</v>
      </c>
      <c r="G551" s="12" t="e">
        <f>#REF!</f>
        <v>#REF!</v>
      </c>
      <c r="H551" s="12" t="e">
        <f>#REF!</f>
        <v>#REF!</v>
      </c>
      <c r="I551" s="49" t="s">
        <v>554</v>
      </c>
      <c r="J551" s="12" t="e">
        <f t="shared" si="754"/>
        <v>#REF!</v>
      </c>
      <c r="K551" s="12" t="e">
        <f t="shared" si="755"/>
        <v>#REF!</v>
      </c>
      <c r="L551" s="12" t="e">
        <f t="shared" si="756"/>
        <v>#REF!</v>
      </c>
      <c r="M551" s="12" t="e">
        <f t="shared" si="757"/>
        <v>#REF!</v>
      </c>
      <c r="N551" s="12">
        <v>1.6240000000000001E-2</v>
      </c>
      <c r="O551" s="12" t="e">
        <f t="shared" si="758"/>
        <v>#REF!</v>
      </c>
      <c r="P551" s="50" t="s">
        <v>577</v>
      </c>
      <c r="Z551" s="12">
        <f t="shared" si="759"/>
        <v>0</v>
      </c>
      <c r="AB551" s="12">
        <f t="shared" si="760"/>
        <v>0</v>
      </c>
      <c r="AC551" s="12">
        <f t="shared" si="761"/>
        <v>0</v>
      </c>
      <c r="AD551" s="12" t="e">
        <f t="shared" si="762"/>
        <v>#REF!</v>
      </c>
      <c r="AE551" s="12" t="e">
        <f t="shared" si="763"/>
        <v>#REF!</v>
      </c>
      <c r="AF551" s="12">
        <f t="shared" si="764"/>
        <v>0</v>
      </c>
      <c r="AG551" s="12">
        <f t="shared" si="765"/>
        <v>0</v>
      </c>
      <c r="AH551" s="12">
        <f t="shared" si="766"/>
        <v>0</v>
      </c>
      <c r="AI551" s="10" t="s">
        <v>990</v>
      </c>
      <c r="AJ551" s="12">
        <f t="shared" si="767"/>
        <v>0</v>
      </c>
      <c r="AK551" s="12">
        <f t="shared" si="768"/>
        <v>0</v>
      </c>
      <c r="AL551" s="12" t="e">
        <f t="shared" si="769"/>
        <v>#REF!</v>
      </c>
      <c r="AN551" s="12">
        <v>21</v>
      </c>
      <c r="AO551" s="12" t="e">
        <f>H551*0.917229599</f>
        <v>#REF!</v>
      </c>
      <c r="AP551" s="12" t="e">
        <f>H551*(1-0.917229599)</f>
        <v>#REF!</v>
      </c>
      <c r="AQ551" s="49" t="s">
        <v>567</v>
      </c>
      <c r="AV551" s="12" t="e">
        <f t="shared" si="770"/>
        <v>#REF!</v>
      </c>
      <c r="AW551" s="12" t="e">
        <f t="shared" si="771"/>
        <v>#REF!</v>
      </c>
      <c r="AX551" s="12" t="e">
        <f t="shared" si="772"/>
        <v>#REF!</v>
      </c>
      <c r="AY551" s="49" t="s">
        <v>593</v>
      </c>
      <c r="AZ551" s="49" t="s">
        <v>1020</v>
      </c>
      <c r="BA551" s="10" t="s">
        <v>993</v>
      </c>
      <c r="BC551" s="12" t="e">
        <f t="shared" si="773"/>
        <v>#REF!</v>
      </c>
      <c r="BD551" s="12" t="e">
        <f t="shared" si="774"/>
        <v>#REF!</v>
      </c>
      <c r="BE551" s="12">
        <v>0</v>
      </c>
      <c r="BF551" s="12" t="e">
        <f t="shared" si="775"/>
        <v>#REF!</v>
      </c>
      <c r="BH551" s="12" t="e">
        <f t="shared" si="776"/>
        <v>#REF!</v>
      </c>
      <c r="BI551" s="12" t="e">
        <f t="shared" si="777"/>
        <v>#REF!</v>
      </c>
      <c r="BJ551" s="12" t="e">
        <f t="shared" si="778"/>
        <v>#REF!</v>
      </c>
      <c r="BK551" s="12"/>
      <c r="BL551" s="12">
        <v>734</v>
      </c>
      <c r="BW551" s="12" t="str">
        <f t="shared" si="779"/>
        <v>21</v>
      </c>
      <c r="BX551" s="3" t="s">
        <v>415</v>
      </c>
    </row>
    <row r="552" spans="1:76">
      <c r="A552" s="1" t="s">
        <v>1042</v>
      </c>
      <c r="B552" s="2" t="s">
        <v>990</v>
      </c>
      <c r="C552" s="2" t="s">
        <v>416</v>
      </c>
      <c r="D552" s="349" t="s">
        <v>417</v>
      </c>
      <c r="E552" s="342"/>
      <c r="F552" s="2" t="s">
        <v>68</v>
      </c>
      <c r="G552" s="12" t="e">
        <f>#REF!</f>
        <v>#REF!</v>
      </c>
      <c r="H552" s="12" t="e">
        <f>#REF!</f>
        <v>#REF!</v>
      </c>
      <c r="I552" s="49" t="s">
        <v>554</v>
      </c>
      <c r="J552" s="12" t="e">
        <f t="shared" si="754"/>
        <v>#REF!</v>
      </c>
      <c r="K552" s="12" t="e">
        <f t="shared" si="755"/>
        <v>#REF!</v>
      </c>
      <c r="L552" s="12" t="e">
        <f t="shared" si="756"/>
        <v>#REF!</v>
      </c>
      <c r="M552" s="12" t="e">
        <f t="shared" si="757"/>
        <v>#REF!</v>
      </c>
      <c r="N552" s="12">
        <v>7.2999999999999996E-4</v>
      </c>
      <c r="O552" s="12" t="e">
        <f t="shared" si="758"/>
        <v>#REF!</v>
      </c>
      <c r="P552" s="50" t="s">
        <v>577</v>
      </c>
      <c r="Z552" s="12">
        <f t="shared" si="759"/>
        <v>0</v>
      </c>
      <c r="AB552" s="12">
        <f t="shared" si="760"/>
        <v>0</v>
      </c>
      <c r="AC552" s="12">
        <f t="shared" si="761"/>
        <v>0</v>
      </c>
      <c r="AD552" s="12" t="e">
        <f t="shared" si="762"/>
        <v>#REF!</v>
      </c>
      <c r="AE552" s="12" t="e">
        <f t="shared" si="763"/>
        <v>#REF!</v>
      </c>
      <c r="AF552" s="12">
        <f t="shared" si="764"/>
        <v>0</v>
      </c>
      <c r="AG552" s="12">
        <f t="shared" si="765"/>
        <v>0</v>
      </c>
      <c r="AH552" s="12">
        <f t="shared" si="766"/>
        <v>0</v>
      </c>
      <c r="AI552" s="10" t="s">
        <v>990</v>
      </c>
      <c r="AJ552" s="12">
        <f t="shared" si="767"/>
        <v>0</v>
      </c>
      <c r="AK552" s="12">
        <f t="shared" si="768"/>
        <v>0</v>
      </c>
      <c r="AL552" s="12" t="e">
        <f t="shared" si="769"/>
        <v>#REF!</v>
      </c>
      <c r="AN552" s="12">
        <v>21</v>
      </c>
      <c r="AO552" s="12" t="e">
        <f>H552*0.690255754</f>
        <v>#REF!</v>
      </c>
      <c r="AP552" s="12" t="e">
        <f>H552*(1-0.690255754)</f>
        <v>#REF!</v>
      </c>
      <c r="AQ552" s="49" t="s">
        <v>567</v>
      </c>
      <c r="AV552" s="12" t="e">
        <f t="shared" si="770"/>
        <v>#REF!</v>
      </c>
      <c r="AW552" s="12" t="e">
        <f t="shared" si="771"/>
        <v>#REF!</v>
      </c>
      <c r="AX552" s="12" t="e">
        <f t="shared" si="772"/>
        <v>#REF!</v>
      </c>
      <c r="AY552" s="49" t="s">
        <v>593</v>
      </c>
      <c r="AZ552" s="49" t="s">
        <v>1020</v>
      </c>
      <c r="BA552" s="10" t="s">
        <v>993</v>
      </c>
      <c r="BC552" s="12" t="e">
        <f t="shared" si="773"/>
        <v>#REF!</v>
      </c>
      <c r="BD552" s="12" t="e">
        <f t="shared" si="774"/>
        <v>#REF!</v>
      </c>
      <c r="BE552" s="12">
        <v>0</v>
      </c>
      <c r="BF552" s="12" t="e">
        <f t="shared" si="775"/>
        <v>#REF!</v>
      </c>
      <c r="BH552" s="12" t="e">
        <f t="shared" si="776"/>
        <v>#REF!</v>
      </c>
      <c r="BI552" s="12" t="e">
        <f t="shared" si="777"/>
        <v>#REF!</v>
      </c>
      <c r="BJ552" s="12" t="e">
        <f t="shared" si="778"/>
        <v>#REF!</v>
      </c>
      <c r="BK552" s="12"/>
      <c r="BL552" s="12">
        <v>734</v>
      </c>
      <c r="BW552" s="12" t="str">
        <f t="shared" si="779"/>
        <v>21</v>
      </c>
      <c r="BX552" s="3" t="s">
        <v>417</v>
      </c>
    </row>
    <row r="553" spans="1:76">
      <c r="A553" s="1" t="s">
        <v>1043</v>
      </c>
      <c r="B553" s="2" t="s">
        <v>990</v>
      </c>
      <c r="C553" s="2" t="s">
        <v>418</v>
      </c>
      <c r="D553" s="349" t="s">
        <v>419</v>
      </c>
      <c r="E553" s="342"/>
      <c r="F553" s="2" t="s">
        <v>68</v>
      </c>
      <c r="G553" s="12" t="e">
        <f>#REF!</f>
        <v>#REF!</v>
      </c>
      <c r="H553" s="12" t="e">
        <f>#REF!</f>
        <v>#REF!</v>
      </c>
      <c r="I553" s="49" t="s">
        <v>554</v>
      </c>
      <c r="J553" s="12" t="e">
        <f t="shared" si="754"/>
        <v>#REF!</v>
      </c>
      <c r="K553" s="12" t="e">
        <f t="shared" si="755"/>
        <v>#REF!</v>
      </c>
      <c r="L553" s="12" t="e">
        <f t="shared" si="756"/>
        <v>#REF!</v>
      </c>
      <c r="M553" s="12" t="e">
        <f t="shared" si="757"/>
        <v>#REF!</v>
      </c>
      <c r="N553" s="12">
        <v>2.5699999999999998E-3</v>
      </c>
      <c r="O553" s="12" t="e">
        <f t="shared" si="758"/>
        <v>#REF!</v>
      </c>
      <c r="P553" s="50" t="s">
        <v>605</v>
      </c>
      <c r="Z553" s="12">
        <f t="shared" si="759"/>
        <v>0</v>
      </c>
      <c r="AB553" s="12">
        <f t="shared" si="760"/>
        <v>0</v>
      </c>
      <c r="AC553" s="12">
        <f t="shared" si="761"/>
        <v>0</v>
      </c>
      <c r="AD553" s="12" t="e">
        <f t="shared" si="762"/>
        <v>#REF!</v>
      </c>
      <c r="AE553" s="12" t="e">
        <f t="shared" si="763"/>
        <v>#REF!</v>
      </c>
      <c r="AF553" s="12">
        <f t="shared" si="764"/>
        <v>0</v>
      </c>
      <c r="AG553" s="12">
        <f t="shared" si="765"/>
        <v>0</v>
      </c>
      <c r="AH553" s="12">
        <f t="shared" si="766"/>
        <v>0</v>
      </c>
      <c r="AI553" s="10" t="s">
        <v>990</v>
      </c>
      <c r="AJ553" s="12">
        <f t="shared" si="767"/>
        <v>0</v>
      </c>
      <c r="AK553" s="12">
        <f t="shared" si="768"/>
        <v>0</v>
      </c>
      <c r="AL553" s="12" t="e">
        <f t="shared" si="769"/>
        <v>#REF!</v>
      </c>
      <c r="AN553" s="12">
        <v>21</v>
      </c>
      <c r="AO553" s="12" t="e">
        <f>H553*0.893467249</f>
        <v>#REF!</v>
      </c>
      <c r="AP553" s="12" t="e">
        <f>H553*(1-0.893467249)</f>
        <v>#REF!</v>
      </c>
      <c r="AQ553" s="49" t="s">
        <v>567</v>
      </c>
      <c r="AV553" s="12" t="e">
        <f t="shared" si="770"/>
        <v>#REF!</v>
      </c>
      <c r="AW553" s="12" t="e">
        <f t="shared" si="771"/>
        <v>#REF!</v>
      </c>
      <c r="AX553" s="12" t="e">
        <f t="shared" si="772"/>
        <v>#REF!</v>
      </c>
      <c r="AY553" s="49" t="s">
        <v>593</v>
      </c>
      <c r="AZ553" s="49" t="s">
        <v>1020</v>
      </c>
      <c r="BA553" s="10" t="s">
        <v>993</v>
      </c>
      <c r="BC553" s="12" t="e">
        <f t="shared" si="773"/>
        <v>#REF!</v>
      </c>
      <c r="BD553" s="12" t="e">
        <f t="shared" si="774"/>
        <v>#REF!</v>
      </c>
      <c r="BE553" s="12">
        <v>0</v>
      </c>
      <c r="BF553" s="12" t="e">
        <f t="shared" si="775"/>
        <v>#REF!</v>
      </c>
      <c r="BH553" s="12" t="e">
        <f t="shared" si="776"/>
        <v>#REF!</v>
      </c>
      <c r="BI553" s="12" t="e">
        <f t="shared" si="777"/>
        <v>#REF!</v>
      </c>
      <c r="BJ553" s="12" t="e">
        <f t="shared" si="778"/>
        <v>#REF!</v>
      </c>
      <c r="BK553" s="12"/>
      <c r="BL553" s="12">
        <v>734</v>
      </c>
      <c r="BW553" s="12" t="str">
        <f t="shared" si="779"/>
        <v>21</v>
      </c>
      <c r="BX553" s="3" t="s">
        <v>419</v>
      </c>
    </row>
    <row r="554" spans="1:76">
      <c r="A554" s="1" t="s">
        <v>1044</v>
      </c>
      <c r="B554" s="2" t="s">
        <v>990</v>
      </c>
      <c r="C554" s="2" t="s">
        <v>420</v>
      </c>
      <c r="D554" s="349" t="s">
        <v>421</v>
      </c>
      <c r="E554" s="342"/>
      <c r="F554" s="2" t="s">
        <v>68</v>
      </c>
      <c r="G554" s="12" t="e">
        <f>#REF!</f>
        <v>#REF!</v>
      </c>
      <c r="H554" s="12" t="e">
        <f>#REF!</f>
        <v>#REF!</v>
      </c>
      <c r="I554" s="49" t="s">
        <v>554</v>
      </c>
      <c r="J554" s="12" t="e">
        <f t="shared" si="754"/>
        <v>#REF!</v>
      </c>
      <c r="K554" s="12" t="e">
        <f t="shared" si="755"/>
        <v>#REF!</v>
      </c>
      <c r="L554" s="12" t="e">
        <f t="shared" si="756"/>
        <v>#REF!</v>
      </c>
      <c r="M554" s="12" t="e">
        <f t="shared" si="757"/>
        <v>#REF!</v>
      </c>
      <c r="N554" s="12">
        <v>1.6240000000000001E-2</v>
      </c>
      <c r="O554" s="12" t="e">
        <f t="shared" si="758"/>
        <v>#REF!</v>
      </c>
      <c r="P554" s="50" t="s">
        <v>577</v>
      </c>
      <c r="Z554" s="12">
        <f t="shared" si="759"/>
        <v>0</v>
      </c>
      <c r="AB554" s="12">
        <f t="shared" si="760"/>
        <v>0</v>
      </c>
      <c r="AC554" s="12">
        <f t="shared" si="761"/>
        <v>0</v>
      </c>
      <c r="AD554" s="12" t="e">
        <f t="shared" si="762"/>
        <v>#REF!</v>
      </c>
      <c r="AE554" s="12" t="e">
        <f t="shared" si="763"/>
        <v>#REF!</v>
      </c>
      <c r="AF554" s="12">
        <f t="shared" si="764"/>
        <v>0</v>
      </c>
      <c r="AG554" s="12">
        <f t="shared" si="765"/>
        <v>0</v>
      </c>
      <c r="AH554" s="12">
        <f t="shared" si="766"/>
        <v>0</v>
      </c>
      <c r="AI554" s="10" t="s">
        <v>990</v>
      </c>
      <c r="AJ554" s="12">
        <f t="shared" si="767"/>
        <v>0</v>
      </c>
      <c r="AK554" s="12">
        <f t="shared" si="768"/>
        <v>0</v>
      </c>
      <c r="AL554" s="12" t="e">
        <f t="shared" si="769"/>
        <v>#REF!</v>
      </c>
      <c r="AN554" s="12">
        <v>21</v>
      </c>
      <c r="AO554" s="12" t="e">
        <f>H554*0.93908603</f>
        <v>#REF!</v>
      </c>
      <c r="AP554" s="12" t="e">
        <f>H554*(1-0.93908603)</f>
        <v>#REF!</v>
      </c>
      <c r="AQ554" s="49" t="s">
        <v>567</v>
      </c>
      <c r="AV554" s="12" t="e">
        <f t="shared" si="770"/>
        <v>#REF!</v>
      </c>
      <c r="AW554" s="12" t="e">
        <f t="shared" si="771"/>
        <v>#REF!</v>
      </c>
      <c r="AX554" s="12" t="e">
        <f t="shared" si="772"/>
        <v>#REF!</v>
      </c>
      <c r="AY554" s="49" t="s">
        <v>593</v>
      </c>
      <c r="AZ554" s="49" t="s">
        <v>1020</v>
      </c>
      <c r="BA554" s="10" t="s">
        <v>993</v>
      </c>
      <c r="BC554" s="12" t="e">
        <f t="shared" si="773"/>
        <v>#REF!</v>
      </c>
      <c r="BD554" s="12" t="e">
        <f t="shared" si="774"/>
        <v>#REF!</v>
      </c>
      <c r="BE554" s="12">
        <v>0</v>
      </c>
      <c r="BF554" s="12" t="e">
        <f t="shared" si="775"/>
        <v>#REF!</v>
      </c>
      <c r="BH554" s="12" t="e">
        <f t="shared" si="776"/>
        <v>#REF!</v>
      </c>
      <c r="BI554" s="12" t="e">
        <f t="shared" si="777"/>
        <v>#REF!</v>
      </c>
      <c r="BJ554" s="12" t="e">
        <f t="shared" si="778"/>
        <v>#REF!</v>
      </c>
      <c r="BK554" s="12"/>
      <c r="BL554" s="12">
        <v>734</v>
      </c>
      <c r="BW554" s="12" t="str">
        <f t="shared" si="779"/>
        <v>21</v>
      </c>
      <c r="BX554" s="3" t="s">
        <v>421</v>
      </c>
    </row>
    <row r="555" spans="1:76">
      <c r="A555" s="1" t="s">
        <v>1045</v>
      </c>
      <c r="B555" s="2" t="s">
        <v>990</v>
      </c>
      <c r="C555" s="2" t="s">
        <v>422</v>
      </c>
      <c r="D555" s="349" t="s">
        <v>423</v>
      </c>
      <c r="E555" s="342"/>
      <c r="F555" s="2" t="s">
        <v>68</v>
      </c>
      <c r="G555" s="12" t="e">
        <f>#REF!</f>
        <v>#REF!</v>
      </c>
      <c r="H555" s="12" t="e">
        <f>#REF!</f>
        <v>#REF!</v>
      </c>
      <c r="I555" s="49" t="s">
        <v>554</v>
      </c>
      <c r="J555" s="12" t="e">
        <f t="shared" si="754"/>
        <v>#REF!</v>
      </c>
      <c r="K555" s="12" t="e">
        <f t="shared" si="755"/>
        <v>#REF!</v>
      </c>
      <c r="L555" s="12" t="e">
        <f t="shared" si="756"/>
        <v>#REF!</v>
      </c>
      <c r="M555" s="12" t="e">
        <f t="shared" si="757"/>
        <v>#REF!</v>
      </c>
      <c r="N555" s="12">
        <v>4.6999999999999999E-4</v>
      </c>
      <c r="O555" s="12" t="e">
        <f t="shared" si="758"/>
        <v>#REF!</v>
      </c>
      <c r="P555" s="50" t="s">
        <v>577</v>
      </c>
      <c r="Z555" s="12">
        <f t="shared" si="759"/>
        <v>0</v>
      </c>
      <c r="AB555" s="12">
        <f t="shared" si="760"/>
        <v>0</v>
      </c>
      <c r="AC555" s="12">
        <f t="shared" si="761"/>
        <v>0</v>
      </c>
      <c r="AD555" s="12" t="e">
        <f t="shared" si="762"/>
        <v>#REF!</v>
      </c>
      <c r="AE555" s="12" t="e">
        <f t="shared" si="763"/>
        <v>#REF!</v>
      </c>
      <c r="AF555" s="12">
        <f t="shared" si="764"/>
        <v>0</v>
      </c>
      <c r="AG555" s="12">
        <f t="shared" si="765"/>
        <v>0</v>
      </c>
      <c r="AH555" s="12">
        <f t="shared" si="766"/>
        <v>0</v>
      </c>
      <c r="AI555" s="10" t="s">
        <v>990</v>
      </c>
      <c r="AJ555" s="12">
        <f t="shared" si="767"/>
        <v>0</v>
      </c>
      <c r="AK555" s="12">
        <f t="shared" si="768"/>
        <v>0</v>
      </c>
      <c r="AL555" s="12" t="e">
        <f t="shared" si="769"/>
        <v>#REF!</v>
      </c>
      <c r="AN555" s="12">
        <v>21</v>
      </c>
      <c r="AO555" s="12" t="e">
        <f>H555*0.903664796</f>
        <v>#REF!</v>
      </c>
      <c r="AP555" s="12" t="e">
        <f>H555*(1-0.903664796)</f>
        <v>#REF!</v>
      </c>
      <c r="AQ555" s="49" t="s">
        <v>567</v>
      </c>
      <c r="AV555" s="12" t="e">
        <f t="shared" si="770"/>
        <v>#REF!</v>
      </c>
      <c r="AW555" s="12" t="e">
        <f t="shared" si="771"/>
        <v>#REF!</v>
      </c>
      <c r="AX555" s="12" t="e">
        <f t="shared" si="772"/>
        <v>#REF!</v>
      </c>
      <c r="AY555" s="49" t="s">
        <v>593</v>
      </c>
      <c r="AZ555" s="49" t="s">
        <v>1020</v>
      </c>
      <c r="BA555" s="10" t="s">
        <v>993</v>
      </c>
      <c r="BC555" s="12" t="e">
        <f t="shared" si="773"/>
        <v>#REF!</v>
      </c>
      <c r="BD555" s="12" t="e">
        <f t="shared" si="774"/>
        <v>#REF!</v>
      </c>
      <c r="BE555" s="12">
        <v>0</v>
      </c>
      <c r="BF555" s="12" t="e">
        <f t="shared" si="775"/>
        <v>#REF!</v>
      </c>
      <c r="BH555" s="12" t="e">
        <f t="shared" si="776"/>
        <v>#REF!</v>
      </c>
      <c r="BI555" s="12" t="e">
        <f t="shared" si="777"/>
        <v>#REF!</v>
      </c>
      <c r="BJ555" s="12" t="e">
        <f t="shared" si="778"/>
        <v>#REF!</v>
      </c>
      <c r="BK555" s="12"/>
      <c r="BL555" s="12">
        <v>734</v>
      </c>
      <c r="BW555" s="12" t="str">
        <f t="shared" si="779"/>
        <v>21</v>
      </c>
      <c r="BX555" s="3" t="s">
        <v>423</v>
      </c>
    </row>
    <row r="556" spans="1:76">
      <c r="A556" s="1" t="s">
        <v>1046</v>
      </c>
      <c r="B556" s="2" t="s">
        <v>990</v>
      </c>
      <c r="C556" s="2" t="s">
        <v>424</v>
      </c>
      <c r="D556" s="349" t="s">
        <v>425</v>
      </c>
      <c r="E556" s="342"/>
      <c r="F556" s="2" t="s">
        <v>68</v>
      </c>
      <c r="G556" s="12" t="e">
        <f>#REF!</f>
        <v>#REF!</v>
      </c>
      <c r="H556" s="12" t="e">
        <f>#REF!</f>
        <v>#REF!</v>
      </c>
      <c r="I556" s="49" t="s">
        <v>554</v>
      </c>
      <c r="J556" s="12" t="e">
        <f t="shared" si="754"/>
        <v>#REF!</v>
      </c>
      <c r="K556" s="12" t="e">
        <f t="shared" si="755"/>
        <v>#REF!</v>
      </c>
      <c r="L556" s="12" t="e">
        <f t="shared" si="756"/>
        <v>#REF!</v>
      </c>
      <c r="M556" s="12" t="e">
        <f t="shared" si="757"/>
        <v>#REF!</v>
      </c>
      <c r="N556" s="12">
        <v>5.1999999999999995E-4</v>
      </c>
      <c r="O556" s="12" t="e">
        <f t="shared" si="758"/>
        <v>#REF!</v>
      </c>
      <c r="P556" s="50" t="s">
        <v>605</v>
      </c>
      <c r="Z556" s="12">
        <f t="shared" si="759"/>
        <v>0</v>
      </c>
      <c r="AB556" s="12">
        <f t="shared" si="760"/>
        <v>0</v>
      </c>
      <c r="AC556" s="12">
        <f t="shared" si="761"/>
        <v>0</v>
      </c>
      <c r="AD556" s="12" t="e">
        <f t="shared" si="762"/>
        <v>#REF!</v>
      </c>
      <c r="AE556" s="12" t="e">
        <f t="shared" si="763"/>
        <v>#REF!</v>
      </c>
      <c r="AF556" s="12">
        <f t="shared" si="764"/>
        <v>0</v>
      </c>
      <c r="AG556" s="12">
        <f t="shared" si="765"/>
        <v>0</v>
      </c>
      <c r="AH556" s="12">
        <f t="shared" si="766"/>
        <v>0</v>
      </c>
      <c r="AI556" s="10" t="s">
        <v>990</v>
      </c>
      <c r="AJ556" s="12">
        <f t="shared" si="767"/>
        <v>0</v>
      </c>
      <c r="AK556" s="12">
        <f t="shared" si="768"/>
        <v>0</v>
      </c>
      <c r="AL556" s="12" t="e">
        <f t="shared" si="769"/>
        <v>#REF!</v>
      </c>
      <c r="AN556" s="12">
        <v>21</v>
      </c>
      <c r="AO556" s="12" t="e">
        <f>H556*0.869366701</f>
        <v>#REF!</v>
      </c>
      <c r="AP556" s="12" t="e">
        <f>H556*(1-0.869366701)</f>
        <v>#REF!</v>
      </c>
      <c r="AQ556" s="49" t="s">
        <v>567</v>
      </c>
      <c r="AV556" s="12" t="e">
        <f t="shared" si="770"/>
        <v>#REF!</v>
      </c>
      <c r="AW556" s="12" t="e">
        <f t="shared" si="771"/>
        <v>#REF!</v>
      </c>
      <c r="AX556" s="12" t="e">
        <f t="shared" si="772"/>
        <v>#REF!</v>
      </c>
      <c r="AY556" s="49" t="s">
        <v>593</v>
      </c>
      <c r="AZ556" s="49" t="s">
        <v>1020</v>
      </c>
      <c r="BA556" s="10" t="s">
        <v>993</v>
      </c>
      <c r="BC556" s="12" t="e">
        <f t="shared" si="773"/>
        <v>#REF!</v>
      </c>
      <c r="BD556" s="12" t="e">
        <f t="shared" si="774"/>
        <v>#REF!</v>
      </c>
      <c r="BE556" s="12">
        <v>0</v>
      </c>
      <c r="BF556" s="12" t="e">
        <f t="shared" si="775"/>
        <v>#REF!</v>
      </c>
      <c r="BH556" s="12" t="e">
        <f t="shared" si="776"/>
        <v>#REF!</v>
      </c>
      <c r="BI556" s="12" t="e">
        <f t="shared" si="777"/>
        <v>#REF!</v>
      </c>
      <c r="BJ556" s="12" t="e">
        <f t="shared" si="778"/>
        <v>#REF!</v>
      </c>
      <c r="BK556" s="12"/>
      <c r="BL556" s="12">
        <v>734</v>
      </c>
      <c r="BW556" s="12" t="str">
        <f t="shared" si="779"/>
        <v>21</v>
      </c>
      <c r="BX556" s="3" t="s">
        <v>425</v>
      </c>
    </row>
    <row r="557" spans="1:76">
      <c r="A557" s="1" t="s">
        <v>1047</v>
      </c>
      <c r="B557" s="2" t="s">
        <v>990</v>
      </c>
      <c r="C557" s="2" t="s">
        <v>426</v>
      </c>
      <c r="D557" s="349" t="s">
        <v>427</v>
      </c>
      <c r="E557" s="342"/>
      <c r="F557" s="2" t="s">
        <v>68</v>
      </c>
      <c r="G557" s="12" t="e">
        <f>#REF!</f>
        <v>#REF!</v>
      </c>
      <c r="H557" s="12" t="e">
        <f>#REF!</f>
        <v>#REF!</v>
      </c>
      <c r="I557" s="49" t="s">
        <v>554</v>
      </c>
      <c r="J557" s="12" t="e">
        <f t="shared" si="754"/>
        <v>#REF!</v>
      </c>
      <c r="K557" s="12" t="e">
        <f t="shared" si="755"/>
        <v>#REF!</v>
      </c>
      <c r="L557" s="12" t="e">
        <f t="shared" si="756"/>
        <v>#REF!</v>
      </c>
      <c r="M557" s="12" t="e">
        <f t="shared" si="757"/>
        <v>#REF!</v>
      </c>
      <c r="N557" s="12">
        <v>9.2000000000000003E-4</v>
      </c>
      <c r="O557" s="12" t="e">
        <f t="shared" si="758"/>
        <v>#REF!</v>
      </c>
      <c r="P557" s="50" t="s">
        <v>605</v>
      </c>
      <c r="Z557" s="12">
        <f t="shared" si="759"/>
        <v>0</v>
      </c>
      <c r="AB557" s="12">
        <f t="shared" si="760"/>
        <v>0</v>
      </c>
      <c r="AC557" s="12">
        <f t="shared" si="761"/>
        <v>0</v>
      </c>
      <c r="AD557" s="12" t="e">
        <f t="shared" si="762"/>
        <v>#REF!</v>
      </c>
      <c r="AE557" s="12" t="e">
        <f t="shared" si="763"/>
        <v>#REF!</v>
      </c>
      <c r="AF557" s="12">
        <f t="shared" si="764"/>
        <v>0</v>
      </c>
      <c r="AG557" s="12">
        <f t="shared" si="765"/>
        <v>0</v>
      </c>
      <c r="AH557" s="12">
        <f t="shared" si="766"/>
        <v>0</v>
      </c>
      <c r="AI557" s="10" t="s">
        <v>990</v>
      </c>
      <c r="AJ557" s="12">
        <f t="shared" si="767"/>
        <v>0</v>
      </c>
      <c r="AK557" s="12">
        <f t="shared" si="768"/>
        <v>0</v>
      </c>
      <c r="AL557" s="12" t="e">
        <f t="shared" si="769"/>
        <v>#REF!</v>
      </c>
      <c r="AN557" s="12">
        <v>21</v>
      </c>
      <c r="AO557" s="12" t="e">
        <f>H557*0.929993168</f>
        <v>#REF!</v>
      </c>
      <c r="AP557" s="12" t="e">
        <f>H557*(1-0.929993168)</f>
        <v>#REF!</v>
      </c>
      <c r="AQ557" s="49" t="s">
        <v>567</v>
      </c>
      <c r="AV557" s="12" t="e">
        <f t="shared" si="770"/>
        <v>#REF!</v>
      </c>
      <c r="AW557" s="12" t="e">
        <f t="shared" si="771"/>
        <v>#REF!</v>
      </c>
      <c r="AX557" s="12" t="e">
        <f t="shared" si="772"/>
        <v>#REF!</v>
      </c>
      <c r="AY557" s="49" t="s">
        <v>593</v>
      </c>
      <c r="AZ557" s="49" t="s">
        <v>1020</v>
      </c>
      <c r="BA557" s="10" t="s">
        <v>993</v>
      </c>
      <c r="BC557" s="12" t="e">
        <f t="shared" si="773"/>
        <v>#REF!</v>
      </c>
      <c r="BD557" s="12" t="e">
        <f t="shared" si="774"/>
        <v>#REF!</v>
      </c>
      <c r="BE557" s="12">
        <v>0</v>
      </c>
      <c r="BF557" s="12" t="e">
        <f t="shared" si="775"/>
        <v>#REF!</v>
      </c>
      <c r="BH557" s="12" t="e">
        <f t="shared" si="776"/>
        <v>#REF!</v>
      </c>
      <c r="BI557" s="12" t="e">
        <f t="shared" si="777"/>
        <v>#REF!</v>
      </c>
      <c r="BJ557" s="12" t="e">
        <f t="shared" si="778"/>
        <v>#REF!</v>
      </c>
      <c r="BK557" s="12"/>
      <c r="BL557" s="12">
        <v>734</v>
      </c>
      <c r="BW557" s="12" t="str">
        <f t="shared" si="779"/>
        <v>21</v>
      </c>
      <c r="BX557" s="3" t="s">
        <v>427</v>
      </c>
    </row>
    <row r="558" spans="1:76">
      <c r="A558" s="1" t="s">
        <v>1048</v>
      </c>
      <c r="B558" s="2" t="s">
        <v>990</v>
      </c>
      <c r="C558" s="2" t="s">
        <v>428</v>
      </c>
      <c r="D558" s="349" t="s">
        <v>429</v>
      </c>
      <c r="E558" s="342"/>
      <c r="F558" s="2" t="s">
        <v>68</v>
      </c>
      <c r="G558" s="12" t="e">
        <f>#REF!</f>
        <v>#REF!</v>
      </c>
      <c r="H558" s="12" t="e">
        <f>#REF!</f>
        <v>#REF!</v>
      </c>
      <c r="I558" s="49" t="s">
        <v>554</v>
      </c>
      <c r="J558" s="12" t="e">
        <f t="shared" si="754"/>
        <v>#REF!</v>
      </c>
      <c r="K558" s="12" t="e">
        <f t="shared" si="755"/>
        <v>#REF!</v>
      </c>
      <c r="L558" s="12" t="e">
        <f t="shared" si="756"/>
        <v>#REF!</v>
      </c>
      <c r="M558" s="12" t="e">
        <f t="shared" si="757"/>
        <v>#REF!</v>
      </c>
      <c r="N558" s="12">
        <v>1.3999999999999999E-4</v>
      </c>
      <c r="O558" s="12" t="e">
        <f t="shared" si="758"/>
        <v>#REF!</v>
      </c>
      <c r="P558" s="50" t="s">
        <v>605</v>
      </c>
      <c r="Z558" s="12">
        <f t="shared" si="759"/>
        <v>0</v>
      </c>
      <c r="AB558" s="12">
        <f t="shared" si="760"/>
        <v>0</v>
      </c>
      <c r="AC558" s="12">
        <f t="shared" si="761"/>
        <v>0</v>
      </c>
      <c r="AD558" s="12" t="e">
        <f t="shared" si="762"/>
        <v>#REF!</v>
      </c>
      <c r="AE558" s="12" t="e">
        <f t="shared" si="763"/>
        <v>#REF!</v>
      </c>
      <c r="AF558" s="12">
        <f t="shared" si="764"/>
        <v>0</v>
      </c>
      <c r="AG558" s="12">
        <f t="shared" si="765"/>
        <v>0</v>
      </c>
      <c r="AH558" s="12">
        <f t="shared" si="766"/>
        <v>0</v>
      </c>
      <c r="AI558" s="10" t="s">
        <v>990</v>
      </c>
      <c r="AJ558" s="12">
        <f t="shared" si="767"/>
        <v>0</v>
      </c>
      <c r="AK558" s="12">
        <f t="shared" si="768"/>
        <v>0</v>
      </c>
      <c r="AL558" s="12" t="e">
        <f t="shared" si="769"/>
        <v>#REF!</v>
      </c>
      <c r="AN558" s="12">
        <v>21</v>
      </c>
      <c r="AO558" s="12" t="e">
        <f>H558*0.76990099</f>
        <v>#REF!</v>
      </c>
      <c r="AP558" s="12" t="e">
        <f>H558*(1-0.76990099)</f>
        <v>#REF!</v>
      </c>
      <c r="AQ558" s="49" t="s">
        <v>567</v>
      </c>
      <c r="AV558" s="12" t="e">
        <f t="shared" si="770"/>
        <v>#REF!</v>
      </c>
      <c r="AW558" s="12" t="e">
        <f t="shared" si="771"/>
        <v>#REF!</v>
      </c>
      <c r="AX558" s="12" t="e">
        <f t="shared" si="772"/>
        <v>#REF!</v>
      </c>
      <c r="AY558" s="49" t="s">
        <v>593</v>
      </c>
      <c r="AZ558" s="49" t="s">
        <v>1020</v>
      </c>
      <c r="BA558" s="10" t="s">
        <v>993</v>
      </c>
      <c r="BC558" s="12" t="e">
        <f t="shared" si="773"/>
        <v>#REF!</v>
      </c>
      <c r="BD558" s="12" t="e">
        <f t="shared" si="774"/>
        <v>#REF!</v>
      </c>
      <c r="BE558" s="12">
        <v>0</v>
      </c>
      <c r="BF558" s="12" t="e">
        <f t="shared" si="775"/>
        <v>#REF!</v>
      </c>
      <c r="BH558" s="12" t="e">
        <f t="shared" si="776"/>
        <v>#REF!</v>
      </c>
      <c r="BI558" s="12" t="e">
        <f t="shared" si="777"/>
        <v>#REF!</v>
      </c>
      <c r="BJ558" s="12" t="e">
        <f t="shared" si="778"/>
        <v>#REF!</v>
      </c>
      <c r="BK558" s="12"/>
      <c r="BL558" s="12">
        <v>734</v>
      </c>
      <c r="BW558" s="12" t="str">
        <f t="shared" si="779"/>
        <v>21</v>
      </c>
      <c r="BX558" s="3" t="s">
        <v>429</v>
      </c>
    </row>
    <row r="559" spans="1:76">
      <c r="A559" s="1" t="s">
        <v>1049</v>
      </c>
      <c r="B559" s="2" t="s">
        <v>990</v>
      </c>
      <c r="C559" s="2" t="s">
        <v>430</v>
      </c>
      <c r="D559" s="349" t="s">
        <v>431</v>
      </c>
      <c r="E559" s="342"/>
      <c r="F559" s="2" t="s">
        <v>68</v>
      </c>
      <c r="G559" s="12" t="e">
        <f>#REF!</f>
        <v>#REF!</v>
      </c>
      <c r="H559" s="12" t="e">
        <f>#REF!</f>
        <v>#REF!</v>
      </c>
      <c r="I559" s="49" t="s">
        <v>554</v>
      </c>
      <c r="J559" s="12" t="e">
        <f t="shared" si="754"/>
        <v>#REF!</v>
      </c>
      <c r="K559" s="12" t="e">
        <f t="shared" si="755"/>
        <v>#REF!</v>
      </c>
      <c r="L559" s="12" t="e">
        <f t="shared" si="756"/>
        <v>#REF!</v>
      </c>
      <c r="M559" s="12" t="e">
        <f t="shared" si="757"/>
        <v>#REF!</v>
      </c>
      <c r="N559" s="12">
        <v>5.0000000000000001E-4</v>
      </c>
      <c r="O559" s="12" t="e">
        <f t="shared" si="758"/>
        <v>#REF!</v>
      </c>
      <c r="P559" s="50" t="s">
        <v>605</v>
      </c>
      <c r="Z559" s="12">
        <f t="shared" si="759"/>
        <v>0</v>
      </c>
      <c r="AB559" s="12">
        <f t="shared" si="760"/>
        <v>0</v>
      </c>
      <c r="AC559" s="12">
        <f t="shared" si="761"/>
        <v>0</v>
      </c>
      <c r="AD559" s="12" t="e">
        <f t="shared" si="762"/>
        <v>#REF!</v>
      </c>
      <c r="AE559" s="12" t="e">
        <f t="shared" si="763"/>
        <v>#REF!</v>
      </c>
      <c r="AF559" s="12">
        <f t="shared" si="764"/>
        <v>0</v>
      </c>
      <c r="AG559" s="12">
        <f t="shared" si="765"/>
        <v>0</v>
      </c>
      <c r="AH559" s="12">
        <f t="shared" si="766"/>
        <v>0</v>
      </c>
      <c r="AI559" s="10" t="s">
        <v>990</v>
      </c>
      <c r="AJ559" s="12">
        <f t="shared" si="767"/>
        <v>0</v>
      </c>
      <c r="AK559" s="12">
        <f t="shared" si="768"/>
        <v>0</v>
      </c>
      <c r="AL559" s="12" t="e">
        <f t="shared" si="769"/>
        <v>#REF!</v>
      </c>
      <c r="AN559" s="12">
        <v>21</v>
      </c>
      <c r="AO559" s="12" t="e">
        <f>H559*0.872981818</f>
        <v>#REF!</v>
      </c>
      <c r="AP559" s="12" t="e">
        <f>H559*(1-0.872981818)</f>
        <v>#REF!</v>
      </c>
      <c r="AQ559" s="49" t="s">
        <v>567</v>
      </c>
      <c r="AV559" s="12" t="e">
        <f t="shared" si="770"/>
        <v>#REF!</v>
      </c>
      <c r="AW559" s="12" t="e">
        <f t="shared" si="771"/>
        <v>#REF!</v>
      </c>
      <c r="AX559" s="12" t="e">
        <f t="shared" si="772"/>
        <v>#REF!</v>
      </c>
      <c r="AY559" s="49" t="s">
        <v>593</v>
      </c>
      <c r="AZ559" s="49" t="s">
        <v>1020</v>
      </c>
      <c r="BA559" s="10" t="s">
        <v>993</v>
      </c>
      <c r="BC559" s="12" t="e">
        <f t="shared" si="773"/>
        <v>#REF!</v>
      </c>
      <c r="BD559" s="12" t="e">
        <f t="shared" si="774"/>
        <v>#REF!</v>
      </c>
      <c r="BE559" s="12">
        <v>0</v>
      </c>
      <c r="BF559" s="12" t="e">
        <f t="shared" si="775"/>
        <v>#REF!</v>
      </c>
      <c r="BH559" s="12" t="e">
        <f t="shared" si="776"/>
        <v>#REF!</v>
      </c>
      <c r="BI559" s="12" t="e">
        <f t="shared" si="777"/>
        <v>#REF!</v>
      </c>
      <c r="BJ559" s="12" t="e">
        <f t="shared" si="778"/>
        <v>#REF!</v>
      </c>
      <c r="BK559" s="12"/>
      <c r="BL559" s="12">
        <v>734</v>
      </c>
      <c r="BW559" s="12" t="str">
        <f t="shared" si="779"/>
        <v>21</v>
      </c>
      <c r="BX559" s="3" t="s">
        <v>431</v>
      </c>
    </row>
    <row r="560" spans="1:76">
      <c r="A560" s="1" t="s">
        <v>1050</v>
      </c>
      <c r="B560" s="2" t="s">
        <v>990</v>
      </c>
      <c r="C560" s="2" t="s">
        <v>432</v>
      </c>
      <c r="D560" s="349" t="s">
        <v>433</v>
      </c>
      <c r="E560" s="342"/>
      <c r="F560" s="2" t="s">
        <v>58</v>
      </c>
      <c r="G560" s="12" t="e">
        <f>#REF!</f>
        <v>#REF!</v>
      </c>
      <c r="H560" s="12" t="e">
        <f>#REF!</f>
        <v>#REF!</v>
      </c>
      <c r="I560" s="49" t="s">
        <v>554</v>
      </c>
      <c r="J560" s="12" t="e">
        <f t="shared" si="754"/>
        <v>#REF!</v>
      </c>
      <c r="K560" s="12" t="e">
        <f t="shared" si="755"/>
        <v>#REF!</v>
      </c>
      <c r="L560" s="12" t="e">
        <f t="shared" si="756"/>
        <v>#REF!</v>
      </c>
      <c r="M560" s="12" t="e">
        <f t="shared" si="757"/>
        <v>#REF!</v>
      </c>
      <c r="N560" s="12">
        <v>1.238E-2</v>
      </c>
      <c r="O560" s="12" t="e">
        <f t="shared" si="758"/>
        <v>#REF!</v>
      </c>
      <c r="P560" s="50" t="s">
        <v>577</v>
      </c>
      <c r="Z560" s="12">
        <f t="shared" si="759"/>
        <v>0</v>
      </c>
      <c r="AB560" s="12">
        <f t="shared" si="760"/>
        <v>0</v>
      </c>
      <c r="AC560" s="12">
        <f t="shared" si="761"/>
        <v>0</v>
      </c>
      <c r="AD560" s="12" t="e">
        <f t="shared" si="762"/>
        <v>#REF!</v>
      </c>
      <c r="AE560" s="12" t="e">
        <f t="shared" si="763"/>
        <v>#REF!</v>
      </c>
      <c r="AF560" s="12">
        <f t="shared" si="764"/>
        <v>0</v>
      </c>
      <c r="AG560" s="12">
        <f t="shared" si="765"/>
        <v>0</v>
      </c>
      <c r="AH560" s="12">
        <f t="shared" si="766"/>
        <v>0</v>
      </c>
      <c r="AI560" s="10" t="s">
        <v>990</v>
      </c>
      <c r="AJ560" s="12">
        <f t="shared" si="767"/>
        <v>0</v>
      </c>
      <c r="AK560" s="12">
        <f t="shared" si="768"/>
        <v>0</v>
      </c>
      <c r="AL560" s="12" t="e">
        <f t="shared" si="769"/>
        <v>#REF!</v>
      </c>
      <c r="AN560" s="12">
        <v>21</v>
      </c>
      <c r="AO560" s="12" t="e">
        <f>H560*0.91595369</f>
        <v>#REF!</v>
      </c>
      <c r="AP560" s="12" t="e">
        <f>H560*(1-0.91595369)</f>
        <v>#REF!</v>
      </c>
      <c r="AQ560" s="49" t="s">
        <v>567</v>
      </c>
      <c r="AV560" s="12" t="e">
        <f t="shared" si="770"/>
        <v>#REF!</v>
      </c>
      <c r="AW560" s="12" t="e">
        <f t="shared" si="771"/>
        <v>#REF!</v>
      </c>
      <c r="AX560" s="12" t="e">
        <f t="shared" si="772"/>
        <v>#REF!</v>
      </c>
      <c r="AY560" s="49" t="s">
        <v>593</v>
      </c>
      <c r="AZ560" s="49" t="s">
        <v>1020</v>
      </c>
      <c r="BA560" s="10" t="s">
        <v>993</v>
      </c>
      <c r="BC560" s="12" t="e">
        <f t="shared" si="773"/>
        <v>#REF!</v>
      </c>
      <c r="BD560" s="12" t="e">
        <f t="shared" si="774"/>
        <v>#REF!</v>
      </c>
      <c r="BE560" s="12">
        <v>0</v>
      </c>
      <c r="BF560" s="12" t="e">
        <f t="shared" si="775"/>
        <v>#REF!</v>
      </c>
      <c r="BH560" s="12" t="e">
        <f t="shared" si="776"/>
        <v>#REF!</v>
      </c>
      <c r="BI560" s="12" t="e">
        <f t="shared" si="777"/>
        <v>#REF!</v>
      </c>
      <c r="BJ560" s="12" t="e">
        <f t="shared" si="778"/>
        <v>#REF!</v>
      </c>
      <c r="BK560" s="12"/>
      <c r="BL560" s="12">
        <v>734</v>
      </c>
      <c r="BW560" s="12" t="str">
        <f t="shared" si="779"/>
        <v>21</v>
      </c>
      <c r="BX560" s="3" t="s">
        <v>433</v>
      </c>
    </row>
    <row r="561" spans="1:76">
      <c r="A561" s="1" t="s">
        <v>1051</v>
      </c>
      <c r="B561" s="2" t="s">
        <v>990</v>
      </c>
      <c r="C561" s="2" t="s">
        <v>434</v>
      </c>
      <c r="D561" s="349" t="s">
        <v>435</v>
      </c>
      <c r="E561" s="342"/>
      <c r="F561" s="2" t="s">
        <v>68</v>
      </c>
      <c r="G561" s="12" t="e">
        <f>#REF!</f>
        <v>#REF!</v>
      </c>
      <c r="H561" s="12" t="e">
        <f>#REF!</f>
        <v>#REF!</v>
      </c>
      <c r="I561" s="49" t="s">
        <v>554</v>
      </c>
      <c r="J561" s="12" t="e">
        <f t="shared" si="754"/>
        <v>#REF!</v>
      </c>
      <c r="K561" s="12" t="e">
        <f t="shared" si="755"/>
        <v>#REF!</v>
      </c>
      <c r="L561" s="12" t="e">
        <f t="shared" si="756"/>
        <v>#REF!</v>
      </c>
      <c r="M561" s="12" t="e">
        <f t="shared" si="757"/>
        <v>#REF!</v>
      </c>
      <c r="N561" s="12">
        <v>1.3999999999999999E-4</v>
      </c>
      <c r="O561" s="12" t="e">
        <f t="shared" si="758"/>
        <v>#REF!</v>
      </c>
      <c r="P561" s="50" t="s">
        <v>577</v>
      </c>
      <c r="Z561" s="12">
        <f t="shared" si="759"/>
        <v>0</v>
      </c>
      <c r="AB561" s="12">
        <f t="shared" si="760"/>
        <v>0</v>
      </c>
      <c r="AC561" s="12">
        <f t="shared" si="761"/>
        <v>0</v>
      </c>
      <c r="AD561" s="12" t="e">
        <f t="shared" si="762"/>
        <v>#REF!</v>
      </c>
      <c r="AE561" s="12" t="e">
        <f t="shared" si="763"/>
        <v>#REF!</v>
      </c>
      <c r="AF561" s="12">
        <f t="shared" si="764"/>
        <v>0</v>
      </c>
      <c r="AG561" s="12">
        <f t="shared" si="765"/>
        <v>0</v>
      </c>
      <c r="AH561" s="12">
        <f t="shared" si="766"/>
        <v>0</v>
      </c>
      <c r="AI561" s="10" t="s">
        <v>990</v>
      </c>
      <c r="AJ561" s="12">
        <f t="shared" si="767"/>
        <v>0</v>
      </c>
      <c r="AK561" s="12">
        <f t="shared" si="768"/>
        <v>0</v>
      </c>
      <c r="AL561" s="12" t="e">
        <f t="shared" si="769"/>
        <v>#REF!</v>
      </c>
      <c r="AN561" s="12">
        <v>21</v>
      </c>
      <c r="AO561" s="12" t="e">
        <f>H561*0.69147929</f>
        <v>#REF!</v>
      </c>
      <c r="AP561" s="12" t="e">
        <f>H561*(1-0.69147929)</f>
        <v>#REF!</v>
      </c>
      <c r="AQ561" s="49" t="s">
        <v>567</v>
      </c>
      <c r="AV561" s="12" t="e">
        <f t="shared" si="770"/>
        <v>#REF!</v>
      </c>
      <c r="AW561" s="12" t="e">
        <f t="shared" si="771"/>
        <v>#REF!</v>
      </c>
      <c r="AX561" s="12" t="e">
        <f t="shared" si="772"/>
        <v>#REF!</v>
      </c>
      <c r="AY561" s="49" t="s">
        <v>593</v>
      </c>
      <c r="AZ561" s="49" t="s">
        <v>1020</v>
      </c>
      <c r="BA561" s="10" t="s">
        <v>993</v>
      </c>
      <c r="BC561" s="12" t="e">
        <f t="shared" si="773"/>
        <v>#REF!</v>
      </c>
      <c r="BD561" s="12" t="e">
        <f t="shared" si="774"/>
        <v>#REF!</v>
      </c>
      <c r="BE561" s="12">
        <v>0</v>
      </c>
      <c r="BF561" s="12" t="e">
        <f t="shared" si="775"/>
        <v>#REF!</v>
      </c>
      <c r="BH561" s="12" t="e">
        <f t="shared" si="776"/>
        <v>#REF!</v>
      </c>
      <c r="BI561" s="12" t="e">
        <f t="shared" si="777"/>
        <v>#REF!</v>
      </c>
      <c r="BJ561" s="12" t="e">
        <f t="shared" si="778"/>
        <v>#REF!</v>
      </c>
      <c r="BK561" s="12"/>
      <c r="BL561" s="12">
        <v>734</v>
      </c>
      <c r="BW561" s="12" t="str">
        <f t="shared" si="779"/>
        <v>21</v>
      </c>
      <c r="BX561" s="3" t="s">
        <v>435</v>
      </c>
    </row>
    <row r="562" spans="1:76">
      <c r="A562" s="1" t="s">
        <v>1052</v>
      </c>
      <c r="B562" s="2" t="s">
        <v>990</v>
      </c>
      <c r="C562" s="2" t="s">
        <v>436</v>
      </c>
      <c r="D562" s="349" t="s">
        <v>437</v>
      </c>
      <c r="E562" s="342"/>
      <c r="F562" s="2" t="s">
        <v>68</v>
      </c>
      <c r="G562" s="12" t="e">
        <f>#REF!</f>
        <v>#REF!</v>
      </c>
      <c r="H562" s="12" t="e">
        <f>#REF!</f>
        <v>#REF!</v>
      </c>
      <c r="I562" s="49" t="s">
        <v>554</v>
      </c>
      <c r="J562" s="12" t="e">
        <f t="shared" si="754"/>
        <v>#REF!</v>
      </c>
      <c r="K562" s="12" t="e">
        <f t="shared" si="755"/>
        <v>#REF!</v>
      </c>
      <c r="L562" s="12" t="e">
        <f t="shared" si="756"/>
        <v>#REF!</v>
      </c>
      <c r="M562" s="12" t="e">
        <f t="shared" si="757"/>
        <v>#REF!</v>
      </c>
      <c r="N562" s="12">
        <v>2.9999999999999997E-4</v>
      </c>
      <c r="O562" s="12" t="e">
        <f t="shared" si="758"/>
        <v>#REF!</v>
      </c>
      <c r="P562" s="50" t="s">
        <v>605</v>
      </c>
      <c r="Z562" s="12">
        <f t="shared" si="759"/>
        <v>0</v>
      </c>
      <c r="AB562" s="12">
        <f t="shared" si="760"/>
        <v>0</v>
      </c>
      <c r="AC562" s="12">
        <f t="shared" si="761"/>
        <v>0</v>
      </c>
      <c r="AD562" s="12" t="e">
        <f t="shared" si="762"/>
        <v>#REF!</v>
      </c>
      <c r="AE562" s="12" t="e">
        <f t="shared" si="763"/>
        <v>#REF!</v>
      </c>
      <c r="AF562" s="12">
        <f t="shared" si="764"/>
        <v>0</v>
      </c>
      <c r="AG562" s="12">
        <f t="shared" si="765"/>
        <v>0</v>
      </c>
      <c r="AH562" s="12">
        <f t="shared" si="766"/>
        <v>0</v>
      </c>
      <c r="AI562" s="10" t="s">
        <v>990</v>
      </c>
      <c r="AJ562" s="12">
        <f t="shared" si="767"/>
        <v>0</v>
      </c>
      <c r="AK562" s="12">
        <f t="shared" si="768"/>
        <v>0</v>
      </c>
      <c r="AL562" s="12" t="e">
        <f t="shared" si="769"/>
        <v>#REF!</v>
      </c>
      <c r="AN562" s="12">
        <v>21</v>
      </c>
      <c r="AO562" s="12" t="e">
        <f>H562*0.796243845</f>
        <v>#REF!</v>
      </c>
      <c r="AP562" s="12" t="e">
        <f>H562*(1-0.796243845)</f>
        <v>#REF!</v>
      </c>
      <c r="AQ562" s="49" t="s">
        <v>567</v>
      </c>
      <c r="AV562" s="12" t="e">
        <f t="shared" si="770"/>
        <v>#REF!</v>
      </c>
      <c r="AW562" s="12" t="e">
        <f t="shared" si="771"/>
        <v>#REF!</v>
      </c>
      <c r="AX562" s="12" t="e">
        <f t="shared" si="772"/>
        <v>#REF!</v>
      </c>
      <c r="AY562" s="49" t="s">
        <v>593</v>
      </c>
      <c r="AZ562" s="49" t="s">
        <v>1020</v>
      </c>
      <c r="BA562" s="10" t="s">
        <v>993</v>
      </c>
      <c r="BC562" s="12" t="e">
        <f t="shared" si="773"/>
        <v>#REF!</v>
      </c>
      <c r="BD562" s="12" t="e">
        <f t="shared" si="774"/>
        <v>#REF!</v>
      </c>
      <c r="BE562" s="12">
        <v>0</v>
      </c>
      <c r="BF562" s="12" t="e">
        <f t="shared" si="775"/>
        <v>#REF!</v>
      </c>
      <c r="BH562" s="12" t="e">
        <f t="shared" si="776"/>
        <v>#REF!</v>
      </c>
      <c r="BI562" s="12" t="e">
        <f t="shared" si="777"/>
        <v>#REF!</v>
      </c>
      <c r="BJ562" s="12" t="e">
        <f t="shared" si="778"/>
        <v>#REF!</v>
      </c>
      <c r="BK562" s="12"/>
      <c r="BL562" s="12">
        <v>734</v>
      </c>
      <c r="BW562" s="12" t="str">
        <f t="shared" si="779"/>
        <v>21</v>
      </c>
      <c r="BX562" s="3" t="s">
        <v>437</v>
      </c>
    </row>
    <row r="563" spans="1:76">
      <c r="A563" s="1" t="s">
        <v>1053</v>
      </c>
      <c r="B563" s="2" t="s">
        <v>990</v>
      </c>
      <c r="C563" s="2" t="s">
        <v>438</v>
      </c>
      <c r="D563" s="349" t="s">
        <v>439</v>
      </c>
      <c r="E563" s="342"/>
      <c r="F563" s="2" t="s">
        <v>68</v>
      </c>
      <c r="G563" s="12" t="e">
        <f>#REF!</f>
        <v>#REF!</v>
      </c>
      <c r="H563" s="12" t="e">
        <f>#REF!</f>
        <v>#REF!</v>
      </c>
      <c r="I563" s="49" t="s">
        <v>554</v>
      </c>
      <c r="J563" s="12" t="e">
        <f t="shared" si="754"/>
        <v>#REF!</v>
      </c>
      <c r="K563" s="12" t="e">
        <f t="shared" si="755"/>
        <v>#REF!</v>
      </c>
      <c r="L563" s="12" t="e">
        <f t="shared" si="756"/>
        <v>#REF!</v>
      </c>
      <c r="M563" s="12" t="e">
        <f t="shared" si="757"/>
        <v>#REF!</v>
      </c>
      <c r="N563" s="12">
        <v>1.0399999999999999E-3</v>
      </c>
      <c r="O563" s="12" t="e">
        <f t="shared" si="758"/>
        <v>#REF!</v>
      </c>
      <c r="P563" s="50" t="s">
        <v>605</v>
      </c>
      <c r="Z563" s="12">
        <f t="shared" si="759"/>
        <v>0</v>
      </c>
      <c r="AB563" s="12">
        <f t="shared" si="760"/>
        <v>0</v>
      </c>
      <c r="AC563" s="12">
        <f t="shared" si="761"/>
        <v>0</v>
      </c>
      <c r="AD563" s="12" t="e">
        <f t="shared" si="762"/>
        <v>#REF!</v>
      </c>
      <c r="AE563" s="12" t="e">
        <f t="shared" si="763"/>
        <v>#REF!</v>
      </c>
      <c r="AF563" s="12">
        <f t="shared" si="764"/>
        <v>0</v>
      </c>
      <c r="AG563" s="12">
        <f t="shared" si="765"/>
        <v>0</v>
      </c>
      <c r="AH563" s="12">
        <f t="shared" si="766"/>
        <v>0</v>
      </c>
      <c r="AI563" s="10" t="s">
        <v>990</v>
      </c>
      <c r="AJ563" s="12">
        <f t="shared" si="767"/>
        <v>0</v>
      </c>
      <c r="AK563" s="12">
        <f t="shared" si="768"/>
        <v>0</v>
      </c>
      <c r="AL563" s="12" t="e">
        <f t="shared" si="769"/>
        <v>#REF!</v>
      </c>
      <c r="AN563" s="12">
        <v>21</v>
      </c>
      <c r="AO563" s="12" t="e">
        <f>H563*0</f>
        <v>#REF!</v>
      </c>
      <c r="AP563" s="12" t="e">
        <f>H563*(1-0)</f>
        <v>#REF!</v>
      </c>
      <c r="AQ563" s="49" t="s">
        <v>567</v>
      </c>
      <c r="AV563" s="12" t="e">
        <f t="shared" si="770"/>
        <v>#REF!</v>
      </c>
      <c r="AW563" s="12" t="e">
        <f t="shared" si="771"/>
        <v>#REF!</v>
      </c>
      <c r="AX563" s="12" t="e">
        <f t="shared" si="772"/>
        <v>#REF!</v>
      </c>
      <c r="AY563" s="49" t="s">
        <v>593</v>
      </c>
      <c r="AZ563" s="49" t="s">
        <v>1020</v>
      </c>
      <c r="BA563" s="10" t="s">
        <v>993</v>
      </c>
      <c r="BC563" s="12" t="e">
        <f t="shared" si="773"/>
        <v>#REF!</v>
      </c>
      <c r="BD563" s="12" t="e">
        <f t="shared" si="774"/>
        <v>#REF!</v>
      </c>
      <c r="BE563" s="12">
        <v>0</v>
      </c>
      <c r="BF563" s="12" t="e">
        <f t="shared" si="775"/>
        <v>#REF!</v>
      </c>
      <c r="BH563" s="12" t="e">
        <f t="shared" si="776"/>
        <v>#REF!</v>
      </c>
      <c r="BI563" s="12" t="e">
        <f t="shared" si="777"/>
        <v>#REF!</v>
      </c>
      <c r="BJ563" s="12" t="e">
        <f t="shared" si="778"/>
        <v>#REF!</v>
      </c>
      <c r="BK563" s="12"/>
      <c r="BL563" s="12">
        <v>734</v>
      </c>
      <c r="BW563" s="12" t="str">
        <f t="shared" si="779"/>
        <v>21</v>
      </c>
      <c r="BX563" s="3" t="s">
        <v>439</v>
      </c>
    </row>
    <row r="564" spans="1:76">
      <c r="A564" s="46" t="s">
        <v>21</v>
      </c>
      <c r="B564" s="9" t="s">
        <v>990</v>
      </c>
      <c r="C564" s="9" t="s">
        <v>101</v>
      </c>
      <c r="D564" s="359" t="s">
        <v>102</v>
      </c>
      <c r="E564" s="360"/>
      <c r="F564" s="47" t="s">
        <v>20</v>
      </c>
      <c r="G564" s="47" t="s">
        <v>20</v>
      </c>
      <c r="H564" s="47" t="s">
        <v>20</v>
      </c>
      <c r="I564" s="47" t="s">
        <v>20</v>
      </c>
      <c r="J564" s="11" t="e">
        <f>SUM(J565:J566)</f>
        <v>#REF!</v>
      </c>
      <c r="K564" s="11" t="e">
        <f>SUM(K565:K566)</f>
        <v>#REF!</v>
      </c>
      <c r="L564" s="11" t="e">
        <f>SUM(L565:L566)</f>
        <v>#REF!</v>
      </c>
      <c r="M564" s="11" t="e">
        <f>SUM(M565:M566)</f>
        <v>#REF!</v>
      </c>
      <c r="N564" s="10" t="s">
        <v>21</v>
      </c>
      <c r="O564" s="11" t="e">
        <f>SUM(O565:O566)</f>
        <v>#REF!</v>
      </c>
      <c r="P564" s="48" t="s">
        <v>21</v>
      </c>
      <c r="AI564" s="10" t="s">
        <v>990</v>
      </c>
      <c r="AS564" s="11">
        <f>SUM(AJ565:AJ566)</f>
        <v>0</v>
      </c>
      <c r="AT564" s="11">
        <f>SUM(AK565:AK566)</f>
        <v>0</v>
      </c>
      <c r="AU564" s="11" t="e">
        <f>SUM(AL565:AL566)</f>
        <v>#REF!</v>
      </c>
    </row>
    <row r="565" spans="1:76">
      <c r="A565" s="1" t="s">
        <v>1054</v>
      </c>
      <c r="B565" s="2" t="s">
        <v>990</v>
      </c>
      <c r="C565" s="2" t="s">
        <v>440</v>
      </c>
      <c r="D565" s="349" t="s">
        <v>441</v>
      </c>
      <c r="E565" s="342"/>
      <c r="F565" s="2" t="s">
        <v>105</v>
      </c>
      <c r="G565" s="12" t="e">
        <f>#REF!</f>
        <v>#REF!</v>
      </c>
      <c r="H565" s="12" t="e">
        <f>#REF!</f>
        <v>#REF!</v>
      </c>
      <c r="I565" s="49" t="s">
        <v>554</v>
      </c>
      <c r="J565" s="12" t="e">
        <f>G565*AO565</f>
        <v>#REF!</v>
      </c>
      <c r="K565" s="12" t="e">
        <f>G565*AP565</f>
        <v>#REF!</v>
      </c>
      <c r="L565" s="12" t="e">
        <f>G565*H565</f>
        <v>#REF!</v>
      </c>
      <c r="M565" s="12" t="e">
        <f>L565*(1+BW565/100)</f>
        <v>#REF!</v>
      </c>
      <c r="N565" s="12">
        <v>1.0499999999999999E-3</v>
      </c>
      <c r="O565" s="12" t="e">
        <f>G565*N565</f>
        <v>#REF!</v>
      </c>
      <c r="P565" s="50" t="s">
        <v>577</v>
      </c>
      <c r="Z565" s="12">
        <f>IF(AQ565="5",BJ565,0)</f>
        <v>0</v>
      </c>
      <c r="AB565" s="12">
        <f>IF(AQ565="1",BH565,0)</f>
        <v>0</v>
      </c>
      <c r="AC565" s="12">
        <f>IF(AQ565="1",BI565,0)</f>
        <v>0</v>
      </c>
      <c r="AD565" s="12" t="e">
        <f>IF(AQ565="7",BH565,0)</f>
        <v>#REF!</v>
      </c>
      <c r="AE565" s="12" t="e">
        <f>IF(AQ565="7",BI565,0)</f>
        <v>#REF!</v>
      </c>
      <c r="AF565" s="12">
        <f>IF(AQ565="2",BH565,0)</f>
        <v>0</v>
      </c>
      <c r="AG565" s="12">
        <f>IF(AQ565="2",BI565,0)</f>
        <v>0</v>
      </c>
      <c r="AH565" s="12">
        <f>IF(AQ565="0",BJ565,0)</f>
        <v>0</v>
      </c>
      <c r="AI565" s="10" t="s">
        <v>990</v>
      </c>
      <c r="AJ565" s="12">
        <f>IF(AN565=0,L565,0)</f>
        <v>0</v>
      </c>
      <c r="AK565" s="12">
        <f>IF(AN565=12,L565,0)</f>
        <v>0</v>
      </c>
      <c r="AL565" s="12" t="e">
        <f>IF(AN565=21,L565,0)</f>
        <v>#REF!</v>
      </c>
      <c r="AN565" s="12">
        <v>21</v>
      </c>
      <c r="AO565" s="12" t="e">
        <f>H565*0.15238806</f>
        <v>#REF!</v>
      </c>
      <c r="AP565" s="12" t="e">
        <f>H565*(1-0.15238806)</f>
        <v>#REF!</v>
      </c>
      <c r="AQ565" s="49" t="s">
        <v>567</v>
      </c>
      <c r="AV565" s="12" t="e">
        <f>AW565+AX565</f>
        <v>#REF!</v>
      </c>
      <c r="AW565" s="12" t="e">
        <f>G565*AO565</f>
        <v>#REF!</v>
      </c>
      <c r="AX565" s="12" t="e">
        <f>G565*AP565</f>
        <v>#REF!</v>
      </c>
      <c r="AY565" s="49" t="s">
        <v>596</v>
      </c>
      <c r="AZ565" s="49" t="s">
        <v>1055</v>
      </c>
      <c r="BA565" s="10" t="s">
        <v>993</v>
      </c>
      <c r="BC565" s="12" t="e">
        <f>AW565+AX565</f>
        <v>#REF!</v>
      </c>
      <c r="BD565" s="12" t="e">
        <f>H565/(100-BE565)*100</f>
        <v>#REF!</v>
      </c>
      <c r="BE565" s="12">
        <v>0</v>
      </c>
      <c r="BF565" s="12" t="e">
        <f>O565</f>
        <v>#REF!</v>
      </c>
      <c r="BH565" s="12" t="e">
        <f>G565*AO565</f>
        <v>#REF!</v>
      </c>
      <c r="BI565" s="12" t="e">
        <f>G565*AP565</f>
        <v>#REF!</v>
      </c>
      <c r="BJ565" s="12" t="e">
        <f>G565*H565</f>
        <v>#REF!</v>
      </c>
      <c r="BK565" s="12"/>
      <c r="BL565" s="12">
        <v>767</v>
      </c>
      <c r="BW565" s="12" t="str">
        <f>I565</f>
        <v>21</v>
      </c>
      <c r="BX565" s="3" t="s">
        <v>441</v>
      </c>
    </row>
    <row r="566" spans="1:76">
      <c r="A566" s="1" t="s">
        <v>1056</v>
      </c>
      <c r="B566" s="2" t="s">
        <v>990</v>
      </c>
      <c r="C566" s="2" t="s">
        <v>442</v>
      </c>
      <c r="D566" s="349" t="s">
        <v>443</v>
      </c>
      <c r="E566" s="342"/>
      <c r="F566" s="2" t="s">
        <v>105</v>
      </c>
      <c r="G566" s="12" t="e">
        <f>#REF!</f>
        <v>#REF!</v>
      </c>
      <c r="H566" s="12" t="e">
        <f>#REF!</f>
        <v>#REF!</v>
      </c>
      <c r="I566" s="49" t="s">
        <v>554</v>
      </c>
      <c r="J566" s="12" t="e">
        <f>G566*AO566</f>
        <v>#REF!</v>
      </c>
      <c r="K566" s="12" t="e">
        <f>G566*AP566</f>
        <v>#REF!</v>
      </c>
      <c r="L566" s="12" t="e">
        <f>G566*H566</f>
        <v>#REF!</v>
      </c>
      <c r="M566" s="12" t="e">
        <f>L566*(1+BW566/100)</f>
        <v>#REF!</v>
      </c>
      <c r="N566" s="12">
        <v>1.06E-3</v>
      </c>
      <c r="O566" s="12" t="e">
        <f>G566*N566</f>
        <v>#REF!</v>
      </c>
      <c r="P566" s="50" t="s">
        <v>577</v>
      </c>
      <c r="Z566" s="12">
        <f>IF(AQ566="5",BJ566,0)</f>
        <v>0</v>
      </c>
      <c r="AB566" s="12">
        <f>IF(AQ566="1",BH566,0)</f>
        <v>0</v>
      </c>
      <c r="AC566" s="12">
        <f>IF(AQ566="1",BI566,0)</f>
        <v>0</v>
      </c>
      <c r="AD566" s="12" t="e">
        <f>IF(AQ566="7",BH566,0)</f>
        <v>#REF!</v>
      </c>
      <c r="AE566" s="12" t="e">
        <f>IF(AQ566="7",BI566,0)</f>
        <v>#REF!</v>
      </c>
      <c r="AF566" s="12">
        <f>IF(AQ566="2",BH566,0)</f>
        <v>0</v>
      </c>
      <c r="AG566" s="12">
        <f>IF(AQ566="2",BI566,0)</f>
        <v>0</v>
      </c>
      <c r="AH566" s="12">
        <f>IF(AQ566="0",BJ566,0)</f>
        <v>0</v>
      </c>
      <c r="AI566" s="10" t="s">
        <v>990</v>
      </c>
      <c r="AJ566" s="12">
        <f>IF(AN566=0,L566,0)</f>
        <v>0</v>
      </c>
      <c r="AK566" s="12">
        <f>IF(AN566=12,L566,0)</f>
        <v>0</v>
      </c>
      <c r="AL566" s="12" t="e">
        <f>IF(AN566=21,L566,0)</f>
        <v>#REF!</v>
      </c>
      <c r="AN566" s="12">
        <v>21</v>
      </c>
      <c r="AO566" s="12" t="e">
        <f>H566*0.303333333</f>
        <v>#REF!</v>
      </c>
      <c r="AP566" s="12" t="e">
        <f>H566*(1-0.303333333)</f>
        <v>#REF!</v>
      </c>
      <c r="AQ566" s="49" t="s">
        <v>567</v>
      </c>
      <c r="AV566" s="12" t="e">
        <f>AW566+AX566</f>
        <v>#REF!</v>
      </c>
      <c r="AW566" s="12" t="e">
        <f>G566*AO566</f>
        <v>#REF!</v>
      </c>
      <c r="AX566" s="12" t="e">
        <f>G566*AP566</f>
        <v>#REF!</v>
      </c>
      <c r="AY566" s="49" t="s">
        <v>596</v>
      </c>
      <c r="AZ566" s="49" t="s">
        <v>1055</v>
      </c>
      <c r="BA566" s="10" t="s">
        <v>993</v>
      </c>
      <c r="BC566" s="12" t="e">
        <f>AW566+AX566</f>
        <v>#REF!</v>
      </c>
      <c r="BD566" s="12" t="e">
        <f>H566/(100-BE566)*100</f>
        <v>#REF!</v>
      </c>
      <c r="BE566" s="12">
        <v>0</v>
      </c>
      <c r="BF566" s="12" t="e">
        <f>O566</f>
        <v>#REF!</v>
      </c>
      <c r="BH566" s="12" t="e">
        <f>G566*AO566</f>
        <v>#REF!</v>
      </c>
      <c r="BI566" s="12" t="e">
        <f>G566*AP566</f>
        <v>#REF!</v>
      </c>
      <c r="BJ566" s="12" t="e">
        <f>G566*H566</f>
        <v>#REF!</v>
      </c>
      <c r="BK566" s="12"/>
      <c r="BL566" s="12">
        <v>767</v>
      </c>
      <c r="BW566" s="12" t="str">
        <f>I566</f>
        <v>21</v>
      </c>
      <c r="BX566" s="3" t="s">
        <v>443</v>
      </c>
    </row>
    <row r="567" spans="1:76">
      <c r="A567" s="46" t="s">
        <v>21</v>
      </c>
      <c r="B567" s="9" t="s">
        <v>990</v>
      </c>
      <c r="C567" s="9" t="s">
        <v>23</v>
      </c>
      <c r="D567" s="359" t="s">
        <v>24</v>
      </c>
      <c r="E567" s="360"/>
      <c r="F567" s="47" t="s">
        <v>20</v>
      </c>
      <c r="G567" s="47" t="s">
        <v>20</v>
      </c>
      <c r="H567" s="47" t="s">
        <v>20</v>
      </c>
      <c r="I567" s="47" t="s">
        <v>20</v>
      </c>
      <c r="J567" s="11" t="e">
        <f>J568</f>
        <v>#REF!</v>
      </c>
      <c r="K567" s="11" t="e">
        <f>K568</f>
        <v>#REF!</v>
      </c>
      <c r="L567" s="11" t="e">
        <f>L568</f>
        <v>#REF!</v>
      </c>
      <c r="M567" s="11" t="e">
        <f>M568</f>
        <v>#REF!</v>
      </c>
      <c r="N567" s="10" t="s">
        <v>21</v>
      </c>
      <c r="O567" s="11" t="e">
        <f>O568</f>
        <v>#REF!</v>
      </c>
      <c r="P567" s="48" t="s">
        <v>21</v>
      </c>
      <c r="AI567" s="10" t="s">
        <v>990</v>
      </c>
    </row>
    <row r="568" spans="1:76">
      <c r="A568" s="46" t="s">
        <v>21</v>
      </c>
      <c r="B568" s="9" t="s">
        <v>990</v>
      </c>
      <c r="C568" s="9" t="s">
        <v>348</v>
      </c>
      <c r="D568" s="359" t="s">
        <v>349</v>
      </c>
      <c r="E568" s="360"/>
      <c r="F568" s="47" t="s">
        <v>20</v>
      </c>
      <c r="G568" s="47" t="s">
        <v>20</v>
      </c>
      <c r="H568" s="47" t="s">
        <v>20</v>
      </c>
      <c r="I568" s="47" t="s">
        <v>20</v>
      </c>
      <c r="J568" s="11" t="e">
        <f>SUM(J569:J569)</f>
        <v>#REF!</v>
      </c>
      <c r="K568" s="11" t="e">
        <f>SUM(K569:K569)</f>
        <v>#REF!</v>
      </c>
      <c r="L568" s="11" t="e">
        <f>SUM(L569:L569)</f>
        <v>#REF!</v>
      </c>
      <c r="M568" s="11" t="e">
        <f>SUM(M569:M569)</f>
        <v>#REF!</v>
      </c>
      <c r="N568" s="10" t="s">
        <v>21</v>
      </c>
      <c r="O568" s="11" t="e">
        <f>SUM(O569:O569)</f>
        <v>#REF!</v>
      </c>
      <c r="P568" s="48" t="s">
        <v>21</v>
      </c>
      <c r="AI568" s="10" t="s">
        <v>990</v>
      </c>
      <c r="AS568" s="11">
        <f>SUM(AJ569:AJ569)</f>
        <v>0</v>
      </c>
      <c r="AT568" s="11">
        <f>SUM(AK569:AK569)</f>
        <v>0</v>
      </c>
      <c r="AU568" s="11" t="e">
        <f>SUM(AL569:AL569)</f>
        <v>#REF!</v>
      </c>
    </row>
    <row r="569" spans="1:76">
      <c r="A569" s="1" t="s">
        <v>1057</v>
      </c>
      <c r="B569" s="2" t="s">
        <v>990</v>
      </c>
      <c r="C569" s="2" t="s">
        <v>350</v>
      </c>
      <c r="D569" s="349" t="s">
        <v>447</v>
      </c>
      <c r="E569" s="342"/>
      <c r="F569" s="2" t="s">
        <v>29</v>
      </c>
      <c r="G569" s="12" t="e">
        <f>#REF!</f>
        <v>#REF!</v>
      </c>
      <c r="H569" s="12" t="e">
        <f>#REF!</f>
        <v>#REF!</v>
      </c>
      <c r="I569" s="49" t="s">
        <v>554</v>
      </c>
      <c r="J569" s="12" t="e">
        <f>G569*AO569</f>
        <v>#REF!</v>
      </c>
      <c r="K569" s="12" t="e">
        <f>G569*AP569</f>
        <v>#REF!</v>
      </c>
      <c r="L569" s="12" t="e">
        <f>G569*H569</f>
        <v>#REF!</v>
      </c>
      <c r="M569" s="12" t="e">
        <f>L569*(1+BW569/100)</f>
        <v>#REF!</v>
      </c>
      <c r="N569" s="12">
        <v>0</v>
      </c>
      <c r="O569" s="12" t="e">
        <f>G569*N569</f>
        <v>#REF!</v>
      </c>
      <c r="P569" s="50" t="s">
        <v>605</v>
      </c>
      <c r="Z569" s="12">
        <f>IF(AQ569="5",BJ569,0)</f>
        <v>0</v>
      </c>
      <c r="AB569" s="12">
        <f>IF(AQ569="1",BH569,0)</f>
        <v>0</v>
      </c>
      <c r="AC569" s="12">
        <f>IF(AQ569="1",BI569,0)</f>
        <v>0</v>
      </c>
      <c r="AD569" s="12">
        <f>IF(AQ569="7",BH569,0)</f>
        <v>0</v>
      </c>
      <c r="AE569" s="12">
        <f>IF(AQ569="7",BI569,0)</f>
        <v>0</v>
      </c>
      <c r="AF569" s="12">
        <f>IF(AQ569="2",BH569,0)</f>
        <v>0</v>
      </c>
      <c r="AG569" s="12">
        <f>IF(AQ569="2",BI569,0)</f>
        <v>0</v>
      </c>
      <c r="AH569" s="12">
        <f>IF(AQ569="0",BJ569,0)</f>
        <v>0</v>
      </c>
      <c r="AI569" s="10" t="s">
        <v>990</v>
      </c>
      <c r="AJ569" s="12">
        <f>IF(AN569=0,L569,0)</f>
        <v>0</v>
      </c>
      <c r="AK569" s="12">
        <f>IF(AN569=12,L569,0)</f>
        <v>0</v>
      </c>
      <c r="AL569" s="12" t="e">
        <f>IF(AN569=21,L569,0)</f>
        <v>#REF!</v>
      </c>
      <c r="AN569" s="12">
        <v>21</v>
      </c>
      <c r="AO569" s="12" t="e">
        <f>H569*0</f>
        <v>#REF!</v>
      </c>
      <c r="AP569" s="12" t="e">
        <f>H569*(1-0)</f>
        <v>#REF!</v>
      </c>
      <c r="AQ569" s="49" t="s">
        <v>556</v>
      </c>
      <c r="AV569" s="12" t="e">
        <f>AW569+AX569</f>
        <v>#REF!</v>
      </c>
      <c r="AW569" s="12" t="e">
        <f>G569*AO569</f>
        <v>#REF!</v>
      </c>
      <c r="AX569" s="12" t="e">
        <f>G569*AP569</f>
        <v>#REF!</v>
      </c>
      <c r="AY569" s="49" t="s">
        <v>711</v>
      </c>
      <c r="AZ569" s="49" t="s">
        <v>1058</v>
      </c>
      <c r="BA569" s="10" t="s">
        <v>993</v>
      </c>
      <c r="BC569" s="12" t="e">
        <f>AW569+AX569</f>
        <v>#REF!</v>
      </c>
      <c r="BD569" s="12" t="e">
        <f>H569/(100-BE569)*100</f>
        <v>#REF!</v>
      </c>
      <c r="BE569" s="12">
        <v>0</v>
      </c>
      <c r="BF569" s="12" t="e">
        <f>O569</f>
        <v>#REF!</v>
      </c>
      <c r="BH569" s="12" t="e">
        <f>G569*AO569</f>
        <v>#REF!</v>
      </c>
      <c r="BI569" s="12" t="e">
        <f>G569*AP569</f>
        <v>#REF!</v>
      </c>
      <c r="BJ569" s="12" t="e">
        <f>G569*H569</f>
        <v>#REF!</v>
      </c>
      <c r="BK569" s="12"/>
      <c r="BL569" s="12"/>
      <c r="BR569" s="12" t="e">
        <f>G569*H569</f>
        <v>#REF!</v>
      </c>
      <c r="BW569" s="12" t="str">
        <f>I569</f>
        <v>21</v>
      </c>
      <c r="BX569" s="3" t="s">
        <v>447</v>
      </c>
    </row>
    <row r="570" spans="1:76">
      <c r="A570" s="46" t="s">
        <v>21</v>
      </c>
      <c r="B570" s="9" t="s">
        <v>1059</v>
      </c>
      <c r="C570" s="9" t="s">
        <v>21</v>
      </c>
      <c r="D570" s="359" t="s">
        <v>449</v>
      </c>
      <c r="E570" s="360"/>
      <c r="F570" s="47" t="s">
        <v>20</v>
      </c>
      <c r="G570" s="47" t="s">
        <v>20</v>
      </c>
      <c r="H570" s="47" t="s">
        <v>20</v>
      </c>
      <c r="I570" s="47" t="s">
        <v>20</v>
      </c>
      <c r="J570" s="11" t="e">
        <f>J571+J581+J583+J603+J605+J615+J632+J650</f>
        <v>#REF!</v>
      </c>
      <c r="K570" s="11" t="e">
        <f>K571+K581+K583+K603+K605+K615+K632+K650</f>
        <v>#REF!</v>
      </c>
      <c r="L570" s="11" t="e">
        <f>L571+L581+L583+L603+L605+L615+L632+L650</f>
        <v>#REF!</v>
      </c>
      <c r="M570" s="11" t="e">
        <f>M571+M581+M583+M603+M605+M615+M632+M650</f>
        <v>#REF!</v>
      </c>
      <c r="N570" s="10" t="s">
        <v>21</v>
      </c>
      <c r="O570" s="11" t="e">
        <f>O571+O581+O583+O603+O605+O615+O632+O650</f>
        <v>#REF!</v>
      </c>
      <c r="P570" s="48" t="s">
        <v>21</v>
      </c>
    </row>
    <row r="571" spans="1:76">
      <c r="A571" s="46" t="s">
        <v>21</v>
      </c>
      <c r="B571" s="9" t="s">
        <v>1059</v>
      </c>
      <c r="C571" s="9" t="s">
        <v>54</v>
      </c>
      <c r="D571" s="359" t="s">
        <v>55</v>
      </c>
      <c r="E571" s="360"/>
      <c r="F571" s="47" t="s">
        <v>20</v>
      </c>
      <c r="G571" s="47" t="s">
        <v>20</v>
      </c>
      <c r="H571" s="47" t="s">
        <v>20</v>
      </c>
      <c r="I571" s="47" t="s">
        <v>20</v>
      </c>
      <c r="J571" s="11" t="e">
        <f>SUM(J572:J580)</f>
        <v>#REF!</v>
      </c>
      <c r="K571" s="11" t="e">
        <f>SUM(K572:K580)</f>
        <v>#REF!</v>
      </c>
      <c r="L571" s="11" t="e">
        <f>SUM(L572:L580)</f>
        <v>#REF!</v>
      </c>
      <c r="M571" s="11" t="e">
        <f>SUM(M572:M580)</f>
        <v>#REF!</v>
      </c>
      <c r="N571" s="10" t="s">
        <v>21</v>
      </c>
      <c r="O571" s="11" t="e">
        <f>SUM(O572:O580)</f>
        <v>#REF!</v>
      </c>
      <c r="P571" s="48" t="s">
        <v>21</v>
      </c>
      <c r="AI571" s="10" t="s">
        <v>1059</v>
      </c>
      <c r="AS571" s="11">
        <f>SUM(AJ572:AJ580)</f>
        <v>0</v>
      </c>
      <c r="AT571" s="11">
        <f>SUM(AK572:AK580)</f>
        <v>0</v>
      </c>
      <c r="AU571" s="11" t="e">
        <f>SUM(AL572:AL580)</f>
        <v>#REF!</v>
      </c>
    </row>
    <row r="572" spans="1:76">
      <c r="A572" s="1" t="s">
        <v>1060</v>
      </c>
      <c r="B572" s="2" t="s">
        <v>1059</v>
      </c>
      <c r="C572" s="2" t="s">
        <v>69</v>
      </c>
      <c r="D572" s="349" t="s">
        <v>356</v>
      </c>
      <c r="E572" s="342"/>
      <c r="F572" s="2" t="s">
        <v>68</v>
      </c>
      <c r="G572" s="12" t="e">
        <f>#REF!</f>
        <v>#REF!</v>
      </c>
      <c r="H572" s="12" t="e">
        <f>#REF!</f>
        <v>#REF!</v>
      </c>
      <c r="I572" s="49" t="s">
        <v>554</v>
      </c>
      <c r="J572" s="12" t="e">
        <f t="shared" ref="J572:J580" si="780">G572*AO572</f>
        <v>#REF!</v>
      </c>
      <c r="K572" s="12" t="e">
        <f t="shared" ref="K572:K580" si="781">G572*AP572</f>
        <v>#REF!</v>
      </c>
      <c r="L572" s="12" t="e">
        <f t="shared" ref="L572:L580" si="782">G572*H572</f>
        <v>#REF!</v>
      </c>
      <c r="M572" s="12" t="e">
        <f t="shared" ref="M572:M580" si="783">L572*(1+BW572/100)</f>
        <v>#REF!</v>
      </c>
      <c r="N572" s="12">
        <v>0</v>
      </c>
      <c r="O572" s="12" t="e">
        <f t="shared" ref="O572:O580" si="784">G572*N572</f>
        <v>#REF!</v>
      </c>
      <c r="P572" s="50" t="s">
        <v>577</v>
      </c>
      <c r="Z572" s="12">
        <f t="shared" ref="Z572:Z580" si="785">IF(AQ572="5",BJ572,0)</f>
        <v>0</v>
      </c>
      <c r="AB572" s="12" t="e">
        <f t="shared" ref="AB572:AB580" si="786">IF(AQ572="1",BH572,0)</f>
        <v>#REF!</v>
      </c>
      <c r="AC572" s="12" t="e">
        <f t="shared" ref="AC572:AC580" si="787">IF(AQ572="1",BI572,0)</f>
        <v>#REF!</v>
      </c>
      <c r="AD572" s="12">
        <f t="shared" ref="AD572:AD580" si="788">IF(AQ572="7",BH572,0)</f>
        <v>0</v>
      </c>
      <c r="AE572" s="12">
        <f t="shared" ref="AE572:AE580" si="789">IF(AQ572="7",BI572,0)</f>
        <v>0</v>
      </c>
      <c r="AF572" s="12">
        <f t="shared" ref="AF572:AF580" si="790">IF(AQ572="2",BH572,0)</f>
        <v>0</v>
      </c>
      <c r="AG572" s="12">
        <f t="shared" ref="AG572:AG580" si="791">IF(AQ572="2",BI572,0)</f>
        <v>0</v>
      </c>
      <c r="AH572" s="12">
        <f t="shared" ref="AH572:AH580" si="792">IF(AQ572="0",BJ572,0)</f>
        <v>0</v>
      </c>
      <c r="AI572" s="10" t="s">
        <v>1059</v>
      </c>
      <c r="AJ572" s="12">
        <f t="shared" ref="AJ572:AJ580" si="793">IF(AN572=0,L572,0)</f>
        <v>0</v>
      </c>
      <c r="AK572" s="12">
        <f t="shared" ref="AK572:AK580" si="794">IF(AN572=12,L572,0)</f>
        <v>0</v>
      </c>
      <c r="AL572" s="12" t="e">
        <f t="shared" ref="AL572:AL580" si="795">IF(AN572=21,L572,0)</f>
        <v>#REF!</v>
      </c>
      <c r="AN572" s="12">
        <v>21</v>
      </c>
      <c r="AO572" s="12" t="e">
        <f>H572*0</f>
        <v>#REF!</v>
      </c>
      <c r="AP572" s="12" t="e">
        <f>H572*(1-0)</f>
        <v>#REF!</v>
      </c>
      <c r="AQ572" s="49" t="s">
        <v>553</v>
      </c>
      <c r="AV572" s="12" t="e">
        <f t="shared" ref="AV572:AV580" si="796">AW572+AX572</f>
        <v>#REF!</v>
      </c>
      <c r="AW572" s="12" t="e">
        <f t="shared" ref="AW572:AW580" si="797">G572*AO572</f>
        <v>#REF!</v>
      </c>
      <c r="AX572" s="12" t="e">
        <f t="shared" ref="AX572:AX580" si="798">G572*AP572</f>
        <v>#REF!</v>
      </c>
      <c r="AY572" s="49" t="s">
        <v>574</v>
      </c>
      <c r="AZ572" s="49" t="s">
        <v>1061</v>
      </c>
      <c r="BA572" s="10" t="s">
        <v>1062</v>
      </c>
      <c r="BC572" s="12" t="e">
        <f t="shared" ref="BC572:BC580" si="799">AW572+AX572</f>
        <v>#REF!</v>
      </c>
      <c r="BD572" s="12" t="e">
        <f t="shared" ref="BD572:BD580" si="800">H572/(100-BE572)*100</f>
        <v>#REF!</v>
      </c>
      <c r="BE572" s="12">
        <v>0</v>
      </c>
      <c r="BF572" s="12" t="e">
        <f t="shared" ref="BF572:BF580" si="801">O572</f>
        <v>#REF!</v>
      </c>
      <c r="BH572" s="12" t="e">
        <f t="shared" ref="BH572:BH580" si="802">G572*AO572</f>
        <v>#REF!</v>
      </c>
      <c r="BI572" s="12" t="e">
        <f t="shared" ref="BI572:BI580" si="803">G572*AP572</f>
        <v>#REF!</v>
      </c>
      <c r="BJ572" s="12" t="e">
        <f t="shared" ref="BJ572:BJ580" si="804">G572*H572</f>
        <v>#REF!</v>
      </c>
      <c r="BK572" s="12"/>
      <c r="BL572" s="12">
        <v>0</v>
      </c>
      <c r="BW572" s="12" t="str">
        <f t="shared" ref="BW572:BW580" si="805">I572</f>
        <v>21</v>
      </c>
      <c r="BX572" s="3" t="s">
        <v>356</v>
      </c>
    </row>
    <row r="573" spans="1:76">
      <c r="A573" s="1" t="s">
        <v>1063</v>
      </c>
      <c r="B573" s="2" t="s">
        <v>1059</v>
      </c>
      <c r="C573" s="2" t="s">
        <v>107</v>
      </c>
      <c r="D573" s="349" t="s">
        <v>108</v>
      </c>
      <c r="E573" s="342"/>
      <c r="F573" s="2" t="s">
        <v>109</v>
      </c>
      <c r="G573" s="12" t="e">
        <f>#REF!</f>
        <v>#REF!</v>
      </c>
      <c r="H573" s="12" t="e">
        <f>#REF!</f>
        <v>#REF!</v>
      </c>
      <c r="I573" s="49" t="s">
        <v>554</v>
      </c>
      <c r="J573" s="12" t="e">
        <f t="shared" si="780"/>
        <v>#REF!</v>
      </c>
      <c r="K573" s="12" t="e">
        <f t="shared" si="781"/>
        <v>#REF!</v>
      </c>
      <c r="L573" s="12" t="e">
        <f t="shared" si="782"/>
        <v>#REF!</v>
      </c>
      <c r="M573" s="12" t="e">
        <f t="shared" si="783"/>
        <v>#REF!</v>
      </c>
      <c r="N573" s="12">
        <v>0</v>
      </c>
      <c r="O573" s="12" t="e">
        <f t="shared" si="784"/>
        <v>#REF!</v>
      </c>
      <c r="P573" s="50" t="s">
        <v>21</v>
      </c>
      <c r="Z573" s="12">
        <f t="shared" si="785"/>
        <v>0</v>
      </c>
      <c r="AB573" s="12" t="e">
        <f t="shared" si="786"/>
        <v>#REF!</v>
      </c>
      <c r="AC573" s="12" t="e">
        <f t="shared" si="787"/>
        <v>#REF!</v>
      </c>
      <c r="AD573" s="12">
        <f t="shared" si="788"/>
        <v>0</v>
      </c>
      <c r="AE573" s="12">
        <f t="shared" si="789"/>
        <v>0</v>
      </c>
      <c r="AF573" s="12">
        <f t="shared" si="790"/>
        <v>0</v>
      </c>
      <c r="AG573" s="12">
        <f t="shared" si="791"/>
        <v>0</v>
      </c>
      <c r="AH573" s="12">
        <f t="shared" si="792"/>
        <v>0</v>
      </c>
      <c r="AI573" s="10" t="s">
        <v>1059</v>
      </c>
      <c r="AJ573" s="12">
        <f t="shared" si="793"/>
        <v>0</v>
      </c>
      <c r="AK573" s="12">
        <f t="shared" si="794"/>
        <v>0</v>
      </c>
      <c r="AL573" s="12" t="e">
        <f t="shared" si="795"/>
        <v>#REF!</v>
      </c>
      <c r="AN573" s="12">
        <v>21</v>
      </c>
      <c r="AO573" s="12" t="e">
        <f>H573*0</f>
        <v>#REF!</v>
      </c>
      <c r="AP573" s="12" t="e">
        <f>H573*(1-0)</f>
        <v>#REF!</v>
      </c>
      <c r="AQ573" s="49" t="s">
        <v>553</v>
      </c>
      <c r="AV573" s="12" t="e">
        <f t="shared" si="796"/>
        <v>#REF!</v>
      </c>
      <c r="AW573" s="12" t="e">
        <f t="shared" si="797"/>
        <v>#REF!</v>
      </c>
      <c r="AX573" s="12" t="e">
        <f t="shared" si="798"/>
        <v>#REF!</v>
      </c>
      <c r="AY573" s="49" t="s">
        <v>574</v>
      </c>
      <c r="AZ573" s="49" t="s">
        <v>1061</v>
      </c>
      <c r="BA573" s="10" t="s">
        <v>1062</v>
      </c>
      <c r="BC573" s="12" t="e">
        <f t="shared" si="799"/>
        <v>#REF!</v>
      </c>
      <c r="BD573" s="12" t="e">
        <f t="shared" si="800"/>
        <v>#REF!</v>
      </c>
      <c r="BE573" s="12">
        <v>0</v>
      </c>
      <c r="BF573" s="12" t="e">
        <f t="shared" si="801"/>
        <v>#REF!</v>
      </c>
      <c r="BH573" s="12" t="e">
        <f t="shared" si="802"/>
        <v>#REF!</v>
      </c>
      <c r="BI573" s="12" t="e">
        <f t="shared" si="803"/>
        <v>#REF!</v>
      </c>
      <c r="BJ573" s="12" t="e">
        <f t="shared" si="804"/>
        <v>#REF!</v>
      </c>
      <c r="BK573" s="12"/>
      <c r="BL573" s="12">
        <v>0</v>
      </c>
      <c r="BW573" s="12" t="str">
        <f t="shared" si="805"/>
        <v>21</v>
      </c>
      <c r="BX573" s="3" t="s">
        <v>108</v>
      </c>
    </row>
    <row r="574" spans="1:76" ht="25.5">
      <c r="A574" s="1" t="s">
        <v>1064</v>
      </c>
      <c r="B574" s="2" t="s">
        <v>1059</v>
      </c>
      <c r="C574" s="2" t="s">
        <v>110</v>
      </c>
      <c r="D574" s="349" t="s">
        <v>111</v>
      </c>
      <c r="E574" s="342"/>
      <c r="F574" s="2" t="s">
        <v>112</v>
      </c>
      <c r="G574" s="12" t="e">
        <f>#REF!</f>
        <v>#REF!</v>
      </c>
      <c r="H574" s="12" t="e">
        <f>#REF!</f>
        <v>#REF!</v>
      </c>
      <c r="I574" s="49" t="s">
        <v>554</v>
      </c>
      <c r="J574" s="12" t="e">
        <f t="shared" si="780"/>
        <v>#REF!</v>
      </c>
      <c r="K574" s="12" t="e">
        <f t="shared" si="781"/>
        <v>#REF!</v>
      </c>
      <c r="L574" s="12" t="e">
        <f t="shared" si="782"/>
        <v>#REF!</v>
      </c>
      <c r="M574" s="12" t="e">
        <f t="shared" si="783"/>
        <v>#REF!</v>
      </c>
      <c r="N574" s="12">
        <v>0</v>
      </c>
      <c r="O574" s="12" t="e">
        <f t="shared" si="784"/>
        <v>#REF!</v>
      </c>
      <c r="P574" s="50" t="s">
        <v>21</v>
      </c>
      <c r="Z574" s="12">
        <f t="shared" si="785"/>
        <v>0</v>
      </c>
      <c r="AB574" s="12" t="e">
        <f t="shared" si="786"/>
        <v>#REF!</v>
      </c>
      <c r="AC574" s="12" t="e">
        <f t="shared" si="787"/>
        <v>#REF!</v>
      </c>
      <c r="AD574" s="12">
        <f t="shared" si="788"/>
        <v>0</v>
      </c>
      <c r="AE574" s="12">
        <f t="shared" si="789"/>
        <v>0</v>
      </c>
      <c r="AF574" s="12">
        <f t="shared" si="790"/>
        <v>0</v>
      </c>
      <c r="AG574" s="12">
        <f t="shared" si="791"/>
        <v>0</v>
      </c>
      <c r="AH574" s="12">
        <f t="shared" si="792"/>
        <v>0</v>
      </c>
      <c r="AI574" s="10" t="s">
        <v>1059</v>
      </c>
      <c r="AJ574" s="12">
        <f t="shared" si="793"/>
        <v>0</v>
      </c>
      <c r="AK574" s="12">
        <f t="shared" si="794"/>
        <v>0</v>
      </c>
      <c r="AL574" s="12" t="e">
        <f t="shared" si="795"/>
        <v>#REF!</v>
      </c>
      <c r="AN574" s="12">
        <v>21</v>
      </c>
      <c r="AO574" s="12" t="e">
        <f>H574*0.298352654</f>
        <v>#REF!</v>
      </c>
      <c r="AP574" s="12" t="e">
        <f>H574*(1-0.298352654)</f>
        <v>#REF!</v>
      </c>
      <c r="AQ574" s="49" t="s">
        <v>553</v>
      </c>
      <c r="AV574" s="12" t="e">
        <f t="shared" si="796"/>
        <v>#REF!</v>
      </c>
      <c r="AW574" s="12" t="e">
        <f t="shared" si="797"/>
        <v>#REF!</v>
      </c>
      <c r="AX574" s="12" t="e">
        <f t="shared" si="798"/>
        <v>#REF!</v>
      </c>
      <c r="AY574" s="49" t="s">
        <v>574</v>
      </c>
      <c r="AZ574" s="49" t="s">
        <v>1061</v>
      </c>
      <c r="BA574" s="10" t="s">
        <v>1062</v>
      </c>
      <c r="BC574" s="12" t="e">
        <f t="shared" si="799"/>
        <v>#REF!</v>
      </c>
      <c r="BD574" s="12" t="e">
        <f t="shared" si="800"/>
        <v>#REF!</v>
      </c>
      <c r="BE574" s="12">
        <v>0</v>
      </c>
      <c r="BF574" s="12" t="e">
        <f t="shared" si="801"/>
        <v>#REF!</v>
      </c>
      <c r="BH574" s="12" t="e">
        <f t="shared" si="802"/>
        <v>#REF!</v>
      </c>
      <c r="BI574" s="12" t="e">
        <f t="shared" si="803"/>
        <v>#REF!</v>
      </c>
      <c r="BJ574" s="12" t="e">
        <f t="shared" si="804"/>
        <v>#REF!</v>
      </c>
      <c r="BK574" s="12"/>
      <c r="BL574" s="12">
        <v>0</v>
      </c>
      <c r="BW574" s="12" t="str">
        <f t="shared" si="805"/>
        <v>21</v>
      </c>
      <c r="BX574" s="3" t="s">
        <v>111</v>
      </c>
    </row>
    <row r="575" spans="1:76">
      <c r="A575" s="1" t="s">
        <v>1065</v>
      </c>
      <c r="B575" s="2" t="s">
        <v>1059</v>
      </c>
      <c r="C575" s="2" t="s">
        <v>115</v>
      </c>
      <c r="D575" s="349" t="s">
        <v>116</v>
      </c>
      <c r="E575" s="342"/>
      <c r="F575" s="2" t="s">
        <v>58</v>
      </c>
      <c r="G575" s="12" t="e">
        <f>#REF!</f>
        <v>#REF!</v>
      </c>
      <c r="H575" s="12" t="e">
        <f>#REF!</f>
        <v>#REF!</v>
      </c>
      <c r="I575" s="49" t="s">
        <v>554</v>
      </c>
      <c r="J575" s="12" t="e">
        <f t="shared" si="780"/>
        <v>#REF!</v>
      </c>
      <c r="K575" s="12" t="e">
        <f t="shared" si="781"/>
        <v>#REF!</v>
      </c>
      <c r="L575" s="12" t="e">
        <f t="shared" si="782"/>
        <v>#REF!</v>
      </c>
      <c r="M575" s="12" t="e">
        <f t="shared" si="783"/>
        <v>#REF!</v>
      </c>
      <c r="N575" s="12">
        <v>0</v>
      </c>
      <c r="O575" s="12" t="e">
        <f t="shared" si="784"/>
        <v>#REF!</v>
      </c>
      <c r="P575" s="50" t="s">
        <v>605</v>
      </c>
      <c r="Z575" s="12">
        <f t="shared" si="785"/>
        <v>0</v>
      </c>
      <c r="AB575" s="12" t="e">
        <f t="shared" si="786"/>
        <v>#REF!</v>
      </c>
      <c r="AC575" s="12" t="e">
        <f t="shared" si="787"/>
        <v>#REF!</v>
      </c>
      <c r="AD575" s="12">
        <f t="shared" si="788"/>
        <v>0</v>
      </c>
      <c r="AE575" s="12">
        <f t="shared" si="789"/>
        <v>0</v>
      </c>
      <c r="AF575" s="12">
        <f t="shared" si="790"/>
        <v>0</v>
      </c>
      <c r="AG575" s="12">
        <f t="shared" si="791"/>
        <v>0</v>
      </c>
      <c r="AH575" s="12">
        <f t="shared" si="792"/>
        <v>0</v>
      </c>
      <c r="AI575" s="10" t="s">
        <v>1059</v>
      </c>
      <c r="AJ575" s="12">
        <f t="shared" si="793"/>
        <v>0</v>
      </c>
      <c r="AK575" s="12">
        <f t="shared" si="794"/>
        <v>0</v>
      </c>
      <c r="AL575" s="12" t="e">
        <f t="shared" si="795"/>
        <v>#REF!</v>
      </c>
      <c r="AN575" s="12">
        <v>21</v>
      </c>
      <c r="AO575" s="12" t="e">
        <f>H575*0</f>
        <v>#REF!</v>
      </c>
      <c r="AP575" s="12" t="e">
        <f>H575*(1-0)</f>
        <v>#REF!</v>
      </c>
      <c r="AQ575" s="49" t="s">
        <v>553</v>
      </c>
      <c r="AV575" s="12" t="e">
        <f t="shared" si="796"/>
        <v>#REF!</v>
      </c>
      <c r="AW575" s="12" t="e">
        <f t="shared" si="797"/>
        <v>#REF!</v>
      </c>
      <c r="AX575" s="12" t="e">
        <f t="shared" si="798"/>
        <v>#REF!</v>
      </c>
      <c r="AY575" s="49" t="s">
        <v>574</v>
      </c>
      <c r="AZ575" s="49" t="s">
        <v>1061</v>
      </c>
      <c r="BA575" s="10" t="s">
        <v>1062</v>
      </c>
      <c r="BC575" s="12" t="e">
        <f t="shared" si="799"/>
        <v>#REF!</v>
      </c>
      <c r="BD575" s="12" t="e">
        <f t="shared" si="800"/>
        <v>#REF!</v>
      </c>
      <c r="BE575" s="12">
        <v>0</v>
      </c>
      <c r="BF575" s="12" t="e">
        <f t="shared" si="801"/>
        <v>#REF!</v>
      </c>
      <c r="BH575" s="12" t="e">
        <f t="shared" si="802"/>
        <v>#REF!</v>
      </c>
      <c r="BI575" s="12" t="e">
        <f t="shared" si="803"/>
        <v>#REF!</v>
      </c>
      <c r="BJ575" s="12" t="e">
        <f t="shared" si="804"/>
        <v>#REF!</v>
      </c>
      <c r="BK575" s="12"/>
      <c r="BL575" s="12">
        <v>0</v>
      </c>
      <c r="BW575" s="12" t="str">
        <f t="shared" si="805"/>
        <v>21</v>
      </c>
      <c r="BX575" s="3" t="s">
        <v>116</v>
      </c>
    </row>
    <row r="576" spans="1:76">
      <c r="A576" s="1" t="s">
        <v>1066</v>
      </c>
      <c r="B576" s="2" t="s">
        <v>1059</v>
      </c>
      <c r="C576" s="2" t="s">
        <v>119</v>
      </c>
      <c r="D576" s="349" t="s">
        <v>120</v>
      </c>
      <c r="E576" s="342"/>
      <c r="F576" s="2" t="s">
        <v>58</v>
      </c>
      <c r="G576" s="12" t="e">
        <f>#REF!</f>
        <v>#REF!</v>
      </c>
      <c r="H576" s="12" t="e">
        <f>#REF!</f>
        <v>#REF!</v>
      </c>
      <c r="I576" s="49" t="s">
        <v>554</v>
      </c>
      <c r="J576" s="12" t="e">
        <f t="shared" si="780"/>
        <v>#REF!</v>
      </c>
      <c r="K576" s="12" t="e">
        <f t="shared" si="781"/>
        <v>#REF!</v>
      </c>
      <c r="L576" s="12" t="e">
        <f t="shared" si="782"/>
        <v>#REF!</v>
      </c>
      <c r="M576" s="12" t="e">
        <f t="shared" si="783"/>
        <v>#REF!</v>
      </c>
      <c r="N576" s="12">
        <v>0</v>
      </c>
      <c r="O576" s="12" t="e">
        <f t="shared" si="784"/>
        <v>#REF!</v>
      </c>
      <c r="P576" s="50" t="s">
        <v>605</v>
      </c>
      <c r="Z576" s="12">
        <f t="shared" si="785"/>
        <v>0</v>
      </c>
      <c r="AB576" s="12" t="e">
        <f t="shared" si="786"/>
        <v>#REF!</v>
      </c>
      <c r="AC576" s="12" t="e">
        <f t="shared" si="787"/>
        <v>#REF!</v>
      </c>
      <c r="AD576" s="12">
        <f t="shared" si="788"/>
        <v>0</v>
      </c>
      <c r="AE576" s="12">
        <f t="shared" si="789"/>
        <v>0</v>
      </c>
      <c r="AF576" s="12">
        <f t="shared" si="790"/>
        <v>0</v>
      </c>
      <c r="AG576" s="12">
        <f t="shared" si="791"/>
        <v>0</v>
      </c>
      <c r="AH576" s="12">
        <f t="shared" si="792"/>
        <v>0</v>
      </c>
      <c r="AI576" s="10" t="s">
        <v>1059</v>
      </c>
      <c r="AJ576" s="12">
        <f t="shared" si="793"/>
        <v>0</v>
      </c>
      <c r="AK576" s="12">
        <f t="shared" si="794"/>
        <v>0</v>
      </c>
      <c r="AL576" s="12" t="e">
        <f t="shared" si="795"/>
        <v>#REF!</v>
      </c>
      <c r="AN576" s="12">
        <v>21</v>
      </c>
      <c r="AO576" s="12" t="e">
        <f>H576*0</f>
        <v>#REF!</v>
      </c>
      <c r="AP576" s="12" t="e">
        <f>H576*(1-0)</f>
        <v>#REF!</v>
      </c>
      <c r="AQ576" s="49" t="s">
        <v>553</v>
      </c>
      <c r="AV576" s="12" t="e">
        <f t="shared" si="796"/>
        <v>#REF!</v>
      </c>
      <c r="AW576" s="12" t="e">
        <f t="shared" si="797"/>
        <v>#REF!</v>
      </c>
      <c r="AX576" s="12" t="e">
        <f t="shared" si="798"/>
        <v>#REF!</v>
      </c>
      <c r="AY576" s="49" t="s">
        <v>574</v>
      </c>
      <c r="AZ576" s="49" t="s">
        <v>1061</v>
      </c>
      <c r="BA576" s="10" t="s">
        <v>1062</v>
      </c>
      <c r="BC576" s="12" t="e">
        <f t="shared" si="799"/>
        <v>#REF!</v>
      </c>
      <c r="BD576" s="12" t="e">
        <f t="shared" si="800"/>
        <v>#REF!</v>
      </c>
      <c r="BE576" s="12">
        <v>0</v>
      </c>
      <c r="BF576" s="12" t="e">
        <f t="shared" si="801"/>
        <v>#REF!</v>
      </c>
      <c r="BH576" s="12" t="e">
        <f t="shared" si="802"/>
        <v>#REF!</v>
      </c>
      <c r="BI576" s="12" t="e">
        <f t="shared" si="803"/>
        <v>#REF!</v>
      </c>
      <c r="BJ576" s="12" t="e">
        <f t="shared" si="804"/>
        <v>#REF!</v>
      </c>
      <c r="BK576" s="12"/>
      <c r="BL576" s="12">
        <v>0</v>
      </c>
      <c r="BW576" s="12" t="str">
        <f t="shared" si="805"/>
        <v>21</v>
      </c>
      <c r="BX576" s="3" t="s">
        <v>120</v>
      </c>
    </row>
    <row r="577" spans="1:76">
      <c r="A577" s="1" t="s">
        <v>1067</v>
      </c>
      <c r="B577" s="2" t="s">
        <v>1059</v>
      </c>
      <c r="C577" s="2" t="s">
        <v>71</v>
      </c>
      <c r="D577" s="349" t="s">
        <v>72</v>
      </c>
      <c r="E577" s="342"/>
      <c r="F577" s="2" t="s">
        <v>58</v>
      </c>
      <c r="G577" s="12" t="e">
        <f>#REF!</f>
        <v>#REF!</v>
      </c>
      <c r="H577" s="12" t="e">
        <f>#REF!</f>
        <v>#REF!</v>
      </c>
      <c r="I577" s="49" t="s">
        <v>554</v>
      </c>
      <c r="J577" s="12" t="e">
        <f t="shared" si="780"/>
        <v>#REF!</v>
      </c>
      <c r="K577" s="12" t="e">
        <f t="shared" si="781"/>
        <v>#REF!</v>
      </c>
      <c r="L577" s="12" t="e">
        <f t="shared" si="782"/>
        <v>#REF!</v>
      </c>
      <c r="M577" s="12" t="e">
        <f t="shared" si="783"/>
        <v>#REF!</v>
      </c>
      <c r="N577" s="12">
        <v>3.8999999999999999E-4</v>
      </c>
      <c r="O577" s="12" t="e">
        <f t="shared" si="784"/>
        <v>#REF!</v>
      </c>
      <c r="P577" s="50" t="s">
        <v>577</v>
      </c>
      <c r="Z577" s="12">
        <f t="shared" si="785"/>
        <v>0</v>
      </c>
      <c r="AB577" s="12" t="e">
        <f t="shared" si="786"/>
        <v>#REF!</v>
      </c>
      <c r="AC577" s="12" t="e">
        <f t="shared" si="787"/>
        <v>#REF!</v>
      </c>
      <c r="AD577" s="12">
        <f t="shared" si="788"/>
        <v>0</v>
      </c>
      <c r="AE577" s="12">
        <f t="shared" si="789"/>
        <v>0</v>
      </c>
      <c r="AF577" s="12">
        <f t="shared" si="790"/>
        <v>0</v>
      </c>
      <c r="AG577" s="12">
        <f t="shared" si="791"/>
        <v>0</v>
      </c>
      <c r="AH577" s="12">
        <f t="shared" si="792"/>
        <v>0</v>
      </c>
      <c r="AI577" s="10" t="s">
        <v>1059</v>
      </c>
      <c r="AJ577" s="12">
        <f t="shared" si="793"/>
        <v>0</v>
      </c>
      <c r="AK577" s="12">
        <f t="shared" si="794"/>
        <v>0</v>
      </c>
      <c r="AL577" s="12" t="e">
        <f t="shared" si="795"/>
        <v>#REF!</v>
      </c>
      <c r="AN577" s="12">
        <v>21</v>
      </c>
      <c r="AO577" s="12" t="e">
        <f>H577*0.615509036</f>
        <v>#REF!</v>
      </c>
      <c r="AP577" s="12" t="e">
        <f>H577*(1-0.615509036)</f>
        <v>#REF!</v>
      </c>
      <c r="AQ577" s="49" t="s">
        <v>553</v>
      </c>
      <c r="AV577" s="12" t="e">
        <f t="shared" si="796"/>
        <v>#REF!</v>
      </c>
      <c r="AW577" s="12" t="e">
        <f t="shared" si="797"/>
        <v>#REF!</v>
      </c>
      <c r="AX577" s="12" t="e">
        <f t="shared" si="798"/>
        <v>#REF!</v>
      </c>
      <c r="AY577" s="49" t="s">
        <v>574</v>
      </c>
      <c r="AZ577" s="49" t="s">
        <v>1061</v>
      </c>
      <c r="BA577" s="10" t="s">
        <v>1062</v>
      </c>
      <c r="BC577" s="12" t="e">
        <f t="shared" si="799"/>
        <v>#REF!</v>
      </c>
      <c r="BD577" s="12" t="e">
        <f t="shared" si="800"/>
        <v>#REF!</v>
      </c>
      <c r="BE577" s="12">
        <v>0</v>
      </c>
      <c r="BF577" s="12" t="e">
        <f t="shared" si="801"/>
        <v>#REF!</v>
      </c>
      <c r="BH577" s="12" t="e">
        <f t="shared" si="802"/>
        <v>#REF!</v>
      </c>
      <c r="BI577" s="12" t="e">
        <f t="shared" si="803"/>
        <v>#REF!</v>
      </c>
      <c r="BJ577" s="12" t="e">
        <f t="shared" si="804"/>
        <v>#REF!</v>
      </c>
      <c r="BK577" s="12"/>
      <c r="BL577" s="12">
        <v>0</v>
      </c>
      <c r="BW577" s="12" t="str">
        <f t="shared" si="805"/>
        <v>21</v>
      </c>
      <c r="BX577" s="3" t="s">
        <v>72</v>
      </c>
    </row>
    <row r="578" spans="1:76">
      <c r="A578" s="1" t="s">
        <v>1068</v>
      </c>
      <c r="B578" s="2" t="s">
        <v>1059</v>
      </c>
      <c r="C578" s="2" t="s">
        <v>66</v>
      </c>
      <c r="D578" s="349" t="s">
        <v>67</v>
      </c>
      <c r="E578" s="342"/>
      <c r="F578" s="2" t="s">
        <v>68</v>
      </c>
      <c r="G578" s="12" t="e">
        <f>#REF!</f>
        <v>#REF!</v>
      </c>
      <c r="H578" s="12" t="e">
        <f>#REF!</f>
        <v>#REF!</v>
      </c>
      <c r="I578" s="49" t="s">
        <v>554</v>
      </c>
      <c r="J578" s="12" t="e">
        <f t="shared" si="780"/>
        <v>#REF!</v>
      </c>
      <c r="K578" s="12" t="e">
        <f t="shared" si="781"/>
        <v>#REF!</v>
      </c>
      <c r="L578" s="12" t="e">
        <f t="shared" si="782"/>
        <v>#REF!</v>
      </c>
      <c r="M578" s="12" t="e">
        <f t="shared" si="783"/>
        <v>#REF!</v>
      </c>
      <c r="N578" s="12">
        <v>0</v>
      </c>
      <c r="O578" s="12" t="e">
        <f t="shared" si="784"/>
        <v>#REF!</v>
      </c>
      <c r="P578" s="50" t="s">
        <v>577</v>
      </c>
      <c r="Z578" s="12">
        <f t="shared" si="785"/>
        <v>0</v>
      </c>
      <c r="AB578" s="12" t="e">
        <f t="shared" si="786"/>
        <v>#REF!</v>
      </c>
      <c r="AC578" s="12" t="e">
        <f t="shared" si="787"/>
        <v>#REF!</v>
      </c>
      <c r="AD578" s="12">
        <f t="shared" si="788"/>
        <v>0</v>
      </c>
      <c r="AE578" s="12">
        <f t="shared" si="789"/>
        <v>0</v>
      </c>
      <c r="AF578" s="12">
        <f t="shared" si="790"/>
        <v>0</v>
      </c>
      <c r="AG578" s="12">
        <f t="shared" si="791"/>
        <v>0</v>
      </c>
      <c r="AH578" s="12">
        <f t="shared" si="792"/>
        <v>0</v>
      </c>
      <c r="AI578" s="10" t="s">
        <v>1059</v>
      </c>
      <c r="AJ578" s="12">
        <f t="shared" si="793"/>
        <v>0</v>
      </c>
      <c r="AK578" s="12">
        <f t="shared" si="794"/>
        <v>0</v>
      </c>
      <c r="AL578" s="12" t="e">
        <f t="shared" si="795"/>
        <v>#REF!</v>
      </c>
      <c r="AN578" s="12">
        <v>21</v>
      </c>
      <c r="AO578" s="12" t="e">
        <f>H578*0</f>
        <v>#REF!</v>
      </c>
      <c r="AP578" s="12" t="e">
        <f>H578*(1-0)</f>
        <v>#REF!</v>
      </c>
      <c r="AQ578" s="49" t="s">
        <v>553</v>
      </c>
      <c r="AV578" s="12" t="e">
        <f t="shared" si="796"/>
        <v>#REF!</v>
      </c>
      <c r="AW578" s="12" t="e">
        <f t="shared" si="797"/>
        <v>#REF!</v>
      </c>
      <c r="AX578" s="12" t="e">
        <f t="shared" si="798"/>
        <v>#REF!</v>
      </c>
      <c r="AY578" s="49" t="s">
        <v>574</v>
      </c>
      <c r="AZ578" s="49" t="s">
        <v>1061</v>
      </c>
      <c r="BA578" s="10" t="s">
        <v>1062</v>
      </c>
      <c r="BC578" s="12" t="e">
        <f t="shared" si="799"/>
        <v>#REF!</v>
      </c>
      <c r="BD578" s="12" t="e">
        <f t="shared" si="800"/>
        <v>#REF!</v>
      </c>
      <c r="BE578" s="12">
        <v>0</v>
      </c>
      <c r="BF578" s="12" t="e">
        <f t="shared" si="801"/>
        <v>#REF!</v>
      </c>
      <c r="BH578" s="12" t="e">
        <f t="shared" si="802"/>
        <v>#REF!</v>
      </c>
      <c r="BI578" s="12" t="e">
        <f t="shared" si="803"/>
        <v>#REF!</v>
      </c>
      <c r="BJ578" s="12" t="e">
        <f t="shared" si="804"/>
        <v>#REF!</v>
      </c>
      <c r="BK578" s="12"/>
      <c r="BL578" s="12">
        <v>0</v>
      </c>
      <c r="BW578" s="12" t="str">
        <f t="shared" si="805"/>
        <v>21</v>
      </c>
      <c r="BX578" s="3" t="s">
        <v>67</v>
      </c>
    </row>
    <row r="579" spans="1:76">
      <c r="A579" s="1" t="s">
        <v>1069</v>
      </c>
      <c r="B579" s="2" t="s">
        <v>1059</v>
      </c>
      <c r="C579" s="2" t="s">
        <v>124</v>
      </c>
      <c r="D579" s="349" t="s">
        <v>125</v>
      </c>
      <c r="E579" s="342"/>
      <c r="F579" s="2" t="s">
        <v>123</v>
      </c>
      <c r="G579" s="12" t="e">
        <f>#REF!</f>
        <v>#REF!</v>
      </c>
      <c r="H579" s="12" t="e">
        <f>#REF!</f>
        <v>#REF!</v>
      </c>
      <c r="I579" s="49" t="s">
        <v>554</v>
      </c>
      <c r="J579" s="12" t="e">
        <f t="shared" si="780"/>
        <v>#REF!</v>
      </c>
      <c r="K579" s="12" t="e">
        <f t="shared" si="781"/>
        <v>#REF!</v>
      </c>
      <c r="L579" s="12" t="e">
        <f t="shared" si="782"/>
        <v>#REF!</v>
      </c>
      <c r="M579" s="12" t="e">
        <f t="shared" si="783"/>
        <v>#REF!</v>
      </c>
      <c r="N579" s="12">
        <v>0</v>
      </c>
      <c r="O579" s="12" t="e">
        <f t="shared" si="784"/>
        <v>#REF!</v>
      </c>
      <c r="P579" s="50" t="s">
        <v>577</v>
      </c>
      <c r="Z579" s="12" t="e">
        <f t="shared" si="785"/>
        <v>#REF!</v>
      </c>
      <c r="AB579" s="12">
        <f t="shared" si="786"/>
        <v>0</v>
      </c>
      <c r="AC579" s="12">
        <f t="shared" si="787"/>
        <v>0</v>
      </c>
      <c r="AD579" s="12">
        <f t="shared" si="788"/>
        <v>0</v>
      </c>
      <c r="AE579" s="12">
        <f t="shared" si="789"/>
        <v>0</v>
      </c>
      <c r="AF579" s="12">
        <f t="shared" si="790"/>
        <v>0</v>
      </c>
      <c r="AG579" s="12">
        <f t="shared" si="791"/>
        <v>0</v>
      </c>
      <c r="AH579" s="12">
        <f t="shared" si="792"/>
        <v>0</v>
      </c>
      <c r="AI579" s="10" t="s">
        <v>1059</v>
      </c>
      <c r="AJ579" s="12">
        <f t="shared" si="793"/>
        <v>0</v>
      </c>
      <c r="AK579" s="12">
        <f t="shared" si="794"/>
        <v>0</v>
      </c>
      <c r="AL579" s="12" t="e">
        <f t="shared" si="795"/>
        <v>#REF!</v>
      </c>
      <c r="AN579" s="12">
        <v>21</v>
      </c>
      <c r="AO579" s="12" t="e">
        <f>H579*0</f>
        <v>#REF!</v>
      </c>
      <c r="AP579" s="12" t="e">
        <f>H579*(1-0)</f>
        <v>#REF!</v>
      </c>
      <c r="AQ579" s="49" t="s">
        <v>564</v>
      </c>
      <c r="AV579" s="12" t="e">
        <f t="shared" si="796"/>
        <v>#REF!</v>
      </c>
      <c r="AW579" s="12" t="e">
        <f t="shared" si="797"/>
        <v>#REF!</v>
      </c>
      <c r="AX579" s="12" t="e">
        <f t="shared" si="798"/>
        <v>#REF!</v>
      </c>
      <c r="AY579" s="49" t="s">
        <v>574</v>
      </c>
      <c r="AZ579" s="49" t="s">
        <v>1061</v>
      </c>
      <c r="BA579" s="10" t="s">
        <v>1062</v>
      </c>
      <c r="BC579" s="12" t="e">
        <f t="shared" si="799"/>
        <v>#REF!</v>
      </c>
      <c r="BD579" s="12" t="e">
        <f t="shared" si="800"/>
        <v>#REF!</v>
      </c>
      <c r="BE579" s="12">
        <v>0</v>
      </c>
      <c r="BF579" s="12" t="e">
        <f t="shared" si="801"/>
        <v>#REF!</v>
      </c>
      <c r="BH579" s="12" t="e">
        <f t="shared" si="802"/>
        <v>#REF!</v>
      </c>
      <c r="BI579" s="12" t="e">
        <f t="shared" si="803"/>
        <v>#REF!</v>
      </c>
      <c r="BJ579" s="12" t="e">
        <f t="shared" si="804"/>
        <v>#REF!</v>
      </c>
      <c r="BK579" s="12"/>
      <c r="BL579" s="12">
        <v>0</v>
      </c>
      <c r="BW579" s="12" t="str">
        <f t="shared" si="805"/>
        <v>21</v>
      </c>
      <c r="BX579" s="3" t="s">
        <v>125</v>
      </c>
    </row>
    <row r="580" spans="1:76">
      <c r="A580" s="1" t="s">
        <v>1070</v>
      </c>
      <c r="B580" s="2" t="s">
        <v>1059</v>
      </c>
      <c r="C580" s="2" t="s">
        <v>121</v>
      </c>
      <c r="D580" s="349" t="s">
        <v>122</v>
      </c>
      <c r="E580" s="342"/>
      <c r="F580" s="2" t="s">
        <v>123</v>
      </c>
      <c r="G580" s="12" t="e">
        <f>#REF!</f>
        <v>#REF!</v>
      </c>
      <c r="H580" s="12" t="e">
        <f>#REF!</f>
        <v>#REF!</v>
      </c>
      <c r="I580" s="49" t="s">
        <v>554</v>
      </c>
      <c r="J580" s="12" t="e">
        <f t="shared" si="780"/>
        <v>#REF!</v>
      </c>
      <c r="K580" s="12" t="e">
        <f t="shared" si="781"/>
        <v>#REF!</v>
      </c>
      <c r="L580" s="12" t="e">
        <f t="shared" si="782"/>
        <v>#REF!</v>
      </c>
      <c r="M580" s="12" t="e">
        <f t="shared" si="783"/>
        <v>#REF!</v>
      </c>
      <c r="N580" s="12">
        <v>0</v>
      </c>
      <c r="O580" s="12" t="e">
        <f t="shared" si="784"/>
        <v>#REF!</v>
      </c>
      <c r="P580" s="50" t="s">
        <v>577</v>
      </c>
      <c r="Z580" s="12" t="e">
        <f t="shared" si="785"/>
        <v>#REF!</v>
      </c>
      <c r="AB580" s="12">
        <f t="shared" si="786"/>
        <v>0</v>
      </c>
      <c r="AC580" s="12">
        <f t="shared" si="787"/>
        <v>0</v>
      </c>
      <c r="AD580" s="12">
        <f t="shared" si="788"/>
        <v>0</v>
      </c>
      <c r="AE580" s="12">
        <f t="shared" si="789"/>
        <v>0</v>
      </c>
      <c r="AF580" s="12">
        <f t="shared" si="790"/>
        <v>0</v>
      </c>
      <c r="AG580" s="12">
        <f t="shared" si="791"/>
        <v>0</v>
      </c>
      <c r="AH580" s="12">
        <f t="shared" si="792"/>
        <v>0</v>
      </c>
      <c r="AI580" s="10" t="s">
        <v>1059</v>
      </c>
      <c r="AJ580" s="12">
        <f t="shared" si="793"/>
        <v>0</v>
      </c>
      <c r="AK580" s="12">
        <f t="shared" si="794"/>
        <v>0</v>
      </c>
      <c r="AL580" s="12" t="e">
        <f t="shared" si="795"/>
        <v>#REF!</v>
      </c>
      <c r="AN580" s="12">
        <v>21</v>
      </c>
      <c r="AO580" s="12" t="e">
        <f>H580*0</f>
        <v>#REF!</v>
      </c>
      <c r="AP580" s="12" t="e">
        <f>H580*(1-0)</f>
        <v>#REF!</v>
      </c>
      <c r="AQ580" s="49" t="s">
        <v>564</v>
      </c>
      <c r="AV580" s="12" t="e">
        <f t="shared" si="796"/>
        <v>#REF!</v>
      </c>
      <c r="AW580" s="12" t="e">
        <f t="shared" si="797"/>
        <v>#REF!</v>
      </c>
      <c r="AX580" s="12" t="e">
        <f t="shared" si="798"/>
        <v>#REF!</v>
      </c>
      <c r="AY580" s="49" t="s">
        <v>574</v>
      </c>
      <c r="AZ580" s="49" t="s">
        <v>1061</v>
      </c>
      <c r="BA580" s="10" t="s">
        <v>1062</v>
      </c>
      <c r="BC580" s="12" t="e">
        <f t="shared" si="799"/>
        <v>#REF!</v>
      </c>
      <c r="BD580" s="12" t="e">
        <f t="shared" si="800"/>
        <v>#REF!</v>
      </c>
      <c r="BE580" s="12">
        <v>0</v>
      </c>
      <c r="BF580" s="12" t="e">
        <f t="shared" si="801"/>
        <v>#REF!</v>
      </c>
      <c r="BH580" s="12" t="e">
        <f t="shared" si="802"/>
        <v>#REF!</v>
      </c>
      <c r="BI580" s="12" t="e">
        <f t="shared" si="803"/>
        <v>#REF!</v>
      </c>
      <c r="BJ580" s="12" t="e">
        <f t="shared" si="804"/>
        <v>#REF!</v>
      </c>
      <c r="BK580" s="12"/>
      <c r="BL580" s="12">
        <v>0</v>
      </c>
      <c r="BW580" s="12" t="str">
        <f t="shared" si="805"/>
        <v>21</v>
      </c>
      <c r="BX580" s="3" t="s">
        <v>122</v>
      </c>
    </row>
    <row r="581" spans="1:76">
      <c r="A581" s="46" t="s">
        <v>21</v>
      </c>
      <c r="B581" s="9" t="s">
        <v>1059</v>
      </c>
      <c r="C581" s="9" t="s">
        <v>59</v>
      </c>
      <c r="D581" s="359" t="s">
        <v>60</v>
      </c>
      <c r="E581" s="360"/>
      <c r="F581" s="47" t="s">
        <v>20</v>
      </c>
      <c r="G581" s="47" t="s">
        <v>20</v>
      </c>
      <c r="H581" s="47" t="s">
        <v>20</v>
      </c>
      <c r="I581" s="47" t="s">
        <v>20</v>
      </c>
      <c r="J581" s="11" t="e">
        <f>SUM(J582:J582)</f>
        <v>#REF!</v>
      </c>
      <c r="K581" s="11" t="e">
        <f>SUM(K582:K582)</f>
        <v>#REF!</v>
      </c>
      <c r="L581" s="11" t="e">
        <f>SUM(L582:L582)</f>
        <v>#REF!</v>
      </c>
      <c r="M581" s="11" t="e">
        <f>SUM(M582:M582)</f>
        <v>#REF!</v>
      </c>
      <c r="N581" s="10" t="s">
        <v>21</v>
      </c>
      <c r="O581" s="11" t="e">
        <f>SUM(O582:O582)</f>
        <v>#REF!</v>
      </c>
      <c r="P581" s="48" t="s">
        <v>21</v>
      </c>
      <c r="AI581" s="10" t="s">
        <v>1059</v>
      </c>
      <c r="AS581" s="11">
        <f>SUM(AJ582:AJ582)</f>
        <v>0</v>
      </c>
      <c r="AT581" s="11">
        <f>SUM(AK582:AK582)</f>
        <v>0</v>
      </c>
      <c r="AU581" s="11" t="e">
        <f>SUM(AL582:AL582)</f>
        <v>#REF!</v>
      </c>
    </row>
    <row r="582" spans="1:76">
      <c r="A582" s="1" t="s">
        <v>1071</v>
      </c>
      <c r="B582" s="2" t="s">
        <v>1059</v>
      </c>
      <c r="C582" s="2" t="s">
        <v>61</v>
      </c>
      <c r="D582" s="349" t="s">
        <v>62</v>
      </c>
      <c r="E582" s="342"/>
      <c r="F582" s="2" t="s">
        <v>63</v>
      </c>
      <c r="G582" s="12" t="e">
        <f>#REF!</f>
        <v>#REF!</v>
      </c>
      <c r="H582" s="12" t="e">
        <f>#REF!</f>
        <v>#REF!</v>
      </c>
      <c r="I582" s="49" t="s">
        <v>554</v>
      </c>
      <c r="J582" s="12" t="e">
        <f>G582*AO582</f>
        <v>#REF!</v>
      </c>
      <c r="K582" s="12" t="e">
        <f>G582*AP582</f>
        <v>#REF!</v>
      </c>
      <c r="L582" s="12" t="e">
        <f>G582*H582</f>
        <v>#REF!</v>
      </c>
      <c r="M582" s="12" t="e">
        <f>L582*(1+BW582/100)</f>
        <v>#REF!</v>
      </c>
      <c r="N582" s="12">
        <v>2.0999999999999999E-3</v>
      </c>
      <c r="O582" s="12" t="e">
        <f>G582*N582</f>
        <v>#REF!</v>
      </c>
      <c r="P582" s="50" t="s">
        <v>577</v>
      </c>
      <c r="Z582" s="12">
        <f>IF(AQ582="5",BJ582,0)</f>
        <v>0</v>
      </c>
      <c r="AB582" s="12">
        <f>IF(AQ582="1",BH582,0)</f>
        <v>0</v>
      </c>
      <c r="AC582" s="12">
        <f>IF(AQ582="1",BI582,0)</f>
        <v>0</v>
      </c>
      <c r="AD582" s="12" t="e">
        <f>IF(AQ582="7",BH582,0)</f>
        <v>#REF!</v>
      </c>
      <c r="AE582" s="12" t="e">
        <f>IF(AQ582="7",BI582,0)</f>
        <v>#REF!</v>
      </c>
      <c r="AF582" s="12">
        <f>IF(AQ582="2",BH582,0)</f>
        <v>0</v>
      </c>
      <c r="AG582" s="12">
        <f>IF(AQ582="2",BI582,0)</f>
        <v>0</v>
      </c>
      <c r="AH582" s="12">
        <f>IF(AQ582="0",BJ582,0)</f>
        <v>0</v>
      </c>
      <c r="AI582" s="10" t="s">
        <v>1059</v>
      </c>
      <c r="AJ582" s="12">
        <f>IF(AN582=0,L582,0)</f>
        <v>0</v>
      </c>
      <c r="AK582" s="12">
        <f>IF(AN582=12,L582,0)</f>
        <v>0</v>
      </c>
      <c r="AL582" s="12" t="e">
        <f>IF(AN582=21,L582,0)</f>
        <v>#REF!</v>
      </c>
      <c r="AN582" s="12">
        <v>21</v>
      </c>
      <c r="AO582" s="12" t="e">
        <f>H582*0</f>
        <v>#REF!</v>
      </c>
      <c r="AP582" s="12" t="e">
        <f>H582*(1-0)</f>
        <v>#REF!</v>
      </c>
      <c r="AQ582" s="49" t="s">
        <v>567</v>
      </c>
      <c r="AV582" s="12" t="e">
        <f>AW582+AX582</f>
        <v>#REF!</v>
      </c>
      <c r="AW582" s="12" t="e">
        <f>G582*AO582</f>
        <v>#REF!</v>
      </c>
      <c r="AX582" s="12" t="e">
        <f>G582*AP582</f>
        <v>#REF!</v>
      </c>
      <c r="AY582" s="49" t="s">
        <v>578</v>
      </c>
      <c r="AZ582" s="49" t="s">
        <v>1072</v>
      </c>
      <c r="BA582" s="10" t="s">
        <v>1062</v>
      </c>
      <c r="BC582" s="12" t="e">
        <f>AW582+AX582</f>
        <v>#REF!</v>
      </c>
      <c r="BD582" s="12" t="e">
        <f>H582/(100-BE582)*100</f>
        <v>#REF!</v>
      </c>
      <c r="BE582" s="12">
        <v>0</v>
      </c>
      <c r="BF582" s="12" t="e">
        <f>O582</f>
        <v>#REF!</v>
      </c>
      <c r="BH582" s="12" t="e">
        <f>G582*AO582</f>
        <v>#REF!</v>
      </c>
      <c r="BI582" s="12" t="e">
        <f>G582*AP582</f>
        <v>#REF!</v>
      </c>
      <c r="BJ582" s="12" t="e">
        <f>G582*H582</f>
        <v>#REF!</v>
      </c>
      <c r="BK582" s="12"/>
      <c r="BL582" s="12">
        <v>713</v>
      </c>
      <c r="BW582" s="12" t="str">
        <f>I582</f>
        <v>21</v>
      </c>
      <c r="BX582" s="3" t="s">
        <v>62</v>
      </c>
    </row>
    <row r="583" spans="1:76">
      <c r="A583" s="46" t="s">
        <v>21</v>
      </c>
      <c r="B583" s="9" t="s">
        <v>1059</v>
      </c>
      <c r="C583" s="9" t="s">
        <v>126</v>
      </c>
      <c r="D583" s="359" t="s">
        <v>127</v>
      </c>
      <c r="E583" s="360"/>
      <c r="F583" s="47" t="s">
        <v>20</v>
      </c>
      <c r="G583" s="47" t="s">
        <v>20</v>
      </c>
      <c r="H583" s="47" t="s">
        <v>20</v>
      </c>
      <c r="I583" s="47" t="s">
        <v>20</v>
      </c>
      <c r="J583" s="11" t="e">
        <f>SUM(J584:J602)</f>
        <v>#REF!</v>
      </c>
      <c r="K583" s="11" t="e">
        <f>SUM(K584:K602)</f>
        <v>#REF!</v>
      </c>
      <c r="L583" s="11" t="e">
        <f>SUM(L584:L602)</f>
        <v>#REF!</v>
      </c>
      <c r="M583" s="11" t="e">
        <f>SUM(M584:M602)</f>
        <v>#REF!</v>
      </c>
      <c r="N583" s="10" t="s">
        <v>21</v>
      </c>
      <c r="O583" s="11" t="e">
        <f>SUM(O584:O602)</f>
        <v>#REF!</v>
      </c>
      <c r="P583" s="48" t="s">
        <v>21</v>
      </c>
      <c r="AI583" s="10" t="s">
        <v>1059</v>
      </c>
      <c r="AS583" s="11">
        <f>SUM(AJ584:AJ602)</f>
        <v>0</v>
      </c>
      <c r="AT583" s="11">
        <f>SUM(AK584:AK602)</f>
        <v>0</v>
      </c>
      <c r="AU583" s="11" t="e">
        <f>SUM(AL584:AL602)</f>
        <v>#REF!</v>
      </c>
    </row>
    <row r="584" spans="1:76">
      <c r="A584" s="1" t="s">
        <v>1073</v>
      </c>
      <c r="B584" s="2" t="s">
        <v>1059</v>
      </c>
      <c r="C584" s="2" t="s">
        <v>357</v>
      </c>
      <c r="D584" s="349" t="s">
        <v>358</v>
      </c>
      <c r="E584" s="342"/>
      <c r="F584" s="2" t="s">
        <v>68</v>
      </c>
      <c r="G584" s="12" t="e">
        <f>#REF!</f>
        <v>#REF!</v>
      </c>
      <c r="H584" s="12" t="e">
        <f>#REF!</f>
        <v>#REF!</v>
      </c>
      <c r="I584" s="49" t="s">
        <v>554</v>
      </c>
      <c r="J584" s="12" t="e">
        <f t="shared" ref="J584:J589" si="806">G584*AO584</f>
        <v>#REF!</v>
      </c>
      <c r="K584" s="12" t="e">
        <f t="shared" ref="K584:K589" si="807">G584*AP584</f>
        <v>#REF!</v>
      </c>
      <c r="L584" s="12" t="e">
        <f t="shared" ref="L584:L589" si="808">G584*H584</f>
        <v>#REF!</v>
      </c>
      <c r="M584" s="12" t="e">
        <f t="shared" ref="M584:M589" si="809">L584*(1+BW584/100)</f>
        <v>#REF!</v>
      </c>
      <c r="N584" s="12">
        <v>2.4399999999999999E-3</v>
      </c>
      <c r="O584" s="12" t="e">
        <f t="shared" ref="O584:O589" si="810">G584*N584</f>
        <v>#REF!</v>
      </c>
      <c r="P584" s="50" t="s">
        <v>577</v>
      </c>
      <c r="Z584" s="12">
        <f t="shared" ref="Z584:Z589" si="811">IF(AQ584="5",BJ584,0)</f>
        <v>0</v>
      </c>
      <c r="AB584" s="12">
        <f t="shared" ref="AB584:AB589" si="812">IF(AQ584="1",BH584,0)</f>
        <v>0</v>
      </c>
      <c r="AC584" s="12">
        <f t="shared" ref="AC584:AC589" si="813">IF(AQ584="1",BI584,0)</f>
        <v>0</v>
      </c>
      <c r="AD584" s="12" t="e">
        <f t="shared" ref="AD584:AD589" si="814">IF(AQ584="7",BH584,0)</f>
        <v>#REF!</v>
      </c>
      <c r="AE584" s="12" t="e">
        <f t="shared" ref="AE584:AE589" si="815">IF(AQ584="7",BI584,0)</f>
        <v>#REF!</v>
      </c>
      <c r="AF584" s="12">
        <f t="shared" ref="AF584:AF589" si="816">IF(AQ584="2",BH584,0)</f>
        <v>0</v>
      </c>
      <c r="AG584" s="12">
        <f t="shared" ref="AG584:AG589" si="817">IF(AQ584="2",BI584,0)</f>
        <v>0</v>
      </c>
      <c r="AH584" s="12">
        <f t="shared" ref="AH584:AH589" si="818">IF(AQ584="0",BJ584,0)</f>
        <v>0</v>
      </c>
      <c r="AI584" s="10" t="s">
        <v>1059</v>
      </c>
      <c r="AJ584" s="12">
        <f t="shared" ref="AJ584:AJ589" si="819">IF(AN584=0,L584,0)</f>
        <v>0</v>
      </c>
      <c r="AK584" s="12">
        <f t="shared" ref="AK584:AK589" si="820">IF(AN584=12,L584,0)</f>
        <v>0</v>
      </c>
      <c r="AL584" s="12" t="e">
        <f t="shared" ref="AL584:AL589" si="821">IF(AN584=21,L584,0)</f>
        <v>#REF!</v>
      </c>
      <c r="AN584" s="12">
        <v>21</v>
      </c>
      <c r="AO584" s="12" t="e">
        <f>H584*0</f>
        <v>#REF!</v>
      </c>
      <c r="AP584" s="12" t="e">
        <f>H584*(1-0)</f>
        <v>#REF!</v>
      </c>
      <c r="AQ584" s="49" t="s">
        <v>567</v>
      </c>
      <c r="AV584" s="12" t="e">
        <f t="shared" ref="AV584:AV589" si="822">AW584+AX584</f>
        <v>#REF!</v>
      </c>
      <c r="AW584" s="12" t="e">
        <f t="shared" ref="AW584:AW589" si="823">G584*AO584</f>
        <v>#REF!</v>
      </c>
      <c r="AX584" s="12" t="e">
        <f t="shared" ref="AX584:AX589" si="824">G584*AP584</f>
        <v>#REF!</v>
      </c>
      <c r="AY584" s="49" t="s">
        <v>610</v>
      </c>
      <c r="AZ584" s="49" t="s">
        <v>1074</v>
      </c>
      <c r="BA584" s="10" t="s">
        <v>1062</v>
      </c>
      <c r="BC584" s="12" t="e">
        <f t="shared" ref="BC584:BC589" si="825">AW584+AX584</f>
        <v>#REF!</v>
      </c>
      <c r="BD584" s="12" t="e">
        <f t="shared" ref="BD584:BD589" si="826">H584/(100-BE584)*100</f>
        <v>#REF!</v>
      </c>
      <c r="BE584" s="12">
        <v>0</v>
      </c>
      <c r="BF584" s="12" t="e">
        <f t="shared" ref="BF584:BF589" si="827">O584</f>
        <v>#REF!</v>
      </c>
      <c r="BH584" s="12" t="e">
        <f t="shared" ref="BH584:BH589" si="828">G584*AO584</f>
        <v>#REF!</v>
      </c>
      <c r="BI584" s="12" t="e">
        <f t="shared" ref="BI584:BI589" si="829">G584*AP584</f>
        <v>#REF!</v>
      </c>
      <c r="BJ584" s="12" t="e">
        <f t="shared" ref="BJ584:BJ589" si="830">G584*H584</f>
        <v>#REF!</v>
      </c>
      <c r="BK584" s="12"/>
      <c r="BL584" s="12">
        <v>722</v>
      </c>
      <c r="BW584" s="12" t="str">
        <f t="shared" ref="BW584:BW589" si="831">I584</f>
        <v>21</v>
      </c>
      <c r="BX584" s="3" t="s">
        <v>358</v>
      </c>
    </row>
    <row r="585" spans="1:76">
      <c r="A585" s="1" t="s">
        <v>1075</v>
      </c>
      <c r="B585" s="2" t="s">
        <v>1059</v>
      </c>
      <c r="C585" s="2" t="s">
        <v>359</v>
      </c>
      <c r="D585" s="349" t="s">
        <v>360</v>
      </c>
      <c r="E585" s="342"/>
      <c r="F585" s="2" t="s">
        <v>63</v>
      </c>
      <c r="G585" s="12" t="e">
        <f>#REF!</f>
        <v>#REF!</v>
      </c>
      <c r="H585" s="12" t="e">
        <f>#REF!</f>
        <v>#REF!</v>
      </c>
      <c r="I585" s="49" t="s">
        <v>554</v>
      </c>
      <c r="J585" s="12" t="e">
        <f t="shared" si="806"/>
        <v>#REF!</v>
      </c>
      <c r="K585" s="12" t="e">
        <f t="shared" si="807"/>
        <v>#REF!</v>
      </c>
      <c r="L585" s="12" t="e">
        <f t="shared" si="808"/>
        <v>#REF!</v>
      </c>
      <c r="M585" s="12" t="e">
        <f t="shared" si="809"/>
        <v>#REF!</v>
      </c>
      <c r="N585" s="12">
        <v>2.9E-4</v>
      </c>
      <c r="O585" s="12" t="e">
        <f t="shared" si="810"/>
        <v>#REF!</v>
      </c>
      <c r="P585" s="50" t="s">
        <v>577</v>
      </c>
      <c r="Z585" s="12">
        <f t="shared" si="811"/>
        <v>0</v>
      </c>
      <c r="AB585" s="12">
        <f t="shared" si="812"/>
        <v>0</v>
      </c>
      <c r="AC585" s="12">
        <f t="shared" si="813"/>
        <v>0</v>
      </c>
      <c r="AD585" s="12" t="e">
        <f t="shared" si="814"/>
        <v>#REF!</v>
      </c>
      <c r="AE585" s="12" t="e">
        <f t="shared" si="815"/>
        <v>#REF!</v>
      </c>
      <c r="AF585" s="12">
        <f t="shared" si="816"/>
        <v>0</v>
      </c>
      <c r="AG585" s="12">
        <f t="shared" si="817"/>
        <v>0</v>
      </c>
      <c r="AH585" s="12">
        <f t="shared" si="818"/>
        <v>0</v>
      </c>
      <c r="AI585" s="10" t="s">
        <v>1059</v>
      </c>
      <c r="AJ585" s="12">
        <f t="shared" si="819"/>
        <v>0</v>
      </c>
      <c r="AK585" s="12">
        <f t="shared" si="820"/>
        <v>0</v>
      </c>
      <c r="AL585" s="12" t="e">
        <f t="shared" si="821"/>
        <v>#REF!</v>
      </c>
      <c r="AN585" s="12">
        <v>21</v>
      </c>
      <c r="AO585" s="12" t="e">
        <f>H585*0</f>
        <v>#REF!</v>
      </c>
      <c r="AP585" s="12" t="e">
        <f>H585*(1-0)</f>
        <v>#REF!</v>
      </c>
      <c r="AQ585" s="49" t="s">
        <v>567</v>
      </c>
      <c r="AV585" s="12" t="e">
        <f t="shared" si="822"/>
        <v>#REF!</v>
      </c>
      <c r="AW585" s="12" t="e">
        <f t="shared" si="823"/>
        <v>#REF!</v>
      </c>
      <c r="AX585" s="12" t="e">
        <f t="shared" si="824"/>
        <v>#REF!</v>
      </c>
      <c r="AY585" s="49" t="s">
        <v>610</v>
      </c>
      <c r="AZ585" s="49" t="s">
        <v>1074</v>
      </c>
      <c r="BA585" s="10" t="s">
        <v>1062</v>
      </c>
      <c r="BC585" s="12" t="e">
        <f t="shared" si="825"/>
        <v>#REF!</v>
      </c>
      <c r="BD585" s="12" t="e">
        <f t="shared" si="826"/>
        <v>#REF!</v>
      </c>
      <c r="BE585" s="12">
        <v>0</v>
      </c>
      <c r="BF585" s="12" t="e">
        <f t="shared" si="827"/>
        <v>#REF!</v>
      </c>
      <c r="BH585" s="12" t="e">
        <f t="shared" si="828"/>
        <v>#REF!</v>
      </c>
      <c r="BI585" s="12" t="e">
        <f t="shared" si="829"/>
        <v>#REF!</v>
      </c>
      <c r="BJ585" s="12" t="e">
        <f t="shared" si="830"/>
        <v>#REF!</v>
      </c>
      <c r="BK585" s="12"/>
      <c r="BL585" s="12">
        <v>722</v>
      </c>
      <c r="BW585" s="12" t="str">
        <f t="shared" si="831"/>
        <v>21</v>
      </c>
      <c r="BX585" s="3" t="s">
        <v>360</v>
      </c>
    </row>
    <row r="586" spans="1:76">
      <c r="A586" s="1" t="s">
        <v>1076</v>
      </c>
      <c r="B586" s="2" t="s">
        <v>1059</v>
      </c>
      <c r="C586" s="2" t="s">
        <v>361</v>
      </c>
      <c r="D586" s="349" t="s">
        <v>362</v>
      </c>
      <c r="E586" s="342"/>
      <c r="F586" s="2" t="s">
        <v>68</v>
      </c>
      <c r="G586" s="12" t="e">
        <f>#REF!</f>
        <v>#REF!</v>
      </c>
      <c r="H586" s="12" t="e">
        <f>#REF!</f>
        <v>#REF!</v>
      </c>
      <c r="I586" s="49" t="s">
        <v>554</v>
      </c>
      <c r="J586" s="12" t="e">
        <f t="shared" si="806"/>
        <v>#REF!</v>
      </c>
      <c r="K586" s="12" t="e">
        <f t="shared" si="807"/>
        <v>#REF!</v>
      </c>
      <c r="L586" s="12" t="e">
        <f t="shared" si="808"/>
        <v>#REF!</v>
      </c>
      <c r="M586" s="12" t="e">
        <f t="shared" si="809"/>
        <v>#REF!</v>
      </c>
      <c r="N586" s="12">
        <v>6.0200000000000002E-3</v>
      </c>
      <c r="O586" s="12" t="e">
        <f t="shared" si="810"/>
        <v>#REF!</v>
      </c>
      <c r="P586" s="50" t="s">
        <v>577</v>
      </c>
      <c r="Z586" s="12">
        <f t="shared" si="811"/>
        <v>0</v>
      </c>
      <c r="AB586" s="12">
        <f t="shared" si="812"/>
        <v>0</v>
      </c>
      <c r="AC586" s="12">
        <f t="shared" si="813"/>
        <v>0</v>
      </c>
      <c r="AD586" s="12" t="e">
        <f t="shared" si="814"/>
        <v>#REF!</v>
      </c>
      <c r="AE586" s="12" t="e">
        <f t="shared" si="815"/>
        <v>#REF!</v>
      </c>
      <c r="AF586" s="12">
        <f t="shared" si="816"/>
        <v>0</v>
      </c>
      <c r="AG586" s="12">
        <f t="shared" si="817"/>
        <v>0</v>
      </c>
      <c r="AH586" s="12">
        <f t="shared" si="818"/>
        <v>0</v>
      </c>
      <c r="AI586" s="10" t="s">
        <v>1059</v>
      </c>
      <c r="AJ586" s="12">
        <f t="shared" si="819"/>
        <v>0</v>
      </c>
      <c r="AK586" s="12">
        <f t="shared" si="820"/>
        <v>0</v>
      </c>
      <c r="AL586" s="12" t="e">
        <f t="shared" si="821"/>
        <v>#REF!</v>
      </c>
      <c r="AN586" s="12">
        <v>21</v>
      </c>
      <c r="AO586" s="12" t="e">
        <f>H586*0.591079336</f>
        <v>#REF!</v>
      </c>
      <c r="AP586" s="12" t="e">
        <f>H586*(1-0.591079336)</f>
        <v>#REF!</v>
      </c>
      <c r="AQ586" s="49" t="s">
        <v>567</v>
      </c>
      <c r="AV586" s="12" t="e">
        <f t="shared" si="822"/>
        <v>#REF!</v>
      </c>
      <c r="AW586" s="12" t="e">
        <f t="shared" si="823"/>
        <v>#REF!</v>
      </c>
      <c r="AX586" s="12" t="e">
        <f t="shared" si="824"/>
        <v>#REF!</v>
      </c>
      <c r="AY586" s="49" t="s">
        <v>610</v>
      </c>
      <c r="AZ586" s="49" t="s">
        <v>1074</v>
      </c>
      <c r="BA586" s="10" t="s">
        <v>1062</v>
      </c>
      <c r="BC586" s="12" t="e">
        <f t="shared" si="825"/>
        <v>#REF!</v>
      </c>
      <c r="BD586" s="12" t="e">
        <f t="shared" si="826"/>
        <v>#REF!</v>
      </c>
      <c r="BE586" s="12">
        <v>0</v>
      </c>
      <c r="BF586" s="12" t="e">
        <f t="shared" si="827"/>
        <v>#REF!</v>
      </c>
      <c r="BH586" s="12" t="e">
        <f t="shared" si="828"/>
        <v>#REF!</v>
      </c>
      <c r="BI586" s="12" t="e">
        <f t="shared" si="829"/>
        <v>#REF!</v>
      </c>
      <c r="BJ586" s="12" t="e">
        <f t="shared" si="830"/>
        <v>#REF!</v>
      </c>
      <c r="BK586" s="12"/>
      <c r="BL586" s="12">
        <v>722</v>
      </c>
      <c r="BW586" s="12" t="str">
        <f t="shared" si="831"/>
        <v>21</v>
      </c>
      <c r="BX586" s="3" t="s">
        <v>362</v>
      </c>
    </row>
    <row r="587" spans="1:76">
      <c r="A587" s="1" t="s">
        <v>1077</v>
      </c>
      <c r="B587" s="2" t="s">
        <v>1059</v>
      </c>
      <c r="C587" s="2" t="s">
        <v>136</v>
      </c>
      <c r="D587" s="349" t="s">
        <v>137</v>
      </c>
      <c r="E587" s="342"/>
      <c r="F587" s="2" t="s">
        <v>63</v>
      </c>
      <c r="G587" s="12" t="e">
        <f>#REF!</f>
        <v>#REF!</v>
      </c>
      <c r="H587" s="12" t="e">
        <f>#REF!</f>
        <v>#REF!</v>
      </c>
      <c r="I587" s="49" t="s">
        <v>554</v>
      </c>
      <c r="J587" s="12" t="e">
        <f t="shared" si="806"/>
        <v>#REF!</v>
      </c>
      <c r="K587" s="12" t="e">
        <f t="shared" si="807"/>
        <v>#REF!</v>
      </c>
      <c r="L587" s="12" t="e">
        <f t="shared" si="808"/>
        <v>#REF!</v>
      </c>
      <c r="M587" s="12" t="e">
        <f t="shared" si="809"/>
        <v>#REF!</v>
      </c>
      <c r="N587" s="12">
        <v>5.3499999999999997E-3</v>
      </c>
      <c r="O587" s="12" t="e">
        <f t="shared" si="810"/>
        <v>#REF!</v>
      </c>
      <c r="P587" s="50" t="s">
        <v>577</v>
      </c>
      <c r="Z587" s="12">
        <f t="shared" si="811"/>
        <v>0</v>
      </c>
      <c r="AB587" s="12">
        <f t="shared" si="812"/>
        <v>0</v>
      </c>
      <c r="AC587" s="12">
        <f t="shared" si="813"/>
        <v>0</v>
      </c>
      <c r="AD587" s="12" t="e">
        <f t="shared" si="814"/>
        <v>#REF!</v>
      </c>
      <c r="AE587" s="12" t="e">
        <f t="shared" si="815"/>
        <v>#REF!</v>
      </c>
      <c r="AF587" s="12">
        <f t="shared" si="816"/>
        <v>0</v>
      </c>
      <c r="AG587" s="12">
        <f t="shared" si="817"/>
        <v>0</v>
      </c>
      <c r="AH587" s="12">
        <f t="shared" si="818"/>
        <v>0</v>
      </c>
      <c r="AI587" s="10" t="s">
        <v>1059</v>
      </c>
      <c r="AJ587" s="12">
        <f t="shared" si="819"/>
        <v>0</v>
      </c>
      <c r="AK587" s="12">
        <f t="shared" si="820"/>
        <v>0</v>
      </c>
      <c r="AL587" s="12" t="e">
        <f t="shared" si="821"/>
        <v>#REF!</v>
      </c>
      <c r="AN587" s="12">
        <v>21</v>
      </c>
      <c r="AO587" s="12" t="e">
        <f>H587*0.334193548</f>
        <v>#REF!</v>
      </c>
      <c r="AP587" s="12" t="e">
        <f>H587*(1-0.334193548)</f>
        <v>#REF!</v>
      </c>
      <c r="AQ587" s="49" t="s">
        <v>567</v>
      </c>
      <c r="AV587" s="12" t="e">
        <f t="shared" si="822"/>
        <v>#REF!</v>
      </c>
      <c r="AW587" s="12" t="e">
        <f t="shared" si="823"/>
        <v>#REF!</v>
      </c>
      <c r="AX587" s="12" t="e">
        <f t="shared" si="824"/>
        <v>#REF!</v>
      </c>
      <c r="AY587" s="49" t="s">
        <v>610</v>
      </c>
      <c r="AZ587" s="49" t="s">
        <v>1074</v>
      </c>
      <c r="BA587" s="10" t="s">
        <v>1062</v>
      </c>
      <c r="BC587" s="12" t="e">
        <f t="shared" si="825"/>
        <v>#REF!</v>
      </c>
      <c r="BD587" s="12" t="e">
        <f t="shared" si="826"/>
        <v>#REF!</v>
      </c>
      <c r="BE587" s="12">
        <v>0</v>
      </c>
      <c r="BF587" s="12" t="e">
        <f t="shared" si="827"/>
        <v>#REF!</v>
      </c>
      <c r="BH587" s="12" t="e">
        <f t="shared" si="828"/>
        <v>#REF!</v>
      </c>
      <c r="BI587" s="12" t="e">
        <f t="shared" si="829"/>
        <v>#REF!</v>
      </c>
      <c r="BJ587" s="12" t="e">
        <f t="shared" si="830"/>
        <v>#REF!</v>
      </c>
      <c r="BK587" s="12"/>
      <c r="BL587" s="12">
        <v>722</v>
      </c>
      <c r="BW587" s="12" t="str">
        <f t="shared" si="831"/>
        <v>21</v>
      </c>
      <c r="BX587" s="3" t="s">
        <v>137</v>
      </c>
    </row>
    <row r="588" spans="1:76">
      <c r="A588" s="1" t="s">
        <v>1078</v>
      </c>
      <c r="B588" s="2" t="s">
        <v>1059</v>
      </c>
      <c r="C588" s="2" t="s">
        <v>450</v>
      </c>
      <c r="D588" s="349" t="s">
        <v>451</v>
      </c>
      <c r="E588" s="342"/>
      <c r="F588" s="2" t="s">
        <v>63</v>
      </c>
      <c r="G588" s="12" t="e">
        <f>#REF!</f>
        <v>#REF!</v>
      </c>
      <c r="H588" s="12" t="e">
        <f>#REF!</f>
        <v>#REF!</v>
      </c>
      <c r="I588" s="49" t="s">
        <v>554</v>
      </c>
      <c r="J588" s="12" t="e">
        <f t="shared" si="806"/>
        <v>#REF!</v>
      </c>
      <c r="K588" s="12" t="e">
        <f t="shared" si="807"/>
        <v>#REF!</v>
      </c>
      <c r="L588" s="12" t="e">
        <f t="shared" si="808"/>
        <v>#REF!</v>
      </c>
      <c r="M588" s="12" t="e">
        <f t="shared" si="809"/>
        <v>#REF!</v>
      </c>
      <c r="N588" s="12">
        <v>3.9899999999999996E-3</v>
      </c>
      <c r="O588" s="12" t="e">
        <f t="shared" si="810"/>
        <v>#REF!</v>
      </c>
      <c r="P588" s="50" t="s">
        <v>577</v>
      </c>
      <c r="Z588" s="12">
        <f t="shared" si="811"/>
        <v>0</v>
      </c>
      <c r="AB588" s="12">
        <f t="shared" si="812"/>
        <v>0</v>
      </c>
      <c r="AC588" s="12">
        <f t="shared" si="813"/>
        <v>0</v>
      </c>
      <c r="AD588" s="12" t="e">
        <f t="shared" si="814"/>
        <v>#REF!</v>
      </c>
      <c r="AE588" s="12" t="e">
        <f t="shared" si="815"/>
        <v>#REF!</v>
      </c>
      <c r="AF588" s="12">
        <f t="shared" si="816"/>
        <v>0</v>
      </c>
      <c r="AG588" s="12">
        <f t="shared" si="817"/>
        <v>0</v>
      </c>
      <c r="AH588" s="12">
        <f t="shared" si="818"/>
        <v>0</v>
      </c>
      <c r="AI588" s="10" t="s">
        <v>1059</v>
      </c>
      <c r="AJ588" s="12">
        <f t="shared" si="819"/>
        <v>0</v>
      </c>
      <c r="AK588" s="12">
        <f t="shared" si="820"/>
        <v>0</v>
      </c>
      <c r="AL588" s="12" t="e">
        <f t="shared" si="821"/>
        <v>#REF!</v>
      </c>
      <c r="AN588" s="12">
        <v>21</v>
      </c>
      <c r="AO588" s="12" t="e">
        <f>H588*0.226912114</f>
        <v>#REF!</v>
      </c>
      <c r="AP588" s="12" t="e">
        <f>H588*(1-0.226912114)</f>
        <v>#REF!</v>
      </c>
      <c r="AQ588" s="49" t="s">
        <v>567</v>
      </c>
      <c r="AV588" s="12" t="e">
        <f t="shared" si="822"/>
        <v>#REF!</v>
      </c>
      <c r="AW588" s="12" t="e">
        <f t="shared" si="823"/>
        <v>#REF!</v>
      </c>
      <c r="AX588" s="12" t="e">
        <f t="shared" si="824"/>
        <v>#REF!</v>
      </c>
      <c r="AY588" s="49" t="s">
        <v>610</v>
      </c>
      <c r="AZ588" s="49" t="s">
        <v>1074</v>
      </c>
      <c r="BA588" s="10" t="s">
        <v>1062</v>
      </c>
      <c r="BC588" s="12" t="e">
        <f t="shared" si="825"/>
        <v>#REF!</v>
      </c>
      <c r="BD588" s="12" t="e">
        <f t="shared" si="826"/>
        <v>#REF!</v>
      </c>
      <c r="BE588" s="12">
        <v>0</v>
      </c>
      <c r="BF588" s="12" t="e">
        <f t="shared" si="827"/>
        <v>#REF!</v>
      </c>
      <c r="BH588" s="12" t="e">
        <f t="shared" si="828"/>
        <v>#REF!</v>
      </c>
      <c r="BI588" s="12" t="e">
        <f t="shared" si="829"/>
        <v>#REF!</v>
      </c>
      <c r="BJ588" s="12" t="e">
        <f t="shared" si="830"/>
        <v>#REF!</v>
      </c>
      <c r="BK588" s="12"/>
      <c r="BL588" s="12">
        <v>722</v>
      </c>
      <c r="BW588" s="12" t="str">
        <f t="shared" si="831"/>
        <v>21</v>
      </c>
      <c r="BX588" s="3" t="s">
        <v>451</v>
      </c>
    </row>
    <row r="589" spans="1:76">
      <c r="A589" s="1" t="s">
        <v>1079</v>
      </c>
      <c r="B589" s="2" t="s">
        <v>1059</v>
      </c>
      <c r="C589" s="2" t="s">
        <v>143</v>
      </c>
      <c r="D589" s="349" t="s">
        <v>363</v>
      </c>
      <c r="E589" s="342"/>
      <c r="F589" s="2" t="s">
        <v>63</v>
      </c>
      <c r="G589" s="12" t="e">
        <f>#REF!</f>
        <v>#REF!</v>
      </c>
      <c r="H589" s="12" t="e">
        <f>#REF!</f>
        <v>#REF!</v>
      </c>
      <c r="I589" s="49" t="s">
        <v>554</v>
      </c>
      <c r="J589" s="12" t="e">
        <f t="shared" si="806"/>
        <v>#REF!</v>
      </c>
      <c r="K589" s="12" t="e">
        <f t="shared" si="807"/>
        <v>#REF!</v>
      </c>
      <c r="L589" s="12" t="e">
        <f t="shared" si="808"/>
        <v>#REF!</v>
      </c>
      <c r="M589" s="12" t="e">
        <f t="shared" si="809"/>
        <v>#REF!</v>
      </c>
      <c r="N589" s="12">
        <v>6.9999999999999994E-5</v>
      </c>
      <c r="O589" s="12" t="e">
        <f t="shared" si="810"/>
        <v>#REF!</v>
      </c>
      <c r="P589" s="50" t="s">
        <v>577</v>
      </c>
      <c r="Z589" s="12">
        <f t="shared" si="811"/>
        <v>0</v>
      </c>
      <c r="AB589" s="12">
        <f t="shared" si="812"/>
        <v>0</v>
      </c>
      <c r="AC589" s="12">
        <f t="shared" si="813"/>
        <v>0</v>
      </c>
      <c r="AD589" s="12" t="e">
        <f t="shared" si="814"/>
        <v>#REF!</v>
      </c>
      <c r="AE589" s="12" t="e">
        <f t="shared" si="815"/>
        <v>#REF!</v>
      </c>
      <c r="AF589" s="12">
        <f t="shared" si="816"/>
        <v>0</v>
      </c>
      <c r="AG589" s="12">
        <f t="shared" si="817"/>
        <v>0</v>
      </c>
      <c r="AH589" s="12">
        <f t="shared" si="818"/>
        <v>0</v>
      </c>
      <c r="AI589" s="10" t="s">
        <v>1059</v>
      </c>
      <c r="AJ589" s="12">
        <f t="shared" si="819"/>
        <v>0</v>
      </c>
      <c r="AK589" s="12">
        <f t="shared" si="820"/>
        <v>0</v>
      </c>
      <c r="AL589" s="12" t="e">
        <f t="shared" si="821"/>
        <v>#REF!</v>
      </c>
      <c r="AN589" s="12">
        <v>21</v>
      </c>
      <c r="AO589" s="12" t="e">
        <f>H589*0.599757869</f>
        <v>#REF!</v>
      </c>
      <c r="AP589" s="12" t="e">
        <f>H589*(1-0.599757869)</f>
        <v>#REF!</v>
      </c>
      <c r="AQ589" s="49" t="s">
        <v>567</v>
      </c>
      <c r="AV589" s="12" t="e">
        <f t="shared" si="822"/>
        <v>#REF!</v>
      </c>
      <c r="AW589" s="12" t="e">
        <f t="shared" si="823"/>
        <v>#REF!</v>
      </c>
      <c r="AX589" s="12" t="e">
        <f t="shared" si="824"/>
        <v>#REF!</v>
      </c>
      <c r="AY589" s="49" t="s">
        <v>610</v>
      </c>
      <c r="AZ589" s="49" t="s">
        <v>1074</v>
      </c>
      <c r="BA589" s="10" t="s">
        <v>1062</v>
      </c>
      <c r="BC589" s="12" t="e">
        <f t="shared" si="825"/>
        <v>#REF!</v>
      </c>
      <c r="BD589" s="12" t="e">
        <f t="shared" si="826"/>
        <v>#REF!</v>
      </c>
      <c r="BE589" s="12">
        <v>0</v>
      </c>
      <c r="BF589" s="12" t="e">
        <f t="shared" si="827"/>
        <v>#REF!</v>
      </c>
      <c r="BH589" s="12" t="e">
        <f t="shared" si="828"/>
        <v>#REF!</v>
      </c>
      <c r="BI589" s="12" t="e">
        <f t="shared" si="829"/>
        <v>#REF!</v>
      </c>
      <c r="BJ589" s="12" t="e">
        <f t="shared" si="830"/>
        <v>#REF!</v>
      </c>
      <c r="BK589" s="12"/>
      <c r="BL589" s="12">
        <v>722</v>
      </c>
      <c r="BW589" s="12" t="str">
        <f t="shared" si="831"/>
        <v>21</v>
      </c>
      <c r="BX589" s="3" t="s">
        <v>363</v>
      </c>
    </row>
    <row r="590" spans="1:76">
      <c r="A590" s="51"/>
      <c r="C590" s="13" t="s">
        <v>117</v>
      </c>
      <c r="D590" s="363" t="s">
        <v>142</v>
      </c>
      <c r="E590" s="364"/>
      <c r="F590" s="364"/>
      <c r="G590" s="364"/>
      <c r="H590" s="364"/>
      <c r="I590" s="364"/>
      <c r="J590" s="364"/>
      <c r="K590" s="364"/>
      <c r="L590" s="364"/>
      <c r="M590" s="364"/>
      <c r="N590" s="364"/>
      <c r="O590" s="364"/>
      <c r="P590" s="365"/>
      <c r="BX590" s="14" t="s">
        <v>142</v>
      </c>
    </row>
    <row r="591" spans="1:76">
      <c r="A591" s="1" t="s">
        <v>1080</v>
      </c>
      <c r="B591" s="2" t="s">
        <v>1059</v>
      </c>
      <c r="C591" s="2" t="s">
        <v>145</v>
      </c>
      <c r="D591" s="349" t="s">
        <v>365</v>
      </c>
      <c r="E591" s="342"/>
      <c r="F591" s="2" t="s">
        <v>63</v>
      </c>
      <c r="G591" s="12" t="e">
        <f>#REF!</f>
        <v>#REF!</v>
      </c>
      <c r="H591" s="12" t="e">
        <f>#REF!</f>
        <v>#REF!</v>
      </c>
      <c r="I591" s="49" t="s">
        <v>554</v>
      </c>
      <c r="J591" s="12" t="e">
        <f>G591*AO591</f>
        <v>#REF!</v>
      </c>
      <c r="K591" s="12" t="e">
        <f>G591*AP591</f>
        <v>#REF!</v>
      </c>
      <c r="L591" s="12" t="e">
        <f>G591*H591</f>
        <v>#REF!</v>
      </c>
      <c r="M591" s="12" t="e">
        <f>L591*(1+BW591/100)</f>
        <v>#REF!</v>
      </c>
      <c r="N591" s="12">
        <v>4.0000000000000003E-5</v>
      </c>
      <c r="O591" s="12" t="e">
        <f>G591*N591</f>
        <v>#REF!</v>
      </c>
      <c r="P591" s="50" t="s">
        <v>577</v>
      </c>
      <c r="Z591" s="12">
        <f>IF(AQ591="5",BJ591,0)</f>
        <v>0</v>
      </c>
      <c r="AB591" s="12">
        <f>IF(AQ591="1",BH591,0)</f>
        <v>0</v>
      </c>
      <c r="AC591" s="12">
        <f>IF(AQ591="1",BI591,0)</f>
        <v>0</v>
      </c>
      <c r="AD591" s="12" t="e">
        <f>IF(AQ591="7",BH591,0)</f>
        <v>#REF!</v>
      </c>
      <c r="AE591" s="12" t="e">
        <f>IF(AQ591="7",BI591,0)</f>
        <v>#REF!</v>
      </c>
      <c r="AF591" s="12">
        <f>IF(AQ591="2",BH591,0)</f>
        <v>0</v>
      </c>
      <c r="AG591" s="12">
        <f>IF(AQ591="2",BI591,0)</f>
        <v>0</v>
      </c>
      <c r="AH591" s="12">
        <f>IF(AQ591="0",BJ591,0)</f>
        <v>0</v>
      </c>
      <c r="AI591" s="10" t="s">
        <v>1059</v>
      </c>
      <c r="AJ591" s="12">
        <f>IF(AN591=0,L591,0)</f>
        <v>0</v>
      </c>
      <c r="AK591" s="12">
        <f>IF(AN591=12,L591,0)</f>
        <v>0</v>
      </c>
      <c r="AL591" s="12" t="e">
        <f>IF(AN591=21,L591,0)</f>
        <v>#REF!</v>
      </c>
      <c r="AN591" s="12">
        <v>21</v>
      </c>
      <c r="AO591" s="12" t="e">
        <f>H591*0.354296875</f>
        <v>#REF!</v>
      </c>
      <c r="AP591" s="12" t="e">
        <f>H591*(1-0.354296875)</f>
        <v>#REF!</v>
      </c>
      <c r="AQ591" s="49" t="s">
        <v>567</v>
      </c>
      <c r="AV591" s="12" t="e">
        <f>AW591+AX591</f>
        <v>#REF!</v>
      </c>
      <c r="AW591" s="12" t="e">
        <f>G591*AO591</f>
        <v>#REF!</v>
      </c>
      <c r="AX591" s="12" t="e">
        <f>G591*AP591</f>
        <v>#REF!</v>
      </c>
      <c r="AY591" s="49" t="s">
        <v>610</v>
      </c>
      <c r="AZ591" s="49" t="s">
        <v>1074</v>
      </c>
      <c r="BA591" s="10" t="s">
        <v>1062</v>
      </c>
      <c r="BC591" s="12" t="e">
        <f>AW591+AX591</f>
        <v>#REF!</v>
      </c>
      <c r="BD591" s="12" t="e">
        <f>H591/(100-BE591)*100</f>
        <v>#REF!</v>
      </c>
      <c r="BE591" s="12">
        <v>0</v>
      </c>
      <c r="BF591" s="12" t="e">
        <f>O591</f>
        <v>#REF!</v>
      </c>
      <c r="BH591" s="12" t="e">
        <f>G591*AO591</f>
        <v>#REF!</v>
      </c>
      <c r="BI591" s="12" t="e">
        <f>G591*AP591</f>
        <v>#REF!</v>
      </c>
      <c r="BJ591" s="12" t="e">
        <f>G591*H591</f>
        <v>#REF!</v>
      </c>
      <c r="BK591" s="12"/>
      <c r="BL591" s="12">
        <v>722</v>
      </c>
      <c r="BW591" s="12" t="str">
        <f>I591</f>
        <v>21</v>
      </c>
      <c r="BX591" s="3" t="s">
        <v>365</v>
      </c>
    </row>
    <row r="592" spans="1:76">
      <c r="A592" s="51"/>
      <c r="C592" s="13" t="s">
        <v>117</v>
      </c>
      <c r="D592" s="363" t="s">
        <v>142</v>
      </c>
      <c r="E592" s="364"/>
      <c r="F592" s="364"/>
      <c r="G592" s="364"/>
      <c r="H592" s="364"/>
      <c r="I592" s="364"/>
      <c r="J592" s="364"/>
      <c r="K592" s="364"/>
      <c r="L592" s="364"/>
      <c r="M592" s="364"/>
      <c r="N592" s="364"/>
      <c r="O592" s="364"/>
      <c r="P592" s="365"/>
      <c r="BX592" s="14" t="s">
        <v>142</v>
      </c>
    </row>
    <row r="593" spans="1:76">
      <c r="A593" s="1" t="s">
        <v>1081</v>
      </c>
      <c r="B593" s="2" t="s">
        <v>1059</v>
      </c>
      <c r="C593" s="2" t="s">
        <v>452</v>
      </c>
      <c r="D593" s="349" t="s">
        <v>453</v>
      </c>
      <c r="E593" s="342"/>
      <c r="F593" s="2" t="s">
        <v>63</v>
      </c>
      <c r="G593" s="12" t="e">
        <f>#REF!</f>
        <v>#REF!</v>
      </c>
      <c r="H593" s="12" t="e">
        <f>#REF!</f>
        <v>#REF!</v>
      </c>
      <c r="I593" s="49" t="s">
        <v>554</v>
      </c>
      <c r="J593" s="12" t="e">
        <f>G593*AO593</f>
        <v>#REF!</v>
      </c>
      <c r="K593" s="12" t="e">
        <f>G593*AP593</f>
        <v>#REF!</v>
      </c>
      <c r="L593" s="12" t="e">
        <f>G593*H593</f>
        <v>#REF!</v>
      </c>
      <c r="M593" s="12" t="e">
        <f>L593*(1+BW593/100)</f>
        <v>#REF!</v>
      </c>
      <c r="N593" s="12">
        <v>4.0000000000000003E-5</v>
      </c>
      <c r="O593" s="12" t="e">
        <f>G593*N593</f>
        <v>#REF!</v>
      </c>
      <c r="P593" s="50" t="s">
        <v>577</v>
      </c>
      <c r="Z593" s="12">
        <f>IF(AQ593="5",BJ593,0)</f>
        <v>0</v>
      </c>
      <c r="AB593" s="12">
        <f>IF(AQ593="1",BH593,0)</f>
        <v>0</v>
      </c>
      <c r="AC593" s="12">
        <f>IF(AQ593="1",BI593,0)</f>
        <v>0</v>
      </c>
      <c r="AD593" s="12" t="e">
        <f>IF(AQ593="7",BH593,0)</f>
        <v>#REF!</v>
      </c>
      <c r="AE593" s="12" t="e">
        <f>IF(AQ593="7",BI593,0)</f>
        <v>#REF!</v>
      </c>
      <c r="AF593" s="12">
        <f>IF(AQ593="2",BH593,0)</f>
        <v>0</v>
      </c>
      <c r="AG593" s="12">
        <f>IF(AQ593="2",BI593,0)</f>
        <v>0</v>
      </c>
      <c r="AH593" s="12">
        <f>IF(AQ593="0",BJ593,0)</f>
        <v>0</v>
      </c>
      <c r="AI593" s="10" t="s">
        <v>1059</v>
      </c>
      <c r="AJ593" s="12">
        <f>IF(AN593=0,L593,0)</f>
        <v>0</v>
      </c>
      <c r="AK593" s="12">
        <f>IF(AN593=12,L593,0)</f>
        <v>0</v>
      </c>
      <c r="AL593" s="12" t="e">
        <f>IF(AN593=21,L593,0)</f>
        <v>#REF!</v>
      </c>
      <c r="AN593" s="12">
        <v>21</v>
      </c>
      <c r="AO593" s="12" t="e">
        <f>H593*0.507638843</f>
        <v>#REF!</v>
      </c>
      <c r="AP593" s="12" t="e">
        <f>H593*(1-0.507638843)</f>
        <v>#REF!</v>
      </c>
      <c r="AQ593" s="49" t="s">
        <v>567</v>
      </c>
      <c r="AV593" s="12" t="e">
        <f>AW593+AX593</f>
        <v>#REF!</v>
      </c>
      <c r="AW593" s="12" t="e">
        <f>G593*AO593</f>
        <v>#REF!</v>
      </c>
      <c r="AX593" s="12" t="e">
        <f>G593*AP593</f>
        <v>#REF!</v>
      </c>
      <c r="AY593" s="49" t="s">
        <v>610</v>
      </c>
      <c r="AZ593" s="49" t="s">
        <v>1074</v>
      </c>
      <c r="BA593" s="10" t="s">
        <v>1062</v>
      </c>
      <c r="BC593" s="12" t="e">
        <f>AW593+AX593</f>
        <v>#REF!</v>
      </c>
      <c r="BD593" s="12" t="e">
        <f>H593/(100-BE593)*100</f>
        <v>#REF!</v>
      </c>
      <c r="BE593" s="12">
        <v>0</v>
      </c>
      <c r="BF593" s="12" t="e">
        <f>O593</f>
        <v>#REF!</v>
      </c>
      <c r="BH593" s="12" t="e">
        <f>G593*AO593</f>
        <v>#REF!</v>
      </c>
      <c r="BI593" s="12" t="e">
        <f>G593*AP593</f>
        <v>#REF!</v>
      </c>
      <c r="BJ593" s="12" t="e">
        <f>G593*H593</f>
        <v>#REF!</v>
      </c>
      <c r="BK593" s="12"/>
      <c r="BL593" s="12">
        <v>722</v>
      </c>
      <c r="BW593" s="12" t="str">
        <f>I593</f>
        <v>21</v>
      </c>
      <c r="BX593" s="3" t="s">
        <v>453</v>
      </c>
    </row>
    <row r="594" spans="1:76">
      <c r="A594" s="51"/>
      <c r="C594" s="13" t="s">
        <v>117</v>
      </c>
      <c r="D594" s="363" t="s">
        <v>142</v>
      </c>
      <c r="E594" s="364"/>
      <c r="F594" s="364"/>
      <c r="G594" s="364"/>
      <c r="H594" s="364"/>
      <c r="I594" s="364"/>
      <c r="J594" s="364"/>
      <c r="K594" s="364"/>
      <c r="L594" s="364"/>
      <c r="M594" s="364"/>
      <c r="N594" s="364"/>
      <c r="O594" s="364"/>
      <c r="P594" s="365"/>
      <c r="BX594" s="14" t="s">
        <v>142</v>
      </c>
    </row>
    <row r="595" spans="1:76">
      <c r="A595" s="1" t="s">
        <v>1082</v>
      </c>
      <c r="B595" s="2" t="s">
        <v>1059</v>
      </c>
      <c r="C595" s="2" t="s">
        <v>366</v>
      </c>
      <c r="D595" s="349" t="s">
        <v>367</v>
      </c>
      <c r="E595" s="342"/>
      <c r="F595" s="2" t="s">
        <v>68</v>
      </c>
      <c r="G595" s="12" t="e">
        <f>#REF!</f>
        <v>#REF!</v>
      </c>
      <c r="H595" s="12" t="e">
        <f>#REF!</f>
        <v>#REF!</v>
      </c>
      <c r="I595" s="49" t="s">
        <v>554</v>
      </c>
      <c r="J595" s="12" t="e">
        <f t="shared" ref="J595:J602" si="832">G595*AO595</f>
        <v>#REF!</v>
      </c>
      <c r="K595" s="12" t="e">
        <f t="shared" ref="K595:K602" si="833">G595*AP595</f>
        <v>#REF!</v>
      </c>
      <c r="L595" s="12" t="e">
        <f t="shared" ref="L595:L602" si="834">G595*H595</f>
        <v>#REF!</v>
      </c>
      <c r="M595" s="12" t="e">
        <f t="shared" ref="M595:M602" si="835">L595*(1+BW595/100)</f>
        <v>#REF!</v>
      </c>
      <c r="N595" s="12">
        <v>1E-3</v>
      </c>
      <c r="O595" s="12" t="e">
        <f t="shared" ref="O595:O602" si="836">G595*N595</f>
        <v>#REF!</v>
      </c>
      <c r="P595" s="50" t="s">
        <v>577</v>
      </c>
      <c r="Z595" s="12">
        <f t="shared" ref="Z595:Z602" si="837">IF(AQ595="5",BJ595,0)</f>
        <v>0</v>
      </c>
      <c r="AB595" s="12">
        <f t="shared" ref="AB595:AB602" si="838">IF(AQ595="1",BH595,0)</f>
        <v>0</v>
      </c>
      <c r="AC595" s="12">
        <f t="shared" ref="AC595:AC602" si="839">IF(AQ595="1",BI595,0)</f>
        <v>0</v>
      </c>
      <c r="AD595" s="12" t="e">
        <f t="shared" ref="AD595:AD602" si="840">IF(AQ595="7",BH595,0)</f>
        <v>#REF!</v>
      </c>
      <c r="AE595" s="12" t="e">
        <f t="shared" ref="AE595:AE602" si="841">IF(AQ595="7",BI595,0)</f>
        <v>#REF!</v>
      </c>
      <c r="AF595" s="12">
        <f t="shared" ref="AF595:AF602" si="842">IF(AQ595="2",BH595,0)</f>
        <v>0</v>
      </c>
      <c r="AG595" s="12">
        <f t="shared" ref="AG595:AG602" si="843">IF(AQ595="2",BI595,0)</f>
        <v>0</v>
      </c>
      <c r="AH595" s="12">
        <f t="shared" ref="AH595:AH602" si="844">IF(AQ595="0",BJ595,0)</f>
        <v>0</v>
      </c>
      <c r="AI595" s="10" t="s">
        <v>1059</v>
      </c>
      <c r="AJ595" s="12">
        <f t="shared" ref="AJ595:AJ602" si="845">IF(AN595=0,L595,0)</f>
        <v>0</v>
      </c>
      <c r="AK595" s="12">
        <f t="shared" ref="AK595:AK602" si="846">IF(AN595=12,L595,0)</f>
        <v>0</v>
      </c>
      <c r="AL595" s="12" t="e">
        <f t="shared" ref="AL595:AL602" si="847">IF(AN595=21,L595,0)</f>
        <v>#REF!</v>
      </c>
      <c r="AN595" s="12">
        <v>21</v>
      </c>
      <c r="AO595" s="12" t="e">
        <f>H595*0.945125475</f>
        <v>#REF!</v>
      </c>
      <c r="AP595" s="12" t="e">
        <f>H595*(1-0.945125475)</f>
        <v>#REF!</v>
      </c>
      <c r="AQ595" s="49" t="s">
        <v>567</v>
      </c>
      <c r="AV595" s="12" t="e">
        <f t="shared" ref="AV595:AV602" si="848">AW595+AX595</f>
        <v>#REF!</v>
      </c>
      <c r="AW595" s="12" t="e">
        <f t="shared" ref="AW595:AW602" si="849">G595*AO595</f>
        <v>#REF!</v>
      </c>
      <c r="AX595" s="12" t="e">
        <f t="shared" ref="AX595:AX602" si="850">G595*AP595</f>
        <v>#REF!</v>
      </c>
      <c r="AY595" s="49" t="s">
        <v>610</v>
      </c>
      <c r="AZ595" s="49" t="s">
        <v>1074</v>
      </c>
      <c r="BA595" s="10" t="s">
        <v>1062</v>
      </c>
      <c r="BC595" s="12" t="e">
        <f t="shared" ref="BC595:BC602" si="851">AW595+AX595</f>
        <v>#REF!</v>
      </c>
      <c r="BD595" s="12" t="e">
        <f t="shared" ref="BD595:BD602" si="852">H595/(100-BE595)*100</f>
        <v>#REF!</v>
      </c>
      <c r="BE595" s="12">
        <v>0</v>
      </c>
      <c r="BF595" s="12" t="e">
        <f t="shared" ref="BF595:BF602" si="853">O595</f>
        <v>#REF!</v>
      </c>
      <c r="BH595" s="12" t="e">
        <f t="shared" ref="BH595:BH602" si="854">G595*AO595</f>
        <v>#REF!</v>
      </c>
      <c r="BI595" s="12" t="e">
        <f t="shared" ref="BI595:BI602" si="855">G595*AP595</f>
        <v>#REF!</v>
      </c>
      <c r="BJ595" s="12" t="e">
        <f t="shared" ref="BJ595:BJ602" si="856">G595*H595</f>
        <v>#REF!</v>
      </c>
      <c r="BK595" s="12"/>
      <c r="BL595" s="12">
        <v>722</v>
      </c>
      <c r="BW595" s="12" t="str">
        <f t="shared" ref="BW595:BW602" si="857">I595</f>
        <v>21</v>
      </c>
      <c r="BX595" s="3" t="s">
        <v>367</v>
      </c>
    </row>
    <row r="596" spans="1:76">
      <c r="A596" s="1" t="s">
        <v>1083</v>
      </c>
      <c r="B596" s="2" t="s">
        <v>1059</v>
      </c>
      <c r="C596" s="2" t="s">
        <v>368</v>
      </c>
      <c r="D596" s="349" t="s">
        <v>369</v>
      </c>
      <c r="E596" s="342"/>
      <c r="F596" s="2" t="s">
        <v>68</v>
      </c>
      <c r="G596" s="12" t="e">
        <f>#REF!</f>
        <v>#REF!</v>
      </c>
      <c r="H596" s="12" t="e">
        <f>#REF!</f>
        <v>#REF!</v>
      </c>
      <c r="I596" s="49" t="s">
        <v>554</v>
      </c>
      <c r="J596" s="12" t="e">
        <f t="shared" si="832"/>
        <v>#REF!</v>
      </c>
      <c r="K596" s="12" t="e">
        <f t="shared" si="833"/>
        <v>#REF!</v>
      </c>
      <c r="L596" s="12" t="e">
        <f t="shared" si="834"/>
        <v>#REF!</v>
      </c>
      <c r="M596" s="12" t="e">
        <f t="shared" si="835"/>
        <v>#REF!</v>
      </c>
      <c r="N596" s="12">
        <v>1.5E-3</v>
      </c>
      <c r="O596" s="12" t="e">
        <f t="shared" si="836"/>
        <v>#REF!</v>
      </c>
      <c r="P596" s="50" t="s">
        <v>577</v>
      </c>
      <c r="Z596" s="12">
        <f t="shared" si="837"/>
        <v>0</v>
      </c>
      <c r="AB596" s="12">
        <f t="shared" si="838"/>
        <v>0</v>
      </c>
      <c r="AC596" s="12">
        <f t="shared" si="839"/>
        <v>0</v>
      </c>
      <c r="AD596" s="12" t="e">
        <f t="shared" si="840"/>
        <v>#REF!</v>
      </c>
      <c r="AE596" s="12" t="e">
        <f t="shared" si="841"/>
        <v>#REF!</v>
      </c>
      <c r="AF596" s="12">
        <f t="shared" si="842"/>
        <v>0</v>
      </c>
      <c r="AG596" s="12">
        <f t="shared" si="843"/>
        <v>0</v>
      </c>
      <c r="AH596" s="12">
        <f t="shared" si="844"/>
        <v>0</v>
      </c>
      <c r="AI596" s="10" t="s">
        <v>1059</v>
      </c>
      <c r="AJ596" s="12">
        <f t="shared" si="845"/>
        <v>0</v>
      </c>
      <c r="AK596" s="12">
        <f t="shared" si="846"/>
        <v>0</v>
      </c>
      <c r="AL596" s="12" t="e">
        <f t="shared" si="847"/>
        <v>#REF!</v>
      </c>
      <c r="AN596" s="12">
        <v>21</v>
      </c>
      <c r="AO596" s="12" t="e">
        <f>H596*0.958778158</f>
        <v>#REF!</v>
      </c>
      <c r="AP596" s="12" t="e">
        <f>H596*(1-0.958778158)</f>
        <v>#REF!</v>
      </c>
      <c r="AQ596" s="49" t="s">
        <v>567</v>
      </c>
      <c r="AV596" s="12" t="e">
        <f t="shared" si="848"/>
        <v>#REF!</v>
      </c>
      <c r="AW596" s="12" t="e">
        <f t="shared" si="849"/>
        <v>#REF!</v>
      </c>
      <c r="AX596" s="12" t="e">
        <f t="shared" si="850"/>
        <v>#REF!</v>
      </c>
      <c r="AY596" s="49" t="s">
        <v>610</v>
      </c>
      <c r="AZ596" s="49" t="s">
        <v>1074</v>
      </c>
      <c r="BA596" s="10" t="s">
        <v>1062</v>
      </c>
      <c r="BC596" s="12" t="e">
        <f t="shared" si="851"/>
        <v>#REF!</v>
      </c>
      <c r="BD596" s="12" t="e">
        <f t="shared" si="852"/>
        <v>#REF!</v>
      </c>
      <c r="BE596" s="12">
        <v>0</v>
      </c>
      <c r="BF596" s="12" t="e">
        <f t="shared" si="853"/>
        <v>#REF!</v>
      </c>
      <c r="BH596" s="12" t="e">
        <f t="shared" si="854"/>
        <v>#REF!</v>
      </c>
      <c r="BI596" s="12" t="e">
        <f t="shared" si="855"/>
        <v>#REF!</v>
      </c>
      <c r="BJ596" s="12" t="e">
        <f t="shared" si="856"/>
        <v>#REF!</v>
      </c>
      <c r="BK596" s="12"/>
      <c r="BL596" s="12">
        <v>722</v>
      </c>
      <c r="BW596" s="12" t="str">
        <f t="shared" si="857"/>
        <v>21</v>
      </c>
      <c r="BX596" s="3" t="s">
        <v>369</v>
      </c>
    </row>
    <row r="597" spans="1:76">
      <c r="A597" s="1" t="s">
        <v>1084</v>
      </c>
      <c r="B597" s="2" t="s">
        <v>1059</v>
      </c>
      <c r="C597" s="2" t="s">
        <v>149</v>
      </c>
      <c r="D597" s="349" t="s">
        <v>150</v>
      </c>
      <c r="E597" s="342"/>
      <c r="F597" s="2" t="s">
        <v>68</v>
      </c>
      <c r="G597" s="12" t="e">
        <f>#REF!</f>
        <v>#REF!</v>
      </c>
      <c r="H597" s="12" t="e">
        <f>#REF!</f>
        <v>#REF!</v>
      </c>
      <c r="I597" s="49" t="s">
        <v>554</v>
      </c>
      <c r="J597" s="12" t="e">
        <f t="shared" si="832"/>
        <v>#REF!</v>
      </c>
      <c r="K597" s="12" t="e">
        <f t="shared" si="833"/>
        <v>#REF!</v>
      </c>
      <c r="L597" s="12" t="e">
        <f t="shared" si="834"/>
        <v>#REF!</v>
      </c>
      <c r="M597" s="12" t="e">
        <f t="shared" si="835"/>
        <v>#REF!</v>
      </c>
      <c r="N597" s="12">
        <v>3.2000000000000003E-4</v>
      </c>
      <c r="O597" s="12" t="e">
        <f t="shared" si="836"/>
        <v>#REF!</v>
      </c>
      <c r="P597" s="50" t="s">
        <v>605</v>
      </c>
      <c r="Z597" s="12">
        <f t="shared" si="837"/>
        <v>0</v>
      </c>
      <c r="AB597" s="12">
        <f t="shared" si="838"/>
        <v>0</v>
      </c>
      <c r="AC597" s="12">
        <f t="shared" si="839"/>
        <v>0</v>
      </c>
      <c r="AD597" s="12" t="e">
        <f t="shared" si="840"/>
        <v>#REF!</v>
      </c>
      <c r="AE597" s="12" t="e">
        <f t="shared" si="841"/>
        <v>#REF!</v>
      </c>
      <c r="AF597" s="12">
        <f t="shared" si="842"/>
        <v>0</v>
      </c>
      <c r="AG597" s="12">
        <f t="shared" si="843"/>
        <v>0</v>
      </c>
      <c r="AH597" s="12">
        <f t="shared" si="844"/>
        <v>0</v>
      </c>
      <c r="AI597" s="10" t="s">
        <v>1059</v>
      </c>
      <c r="AJ597" s="12">
        <f t="shared" si="845"/>
        <v>0</v>
      </c>
      <c r="AK597" s="12">
        <f t="shared" si="846"/>
        <v>0</v>
      </c>
      <c r="AL597" s="12" t="e">
        <f t="shared" si="847"/>
        <v>#REF!</v>
      </c>
      <c r="AN597" s="12">
        <v>21</v>
      </c>
      <c r="AO597" s="12" t="e">
        <f>H597*0.767472727</f>
        <v>#REF!</v>
      </c>
      <c r="AP597" s="12" t="e">
        <f>H597*(1-0.767472727)</f>
        <v>#REF!</v>
      </c>
      <c r="AQ597" s="49" t="s">
        <v>567</v>
      </c>
      <c r="AV597" s="12" t="e">
        <f t="shared" si="848"/>
        <v>#REF!</v>
      </c>
      <c r="AW597" s="12" t="e">
        <f t="shared" si="849"/>
        <v>#REF!</v>
      </c>
      <c r="AX597" s="12" t="e">
        <f t="shared" si="850"/>
        <v>#REF!</v>
      </c>
      <c r="AY597" s="49" t="s">
        <v>610</v>
      </c>
      <c r="AZ597" s="49" t="s">
        <v>1074</v>
      </c>
      <c r="BA597" s="10" t="s">
        <v>1062</v>
      </c>
      <c r="BC597" s="12" t="e">
        <f t="shared" si="851"/>
        <v>#REF!</v>
      </c>
      <c r="BD597" s="12" t="e">
        <f t="shared" si="852"/>
        <v>#REF!</v>
      </c>
      <c r="BE597" s="12">
        <v>0</v>
      </c>
      <c r="BF597" s="12" t="e">
        <f t="shared" si="853"/>
        <v>#REF!</v>
      </c>
      <c r="BH597" s="12" t="e">
        <f t="shared" si="854"/>
        <v>#REF!</v>
      </c>
      <c r="BI597" s="12" t="e">
        <f t="shared" si="855"/>
        <v>#REF!</v>
      </c>
      <c r="BJ597" s="12" t="e">
        <f t="shared" si="856"/>
        <v>#REF!</v>
      </c>
      <c r="BK597" s="12"/>
      <c r="BL597" s="12">
        <v>722</v>
      </c>
      <c r="BW597" s="12" t="str">
        <f t="shared" si="857"/>
        <v>21</v>
      </c>
      <c r="BX597" s="3" t="s">
        <v>150</v>
      </c>
    </row>
    <row r="598" spans="1:76">
      <c r="A598" s="1" t="s">
        <v>1085</v>
      </c>
      <c r="B598" s="2" t="s">
        <v>1059</v>
      </c>
      <c r="C598" s="2" t="s">
        <v>370</v>
      </c>
      <c r="D598" s="349" t="s">
        <v>371</v>
      </c>
      <c r="E598" s="342"/>
      <c r="F598" s="2" t="s">
        <v>68</v>
      </c>
      <c r="G598" s="12" t="e">
        <f>#REF!</f>
        <v>#REF!</v>
      </c>
      <c r="H598" s="12" t="e">
        <f>#REF!</f>
        <v>#REF!</v>
      </c>
      <c r="I598" s="49" t="s">
        <v>554</v>
      </c>
      <c r="J598" s="12" t="e">
        <f t="shared" si="832"/>
        <v>#REF!</v>
      </c>
      <c r="K598" s="12" t="e">
        <f t="shared" si="833"/>
        <v>#REF!</v>
      </c>
      <c r="L598" s="12" t="e">
        <f t="shared" si="834"/>
        <v>#REF!</v>
      </c>
      <c r="M598" s="12" t="e">
        <f t="shared" si="835"/>
        <v>#REF!</v>
      </c>
      <c r="N598" s="12">
        <v>5.1999999999999995E-4</v>
      </c>
      <c r="O598" s="12" t="e">
        <f t="shared" si="836"/>
        <v>#REF!</v>
      </c>
      <c r="P598" s="50" t="s">
        <v>605</v>
      </c>
      <c r="Z598" s="12">
        <f t="shared" si="837"/>
        <v>0</v>
      </c>
      <c r="AB598" s="12">
        <f t="shared" si="838"/>
        <v>0</v>
      </c>
      <c r="AC598" s="12">
        <f t="shared" si="839"/>
        <v>0</v>
      </c>
      <c r="AD598" s="12" t="e">
        <f t="shared" si="840"/>
        <v>#REF!</v>
      </c>
      <c r="AE598" s="12" t="e">
        <f t="shared" si="841"/>
        <v>#REF!</v>
      </c>
      <c r="AF598" s="12">
        <f t="shared" si="842"/>
        <v>0</v>
      </c>
      <c r="AG598" s="12">
        <f t="shared" si="843"/>
        <v>0</v>
      </c>
      <c r="AH598" s="12">
        <f t="shared" si="844"/>
        <v>0</v>
      </c>
      <c r="AI598" s="10" t="s">
        <v>1059</v>
      </c>
      <c r="AJ598" s="12">
        <f t="shared" si="845"/>
        <v>0</v>
      </c>
      <c r="AK598" s="12">
        <f t="shared" si="846"/>
        <v>0</v>
      </c>
      <c r="AL598" s="12" t="e">
        <f t="shared" si="847"/>
        <v>#REF!</v>
      </c>
      <c r="AN598" s="12">
        <v>21</v>
      </c>
      <c r="AO598" s="12" t="e">
        <f>H598*0.869366701</f>
        <v>#REF!</v>
      </c>
      <c r="AP598" s="12" t="e">
        <f>H598*(1-0.869366701)</f>
        <v>#REF!</v>
      </c>
      <c r="AQ598" s="49" t="s">
        <v>567</v>
      </c>
      <c r="AV598" s="12" t="e">
        <f t="shared" si="848"/>
        <v>#REF!</v>
      </c>
      <c r="AW598" s="12" t="e">
        <f t="shared" si="849"/>
        <v>#REF!</v>
      </c>
      <c r="AX598" s="12" t="e">
        <f t="shared" si="850"/>
        <v>#REF!</v>
      </c>
      <c r="AY598" s="49" t="s">
        <v>610</v>
      </c>
      <c r="AZ598" s="49" t="s">
        <v>1074</v>
      </c>
      <c r="BA598" s="10" t="s">
        <v>1062</v>
      </c>
      <c r="BC598" s="12" t="e">
        <f t="shared" si="851"/>
        <v>#REF!</v>
      </c>
      <c r="BD598" s="12" t="e">
        <f t="shared" si="852"/>
        <v>#REF!</v>
      </c>
      <c r="BE598" s="12">
        <v>0</v>
      </c>
      <c r="BF598" s="12" t="e">
        <f t="shared" si="853"/>
        <v>#REF!</v>
      </c>
      <c r="BH598" s="12" t="e">
        <f t="shared" si="854"/>
        <v>#REF!</v>
      </c>
      <c r="BI598" s="12" t="e">
        <f t="shared" si="855"/>
        <v>#REF!</v>
      </c>
      <c r="BJ598" s="12" t="e">
        <f t="shared" si="856"/>
        <v>#REF!</v>
      </c>
      <c r="BK598" s="12"/>
      <c r="BL598" s="12">
        <v>722</v>
      </c>
      <c r="BW598" s="12" t="str">
        <f t="shared" si="857"/>
        <v>21</v>
      </c>
      <c r="BX598" s="3" t="s">
        <v>371</v>
      </c>
    </row>
    <row r="599" spans="1:76">
      <c r="A599" s="1" t="s">
        <v>1086</v>
      </c>
      <c r="B599" s="2" t="s">
        <v>1059</v>
      </c>
      <c r="C599" s="2" t="s">
        <v>372</v>
      </c>
      <c r="D599" s="349" t="s">
        <v>373</v>
      </c>
      <c r="E599" s="342"/>
      <c r="F599" s="2" t="s">
        <v>68</v>
      </c>
      <c r="G599" s="12" t="e">
        <f>#REF!</f>
        <v>#REF!</v>
      </c>
      <c r="H599" s="12" t="e">
        <f>#REF!</f>
        <v>#REF!</v>
      </c>
      <c r="I599" s="49" t="s">
        <v>554</v>
      </c>
      <c r="J599" s="12" t="e">
        <f t="shared" si="832"/>
        <v>#REF!</v>
      </c>
      <c r="K599" s="12" t="e">
        <f t="shared" si="833"/>
        <v>#REF!</v>
      </c>
      <c r="L599" s="12" t="e">
        <f t="shared" si="834"/>
        <v>#REF!</v>
      </c>
      <c r="M599" s="12" t="e">
        <f t="shared" si="835"/>
        <v>#REF!</v>
      </c>
      <c r="N599" s="12">
        <v>5.0000000000000001E-4</v>
      </c>
      <c r="O599" s="12" t="e">
        <f t="shared" si="836"/>
        <v>#REF!</v>
      </c>
      <c r="P599" s="50" t="s">
        <v>605</v>
      </c>
      <c r="Z599" s="12">
        <f t="shared" si="837"/>
        <v>0</v>
      </c>
      <c r="AB599" s="12">
        <f t="shared" si="838"/>
        <v>0</v>
      </c>
      <c r="AC599" s="12">
        <f t="shared" si="839"/>
        <v>0</v>
      </c>
      <c r="AD599" s="12" t="e">
        <f t="shared" si="840"/>
        <v>#REF!</v>
      </c>
      <c r="AE599" s="12" t="e">
        <f t="shared" si="841"/>
        <v>#REF!</v>
      </c>
      <c r="AF599" s="12">
        <f t="shared" si="842"/>
        <v>0</v>
      </c>
      <c r="AG599" s="12">
        <f t="shared" si="843"/>
        <v>0</v>
      </c>
      <c r="AH599" s="12">
        <f t="shared" si="844"/>
        <v>0</v>
      </c>
      <c r="AI599" s="10" t="s">
        <v>1059</v>
      </c>
      <c r="AJ599" s="12">
        <f t="shared" si="845"/>
        <v>0</v>
      </c>
      <c r="AK599" s="12">
        <f t="shared" si="846"/>
        <v>0</v>
      </c>
      <c r="AL599" s="12" t="e">
        <f t="shared" si="847"/>
        <v>#REF!</v>
      </c>
      <c r="AN599" s="12">
        <v>21</v>
      </c>
      <c r="AO599" s="12" t="e">
        <f>H599*0.767894737</f>
        <v>#REF!</v>
      </c>
      <c r="AP599" s="12" t="e">
        <f>H599*(1-0.767894737)</f>
        <v>#REF!</v>
      </c>
      <c r="AQ599" s="49" t="s">
        <v>567</v>
      </c>
      <c r="AV599" s="12" t="e">
        <f t="shared" si="848"/>
        <v>#REF!</v>
      </c>
      <c r="AW599" s="12" t="e">
        <f t="shared" si="849"/>
        <v>#REF!</v>
      </c>
      <c r="AX599" s="12" t="e">
        <f t="shared" si="850"/>
        <v>#REF!</v>
      </c>
      <c r="AY599" s="49" t="s">
        <v>610</v>
      </c>
      <c r="AZ599" s="49" t="s">
        <v>1074</v>
      </c>
      <c r="BA599" s="10" t="s">
        <v>1062</v>
      </c>
      <c r="BC599" s="12" t="e">
        <f t="shared" si="851"/>
        <v>#REF!</v>
      </c>
      <c r="BD599" s="12" t="e">
        <f t="shared" si="852"/>
        <v>#REF!</v>
      </c>
      <c r="BE599" s="12">
        <v>0</v>
      </c>
      <c r="BF599" s="12" t="e">
        <f t="shared" si="853"/>
        <v>#REF!</v>
      </c>
      <c r="BH599" s="12" t="e">
        <f t="shared" si="854"/>
        <v>#REF!</v>
      </c>
      <c r="BI599" s="12" t="e">
        <f t="shared" si="855"/>
        <v>#REF!</v>
      </c>
      <c r="BJ599" s="12" t="e">
        <f t="shared" si="856"/>
        <v>#REF!</v>
      </c>
      <c r="BK599" s="12"/>
      <c r="BL599" s="12">
        <v>722</v>
      </c>
      <c r="BW599" s="12" t="str">
        <f t="shared" si="857"/>
        <v>21</v>
      </c>
      <c r="BX599" s="3" t="s">
        <v>373</v>
      </c>
    </row>
    <row r="600" spans="1:76">
      <c r="A600" s="1" t="s">
        <v>1087</v>
      </c>
      <c r="B600" s="2" t="s">
        <v>1059</v>
      </c>
      <c r="C600" s="2" t="s">
        <v>156</v>
      </c>
      <c r="D600" s="349" t="s">
        <v>157</v>
      </c>
      <c r="E600" s="342"/>
      <c r="F600" s="2" t="s">
        <v>68</v>
      </c>
      <c r="G600" s="12" t="e">
        <f>#REF!</f>
        <v>#REF!</v>
      </c>
      <c r="H600" s="12" t="e">
        <f>#REF!</f>
        <v>#REF!</v>
      </c>
      <c r="I600" s="49" t="s">
        <v>554</v>
      </c>
      <c r="J600" s="12" t="e">
        <f t="shared" si="832"/>
        <v>#REF!</v>
      </c>
      <c r="K600" s="12" t="e">
        <f t="shared" si="833"/>
        <v>#REF!</v>
      </c>
      <c r="L600" s="12" t="e">
        <f t="shared" si="834"/>
        <v>#REF!</v>
      </c>
      <c r="M600" s="12" t="e">
        <f t="shared" si="835"/>
        <v>#REF!</v>
      </c>
      <c r="N600" s="12">
        <v>3.6999999999999999E-4</v>
      </c>
      <c r="O600" s="12" t="e">
        <f t="shared" si="836"/>
        <v>#REF!</v>
      </c>
      <c r="P600" s="50" t="s">
        <v>605</v>
      </c>
      <c r="Z600" s="12">
        <f t="shared" si="837"/>
        <v>0</v>
      </c>
      <c r="AB600" s="12">
        <f t="shared" si="838"/>
        <v>0</v>
      </c>
      <c r="AC600" s="12">
        <f t="shared" si="839"/>
        <v>0</v>
      </c>
      <c r="AD600" s="12" t="e">
        <f t="shared" si="840"/>
        <v>#REF!</v>
      </c>
      <c r="AE600" s="12" t="e">
        <f t="shared" si="841"/>
        <v>#REF!</v>
      </c>
      <c r="AF600" s="12">
        <f t="shared" si="842"/>
        <v>0</v>
      </c>
      <c r="AG600" s="12">
        <f t="shared" si="843"/>
        <v>0</v>
      </c>
      <c r="AH600" s="12">
        <f t="shared" si="844"/>
        <v>0</v>
      </c>
      <c r="AI600" s="10" t="s">
        <v>1059</v>
      </c>
      <c r="AJ600" s="12">
        <f t="shared" si="845"/>
        <v>0</v>
      </c>
      <c r="AK600" s="12">
        <f t="shared" si="846"/>
        <v>0</v>
      </c>
      <c r="AL600" s="12" t="e">
        <f t="shared" si="847"/>
        <v>#REF!</v>
      </c>
      <c r="AN600" s="12">
        <v>21</v>
      </c>
      <c r="AO600" s="12" t="e">
        <f>H600*0.901698693</f>
        <v>#REF!</v>
      </c>
      <c r="AP600" s="12" t="e">
        <f>H600*(1-0.901698693)</f>
        <v>#REF!</v>
      </c>
      <c r="AQ600" s="49" t="s">
        <v>567</v>
      </c>
      <c r="AV600" s="12" t="e">
        <f t="shared" si="848"/>
        <v>#REF!</v>
      </c>
      <c r="AW600" s="12" t="e">
        <f t="shared" si="849"/>
        <v>#REF!</v>
      </c>
      <c r="AX600" s="12" t="e">
        <f t="shared" si="850"/>
        <v>#REF!</v>
      </c>
      <c r="AY600" s="49" t="s">
        <v>610</v>
      </c>
      <c r="AZ600" s="49" t="s">
        <v>1074</v>
      </c>
      <c r="BA600" s="10" t="s">
        <v>1062</v>
      </c>
      <c r="BC600" s="12" t="e">
        <f t="shared" si="851"/>
        <v>#REF!</v>
      </c>
      <c r="BD600" s="12" t="e">
        <f t="shared" si="852"/>
        <v>#REF!</v>
      </c>
      <c r="BE600" s="12">
        <v>0</v>
      </c>
      <c r="BF600" s="12" t="e">
        <f t="shared" si="853"/>
        <v>#REF!</v>
      </c>
      <c r="BH600" s="12" t="e">
        <f t="shared" si="854"/>
        <v>#REF!</v>
      </c>
      <c r="BI600" s="12" t="e">
        <f t="shared" si="855"/>
        <v>#REF!</v>
      </c>
      <c r="BJ600" s="12" t="e">
        <f t="shared" si="856"/>
        <v>#REF!</v>
      </c>
      <c r="BK600" s="12"/>
      <c r="BL600" s="12">
        <v>722</v>
      </c>
      <c r="BW600" s="12" t="str">
        <f t="shared" si="857"/>
        <v>21</v>
      </c>
      <c r="BX600" s="3" t="s">
        <v>157</v>
      </c>
    </row>
    <row r="601" spans="1:76">
      <c r="A601" s="1" t="s">
        <v>1088</v>
      </c>
      <c r="B601" s="2" t="s">
        <v>1059</v>
      </c>
      <c r="C601" s="2" t="s">
        <v>454</v>
      </c>
      <c r="D601" s="349" t="s">
        <v>455</v>
      </c>
      <c r="E601" s="342"/>
      <c r="F601" s="2" t="s">
        <v>68</v>
      </c>
      <c r="G601" s="12" t="e">
        <f>#REF!</f>
        <v>#REF!</v>
      </c>
      <c r="H601" s="12" t="e">
        <f>#REF!</f>
        <v>#REF!</v>
      </c>
      <c r="I601" s="49" t="s">
        <v>554</v>
      </c>
      <c r="J601" s="12" t="e">
        <f t="shared" si="832"/>
        <v>#REF!</v>
      </c>
      <c r="K601" s="12" t="e">
        <f t="shared" si="833"/>
        <v>#REF!</v>
      </c>
      <c r="L601" s="12" t="e">
        <f t="shared" si="834"/>
        <v>#REF!</v>
      </c>
      <c r="M601" s="12" t="e">
        <f t="shared" si="835"/>
        <v>#REF!</v>
      </c>
      <c r="N601" s="12">
        <v>0</v>
      </c>
      <c r="O601" s="12" t="e">
        <f t="shared" si="836"/>
        <v>#REF!</v>
      </c>
      <c r="P601" s="50" t="s">
        <v>21</v>
      </c>
      <c r="Z601" s="12">
        <f t="shared" si="837"/>
        <v>0</v>
      </c>
      <c r="AB601" s="12">
        <f t="shared" si="838"/>
        <v>0</v>
      </c>
      <c r="AC601" s="12">
        <f t="shared" si="839"/>
        <v>0</v>
      </c>
      <c r="AD601" s="12" t="e">
        <f t="shared" si="840"/>
        <v>#REF!</v>
      </c>
      <c r="AE601" s="12" t="e">
        <f t="shared" si="841"/>
        <v>#REF!</v>
      </c>
      <c r="AF601" s="12">
        <f t="shared" si="842"/>
        <v>0</v>
      </c>
      <c r="AG601" s="12">
        <f t="shared" si="843"/>
        <v>0</v>
      </c>
      <c r="AH601" s="12">
        <f t="shared" si="844"/>
        <v>0</v>
      </c>
      <c r="AI601" s="10" t="s">
        <v>1059</v>
      </c>
      <c r="AJ601" s="12">
        <f t="shared" si="845"/>
        <v>0</v>
      </c>
      <c r="AK601" s="12">
        <f t="shared" si="846"/>
        <v>0</v>
      </c>
      <c r="AL601" s="12" t="e">
        <f t="shared" si="847"/>
        <v>#REF!</v>
      </c>
      <c r="AN601" s="12">
        <v>21</v>
      </c>
      <c r="AO601" s="12" t="e">
        <f>H601*0.904977376</f>
        <v>#REF!</v>
      </c>
      <c r="AP601" s="12" t="e">
        <f>H601*(1-0.904977376)</f>
        <v>#REF!</v>
      </c>
      <c r="AQ601" s="49" t="s">
        <v>567</v>
      </c>
      <c r="AV601" s="12" t="e">
        <f t="shared" si="848"/>
        <v>#REF!</v>
      </c>
      <c r="AW601" s="12" t="e">
        <f t="shared" si="849"/>
        <v>#REF!</v>
      </c>
      <c r="AX601" s="12" t="e">
        <f t="shared" si="850"/>
        <v>#REF!</v>
      </c>
      <c r="AY601" s="49" t="s">
        <v>610</v>
      </c>
      <c r="AZ601" s="49" t="s">
        <v>1074</v>
      </c>
      <c r="BA601" s="10" t="s">
        <v>1062</v>
      </c>
      <c r="BC601" s="12" t="e">
        <f t="shared" si="851"/>
        <v>#REF!</v>
      </c>
      <c r="BD601" s="12" t="e">
        <f t="shared" si="852"/>
        <v>#REF!</v>
      </c>
      <c r="BE601" s="12">
        <v>0</v>
      </c>
      <c r="BF601" s="12" t="e">
        <f t="shared" si="853"/>
        <v>#REF!</v>
      </c>
      <c r="BH601" s="12" t="e">
        <f t="shared" si="854"/>
        <v>#REF!</v>
      </c>
      <c r="BI601" s="12" t="e">
        <f t="shared" si="855"/>
        <v>#REF!</v>
      </c>
      <c r="BJ601" s="12" t="e">
        <f t="shared" si="856"/>
        <v>#REF!</v>
      </c>
      <c r="BK601" s="12"/>
      <c r="BL601" s="12">
        <v>722</v>
      </c>
      <c r="BW601" s="12" t="str">
        <f t="shared" si="857"/>
        <v>21</v>
      </c>
      <c r="BX601" s="3" t="s">
        <v>455</v>
      </c>
    </row>
    <row r="602" spans="1:76">
      <c r="A602" s="1" t="s">
        <v>1089</v>
      </c>
      <c r="B602" s="2" t="s">
        <v>1059</v>
      </c>
      <c r="C602" s="2" t="s">
        <v>375</v>
      </c>
      <c r="D602" s="349" t="s">
        <v>376</v>
      </c>
      <c r="E602" s="342"/>
      <c r="F602" s="2" t="s">
        <v>68</v>
      </c>
      <c r="G602" s="12" t="e">
        <f>#REF!</f>
        <v>#REF!</v>
      </c>
      <c r="H602" s="12" t="e">
        <f>#REF!</f>
        <v>#REF!</v>
      </c>
      <c r="I602" s="49" t="s">
        <v>554</v>
      </c>
      <c r="J602" s="12" t="e">
        <f t="shared" si="832"/>
        <v>#REF!</v>
      </c>
      <c r="K602" s="12" t="e">
        <f t="shared" si="833"/>
        <v>#REF!</v>
      </c>
      <c r="L602" s="12" t="e">
        <f t="shared" si="834"/>
        <v>#REF!</v>
      </c>
      <c r="M602" s="12" t="e">
        <f t="shared" si="835"/>
        <v>#REF!</v>
      </c>
      <c r="N602" s="12">
        <v>0.04</v>
      </c>
      <c r="O602" s="12" t="e">
        <f t="shared" si="836"/>
        <v>#REF!</v>
      </c>
      <c r="P602" s="50" t="s">
        <v>605</v>
      </c>
      <c r="Z602" s="12">
        <f t="shared" si="837"/>
        <v>0</v>
      </c>
      <c r="AB602" s="12">
        <f t="shared" si="838"/>
        <v>0</v>
      </c>
      <c r="AC602" s="12">
        <f t="shared" si="839"/>
        <v>0</v>
      </c>
      <c r="AD602" s="12" t="e">
        <f t="shared" si="840"/>
        <v>#REF!</v>
      </c>
      <c r="AE602" s="12" t="e">
        <f t="shared" si="841"/>
        <v>#REF!</v>
      </c>
      <c r="AF602" s="12">
        <f t="shared" si="842"/>
        <v>0</v>
      </c>
      <c r="AG602" s="12">
        <f t="shared" si="843"/>
        <v>0</v>
      </c>
      <c r="AH602" s="12">
        <f t="shared" si="844"/>
        <v>0</v>
      </c>
      <c r="AI602" s="10" t="s">
        <v>1059</v>
      </c>
      <c r="AJ602" s="12">
        <f t="shared" si="845"/>
        <v>0</v>
      </c>
      <c r="AK602" s="12">
        <f t="shared" si="846"/>
        <v>0</v>
      </c>
      <c r="AL602" s="12" t="e">
        <f t="shared" si="847"/>
        <v>#REF!</v>
      </c>
      <c r="AN602" s="12">
        <v>21</v>
      </c>
      <c r="AO602" s="12" t="e">
        <f>H602*1</f>
        <v>#REF!</v>
      </c>
      <c r="AP602" s="12" t="e">
        <f>H602*(1-1)</f>
        <v>#REF!</v>
      </c>
      <c r="AQ602" s="49" t="s">
        <v>567</v>
      </c>
      <c r="AV602" s="12" t="e">
        <f t="shared" si="848"/>
        <v>#REF!</v>
      </c>
      <c r="AW602" s="12" t="e">
        <f t="shared" si="849"/>
        <v>#REF!</v>
      </c>
      <c r="AX602" s="12" t="e">
        <f t="shared" si="850"/>
        <v>#REF!</v>
      </c>
      <c r="AY602" s="49" t="s">
        <v>610</v>
      </c>
      <c r="AZ602" s="49" t="s">
        <v>1074</v>
      </c>
      <c r="BA602" s="10" t="s">
        <v>1062</v>
      </c>
      <c r="BC602" s="12" t="e">
        <f t="shared" si="851"/>
        <v>#REF!</v>
      </c>
      <c r="BD602" s="12" t="e">
        <f t="shared" si="852"/>
        <v>#REF!</v>
      </c>
      <c r="BE602" s="12">
        <v>0</v>
      </c>
      <c r="BF602" s="12" t="e">
        <f t="shared" si="853"/>
        <v>#REF!</v>
      </c>
      <c r="BH602" s="12" t="e">
        <f t="shared" si="854"/>
        <v>#REF!</v>
      </c>
      <c r="BI602" s="12" t="e">
        <f t="shared" si="855"/>
        <v>#REF!</v>
      </c>
      <c r="BJ602" s="12" t="e">
        <f t="shared" si="856"/>
        <v>#REF!</v>
      </c>
      <c r="BK602" s="12"/>
      <c r="BL602" s="12">
        <v>722</v>
      </c>
      <c r="BW602" s="12" t="str">
        <f t="shared" si="857"/>
        <v>21</v>
      </c>
      <c r="BX602" s="3" t="s">
        <v>376</v>
      </c>
    </row>
    <row r="603" spans="1:76">
      <c r="A603" s="46" t="s">
        <v>21</v>
      </c>
      <c r="B603" s="9" t="s">
        <v>1059</v>
      </c>
      <c r="C603" s="9" t="s">
        <v>380</v>
      </c>
      <c r="D603" s="359" t="s">
        <v>381</v>
      </c>
      <c r="E603" s="360"/>
      <c r="F603" s="47" t="s">
        <v>20</v>
      </c>
      <c r="G603" s="47" t="s">
        <v>20</v>
      </c>
      <c r="H603" s="47" t="s">
        <v>20</v>
      </c>
      <c r="I603" s="47" t="s">
        <v>20</v>
      </c>
      <c r="J603" s="11" t="e">
        <f>SUM(J604:J604)</f>
        <v>#REF!</v>
      </c>
      <c r="K603" s="11" t="e">
        <f>SUM(K604:K604)</f>
        <v>#REF!</v>
      </c>
      <c r="L603" s="11" t="e">
        <f>SUM(L604:L604)</f>
        <v>#REF!</v>
      </c>
      <c r="M603" s="11" t="e">
        <f>SUM(M604:M604)</f>
        <v>#REF!</v>
      </c>
      <c r="N603" s="10" t="s">
        <v>21</v>
      </c>
      <c r="O603" s="11" t="e">
        <f>SUM(O604:O604)</f>
        <v>#REF!</v>
      </c>
      <c r="P603" s="48" t="s">
        <v>21</v>
      </c>
      <c r="AI603" s="10" t="s">
        <v>1059</v>
      </c>
      <c r="AS603" s="11">
        <f>SUM(AJ604:AJ604)</f>
        <v>0</v>
      </c>
      <c r="AT603" s="11">
        <f>SUM(AK604:AK604)</f>
        <v>0</v>
      </c>
      <c r="AU603" s="11" t="e">
        <f>SUM(AL604:AL604)</f>
        <v>#REF!</v>
      </c>
    </row>
    <row r="604" spans="1:76">
      <c r="A604" s="1" t="s">
        <v>1090</v>
      </c>
      <c r="B604" s="2" t="s">
        <v>1059</v>
      </c>
      <c r="C604" s="2" t="s">
        <v>83</v>
      </c>
      <c r="D604" s="349" t="s">
        <v>255</v>
      </c>
      <c r="E604" s="342"/>
      <c r="F604" s="2" t="s">
        <v>58</v>
      </c>
      <c r="G604" s="12" t="e">
        <f>#REF!</f>
        <v>#REF!</v>
      </c>
      <c r="H604" s="12" t="e">
        <f>#REF!</f>
        <v>#REF!</v>
      </c>
      <c r="I604" s="49" t="s">
        <v>554</v>
      </c>
      <c r="J604" s="12" t="e">
        <f>G604*AO604</f>
        <v>#REF!</v>
      </c>
      <c r="K604" s="12" t="e">
        <f>G604*AP604</f>
        <v>#REF!</v>
      </c>
      <c r="L604" s="12" t="e">
        <f>G604*H604</f>
        <v>#REF!</v>
      </c>
      <c r="M604" s="12" t="e">
        <f>L604*(1+BW604/100)</f>
        <v>#REF!</v>
      </c>
      <c r="N604" s="12">
        <v>0</v>
      </c>
      <c r="O604" s="12" t="e">
        <f>G604*N604</f>
        <v>#REF!</v>
      </c>
      <c r="P604" s="50" t="s">
        <v>21</v>
      </c>
      <c r="Z604" s="12">
        <f>IF(AQ604="5",BJ604,0)</f>
        <v>0</v>
      </c>
      <c r="AB604" s="12">
        <f>IF(AQ604="1",BH604,0)</f>
        <v>0</v>
      </c>
      <c r="AC604" s="12">
        <f>IF(AQ604="1",BI604,0)</f>
        <v>0</v>
      </c>
      <c r="AD604" s="12" t="e">
        <f>IF(AQ604="7",BH604,0)</f>
        <v>#REF!</v>
      </c>
      <c r="AE604" s="12" t="e">
        <f>IF(AQ604="7",BI604,0)</f>
        <v>#REF!</v>
      </c>
      <c r="AF604" s="12">
        <f>IF(AQ604="2",BH604,0)</f>
        <v>0</v>
      </c>
      <c r="AG604" s="12">
        <f>IF(AQ604="2",BI604,0)</f>
        <v>0</v>
      </c>
      <c r="AH604" s="12">
        <f>IF(AQ604="0",BJ604,0)</f>
        <v>0</v>
      </c>
      <c r="AI604" s="10" t="s">
        <v>1059</v>
      </c>
      <c r="AJ604" s="12">
        <f>IF(AN604=0,L604,0)</f>
        <v>0</v>
      </c>
      <c r="AK604" s="12">
        <f>IF(AN604=12,L604,0)</f>
        <v>0</v>
      </c>
      <c r="AL604" s="12" t="e">
        <f>IF(AN604=21,L604,0)</f>
        <v>#REF!</v>
      </c>
      <c r="AN604" s="12">
        <v>21</v>
      </c>
      <c r="AO604" s="12" t="e">
        <f>H604*0.346020761</f>
        <v>#REF!</v>
      </c>
      <c r="AP604" s="12" t="e">
        <f>H604*(1-0.346020761)</f>
        <v>#REF!</v>
      </c>
      <c r="AQ604" s="49" t="s">
        <v>567</v>
      </c>
      <c r="AV604" s="12" t="e">
        <f>AW604+AX604</f>
        <v>#REF!</v>
      </c>
      <c r="AW604" s="12" t="e">
        <f>G604*AO604</f>
        <v>#REF!</v>
      </c>
      <c r="AX604" s="12" t="e">
        <f>G604*AP604</f>
        <v>#REF!</v>
      </c>
      <c r="AY604" s="49" t="s">
        <v>745</v>
      </c>
      <c r="AZ604" s="49" t="s">
        <v>1091</v>
      </c>
      <c r="BA604" s="10" t="s">
        <v>1062</v>
      </c>
      <c r="BC604" s="12" t="e">
        <f>AW604+AX604</f>
        <v>#REF!</v>
      </c>
      <c r="BD604" s="12" t="e">
        <f>H604/(100-BE604)*100</f>
        <v>#REF!</v>
      </c>
      <c r="BE604" s="12">
        <v>0</v>
      </c>
      <c r="BF604" s="12" t="e">
        <f>O604</f>
        <v>#REF!</v>
      </c>
      <c r="BH604" s="12" t="e">
        <f>G604*AO604</f>
        <v>#REF!</v>
      </c>
      <c r="BI604" s="12" t="e">
        <f>G604*AP604</f>
        <v>#REF!</v>
      </c>
      <c r="BJ604" s="12" t="e">
        <f>G604*H604</f>
        <v>#REF!</v>
      </c>
      <c r="BK604" s="12"/>
      <c r="BL604" s="12">
        <v>73</v>
      </c>
      <c r="BW604" s="12" t="str">
        <f>I604</f>
        <v>21</v>
      </c>
      <c r="BX604" s="3" t="s">
        <v>255</v>
      </c>
    </row>
    <row r="605" spans="1:76">
      <c r="A605" s="46" t="s">
        <v>21</v>
      </c>
      <c r="B605" s="9" t="s">
        <v>1059</v>
      </c>
      <c r="C605" s="9" t="s">
        <v>64</v>
      </c>
      <c r="D605" s="359" t="s">
        <v>65</v>
      </c>
      <c r="E605" s="360"/>
      <c r="F605" s="47" t="s">
        <v>20</v>
      </c>
      <c r="G605" s="47" t="s">
        <v>20</v>
      </c>
      <c r="H605" s="47" t="s">
        <v>20</v>
      </c>
      <c r="I605" s="47" t="s">
        <v>20</v>
      </c>
      <c r="J605" s="11" t="e">
        <f>SUM(J606:J614)</f>
        <v>#REF!</v>
      </c>
      <c r="K605" s="11" t="e">
        <f>SUM(K606:K614)</f>
        <v>#REF!</v>
      </c>
      <c r="L605" s="11" t="e">
        <f>SUM(L606:L614)</f>
        <v>#REF!</v>
      </c>
      <c r="M605" s="11" t="e">
        <f>SUM(M606:M614)</f>
        <v>#REF!</v>
      </c>
      <c r="N605" s="10" t="s">
        <v>21</v>
      </c>
      <c r="O605" s="11" t="e">
        <f>SUM(O606:O614)</f>
        <v>#REF!</v>
      </c>
      <c r="P605" s="48" t="s">
        <v>21</v>
      </c>
      <c r="AI605" s="10" t="s">
        <v>1059</v>
      </c>
      <c r="AS605" s="11">
        <f>SUM(AJ606:AJ614)</f>
        <v>0</v>
      </c>
      <c r="AT605" s="11">
        <f>SUM(AK606:AK614)</f>
        <v>0</v>
      </c>
      <c r="AU605" s="11" t="e">
        <f>SUM(AL606:AL614)</f>
        <v>#REF!</v>
      </c>
    </row>
    <row r="606" spans="1:76">
      <c r="A606" s="1" t="s">
        <v>1092</v>
      </c>
      <c r="B606" s="2" t="s">
        <v>1059</v>
      </c>
      <c r="C606" s="2" t="s">
        <v>382</v>
      </c>
      <c r="D606" s="349" t="s">
        <v>114</v>
      </c>
      <c r="E606" s="342"/>
      <c r="F606" s="2" t="s">
        <v>58</v>
      </c>
      <c r="G606" s="12" t="e">
        <f>#REF!</f>
        <v>#REF!</v>
      </c>
      <c r="H606" s="12" t="e">
        <f>#REF!</f>
        <v>#REF!</v>
      </c>
      <c r="I606" s="49" t="s">
        <v>554</v>
      </c>
      <c r="J606" s="12" t="e">
        <f>G606*AO606</f>
        <v>#REF!</v>
      </c>
      <c r="K606" s="12" t="e">
        <f>G606*AP606</f>
        <v>#REF!</v>
      </c>
      <c r="L606" s="12" t="e">
        <f>G606*H606</f>
        <v>#REF!</v>
      </c>
      <c r="M606" s="12" t="e">
        <f>L606*(1+BW606/100)</f>
        <v>#REF!</v>
      </c>
      <c r="N606" s="12">
        <v>1.1299999999999999E-3</v>
      </c>
      <c r="O606" s="12" t="e">
        <f>G606*N606</f>
        <v>#REF!</v>
      </c>
      <c r="P606" s="50" t="s">
        <v>577</v>
      </c>
      <c r="Z606" s="12">
        <f>IF(AQ606="5",BJ606,0)</f>
        <v>0</v>
      </c>
      <c r="AB606" s="12">
        <f>IF(AQ606="1",BH606,0)</f>
        <v>0</v>
      </c>
      <c r="AC606" s="12">
        <f>IF(AQ606="1",BI606,0)</f>
        <v>0</v>
      </c>
      <c r="AD606" s="12" t="e">
        <f>IF(AQ606="7",BH606,0)</f>
        <v>#REF!</v>
      </c>
      <c r="AE606" s="12" t="e">
        <f>IF(AQ606="7",BI606,0)</f>
        <v>#REF!</v>
      </c>
      <c r="AF606" s="12">
        <f>IF(AQ606="2",BH606,0)</f>
        <v>0</v>
      </c>
      <c r="AG606" s="12">
        <f>IF(AQ606="2",BI606,0)</f>
        <v>0</v>
      </c>
      <c r="AH606" s="12">
        <f>IF(AQ606="0",BJ606,0)</f>
        <v>0</v>
      </c>
      <c r="AI606" s="10" t="s">
        <v>1059</v>
      </c>
      <c r="AJ606" s="12">
        <f>IF(AN606=0,L606,0)</f>
        <v>0</v>
      </c>
      <c r="AK606" s="12">
        <f>IF(AN606=12,L606,0)</f>
        <v>0</v>
      </c>
      <c r="AL606" s="12" t="e">
        <f>IF(AN606=21,L606,0)</f>
        <v>#REF!</v>
      </c>
      <c r="AN606" s="12">
        <v>21</v>
      </c>
      <c r="AO606" s="12" t="e">
        <f>H606*0.628766234</f>
        <v>#REF!</v>
      </c>
      <c r="AP606" s="12" t="e">
        <f>H606*(1-0.628766234)</f>
        <v>#REF!</v>
      </c>
      <c r="AQ606" s="49" t="s">
        <v>567</v>
      </c>
      <c r="AV606" s="12" t="e">
        <f>AW606+AX606</f>
        <v>#REF!</v>
      </c>
      <c r="AW606" s="12" t="e">
        <f>G606*AO606</f>
        <v>#REF!</v>
      </c>
      <c r="AX606" s="12" t="e">
        <f>G606*AP606</f>
        <v>#REF!</v>
      </c>
      <c r="AY606" s="49" t="s">
        <v>580</v>
      </c>
      <c r="AZ606" s="49" t="s">
        <v>1091</v>
      </c>
      <c r="BA606" s="10" t="s">
        <v>1062</v>
      </c>
      <c r="BC606" s="12" t="e">
        <f>AW606+AX606</f>
        <v>#REF!</v>
      </c>
      <c r="BD606" s="12" t="e">
        <f>H606/(100-BE606)*100</f>
        <v>#REF!</v>
      </c>
      <c r="BE606" s="12">
        <v>0</v>
      </c>
      <c r="BF606" s="12" t="e">
        <f>O606</f>
        <v>#REF!</v>
      </c>
      <c r="BH606" s="12" t="e">
        <f>G606*AO606</f>
        <v>#REF!</v>
      </c>
      <c r="BI606" s="12" t="e">
        <f>G606*AP606</f>
        <v>#REF!</v>
      </c>
      <c r="BJ606" s="12" t="e">
        <f>G606*H606</f>
        <v>#REF!</v>
      </c>
      <c r="BK606" s="12"/>
      <c r="BL606" s="12">
        <v>732</v>
      </c>
      <c r="BW606" s="12" t="str">
        <f>I606</f>
        <v>21</v>
      </c>
      <c r="BX606" s="3" t="s">
        <v>114</v>
      </c>
    </row>
    <row r="607" spans="1:76">
      <c r="A607" s="1" t="s">
        <v>1093</v>
      </c>
      <c r="B607" s="2" t="s">
        <v>1059</v>
      </c>
      <c r="C607" s="2" t="s">
        <v>383</v>
      </c>
      <c r="D607" s="349" t="s">
        <v>384</v>
      </c>
      <c r="E607" s="342"/>
      <c r="F607" s="2" t="s">
        <v>63</v>
      </c>
      <c r="G607" s="12" t="e">
        <f>#REF!</f>
        <v>#REF!</v>
      </c>
      <c r="H607" s="12" t="e">
        <f>#REF!</f>
        <v>#REF!</v>
      </c>
      <c r="I607" s="49" t="s">
        <v>554</v>
      </c>
      <c r="J607" s="12" t="e">
        <f>G607*AO607</f>
        <v>#REF!</v>
      </c>
      <c r="K607" s="12" t="e">
        <f>G607*AP607</f>
        <v>#REF!</v>
      </c>
      <c r="L607" s="12" t="e">
        <f>G607*H607</f>
        <v>#REF!</v>
      </c>
      <c r="M607" s="12" t="e">
        <f>L607*(1+BW607/100)</f>
        <v>#REF!</v>
      </c>
      <c r="N607" s="12">
        <v>7.7420000000000003E-2</v>
      </c>
      <c r="O607" s="12" t="e">
        <f>G607*N607</f>
        <v>#REF!</v>
      </c>
      <c r="P607" s="50" t="s">
        <v>577</v>
      </c>
      <c r="Z607" s="12">
        <f>IF(AQ607="5",BJ607,0)</f>
        <v>0</v>
      </c>
      <c r="AB607" s="12">
        <f>IF(AQ607="1",BH607,0)</f>
        <v>0</v>
      </c>
      <c r="AC607" s="12">
        <f>IF(AQ607="1",BI607,0)</f>
        <v>0</v>
      </c>
      <c r="AD607" s="12" t="e">
        <f>IF(AQ607="7",BH607,0)</f>
        <v>#REF!</v>
      </c>
      <c r="AE607" s="12" t="e">
        <f>IF(AQ607="7",BI607,0)</f>
        <v>#REF!</v>
      </c>
      <c r="AF607" s="12">
        <f>IF(AQ607="2",BH607,0)</f>
        <v>0</v>
      </c>
      <c r="AG607" s="12">
        <f>IF(AQ607="2",BI607,0)</f>
        <v>0</v>
      </c>
      <c r="AH607" s="12">
        <f>IF(AQ607="0",BJ607,0)</f>
        <v>0</v>
      </c>
      <c r="AI607" s="10" t="s">
        <v>1059</v>
      </c>
      <c r="AJ607" s="12">
        <f>IF(AN607=0,L607,0)</f>
        <v>0</v>
      </c>
      <c r="AK607" s="12">
        <f>IF(AN607=12,L607,0)</f>
        <v>0</v>
      </c>
      <c r="AL607" s="12" t="e">
        <f>IF(AN607=21,L607,0)</f>
        <v>#REF!</v>
      </c>
      <c r="AN607" s="12">
        <v>21</v>
      </c>
      <c r="AO607" s="12" t="e">
        <f>H607*0</f>
        <v>#REF!</v>
      </c>
      <c r="AP607" s="12" t="e">
        <f>H607*(1-0)</f>
        <v>#REF!</v>
      </c>
      <c r="AQ607" s="49" t="s">
        <v>567</v>
      </c>
      <c r="AV607" s="12" t="e">
        <f>AW607+AX607</f>
        <v>#REF!</v>
      </c>
      <c r="AW607" s="12" t="e">
        <f>G607*AO607</f>
        <v>#REF!</v>
      </c>
      <c r="AX607" s="12" t="e">
        <f>G607*AP607</f>
        <v>#REF!</v>
      </c>
      <c r="AY607" s="49" t="s">
        <v>580</v>
      </c>
      <c r="AZ607" s="49" t="s">
        <v>1091</v>
      </c>
      <c r="BA607" s="10" t="s">
        <v>1062</v>
      </c>
      <c r="BC607" s="12" t="e">
        <f>AW607+AX607</f>
        <v>#REF!</v>
      </c>
      <c r="BD607" s="12" t="e">
        <f>H607/(100-BE607)*100</f>
        <v>#REF!</v>
      </c>
      <c r="BE607" s="12">
        <v>0</v>
      </c>
      <c r="BF607" s="12" t="e">
        <f>O607</f>
        <v>#REF!</v>
      </c>
      <c r="BH607" s="12" t="e">
        <f>G607*AO607</f>
        <v>#REF!</v>
      </c>
      <c r="BI607" s="12" t="e">
        <f>G607*AP607</f>
        <v>#REF!</v>
      </c>
      <c r="BJ607" s="12" t="e">
        <f>G607*H607</f>
        <v>#REF!</v>
      </c>
      <c r="BK607" s="12"/>
      <c r="BL607" s="12">
        <v>732</v>
      </c>
      <c r="BW607" s="12" t="str">
        <f>I607</f>
        <v>21</v>
      </c>
      <c r="BX607" s="3" t="s">
        <v>384</v>
      </c>
    </row>
    <row r="608" spans="1:76">
      <c r="A608" s="1" t="s">
        <v>1094</v>
      </c>
      <c r="B608" s="2" t="s">
        <v>1059</v>
      </c>
      <c r="C608" s="2" t="s">
        <v>385</v>
      </c>
      <c r="D608" s="349" t="s">
        <v>386</v>
      </c>
      <c r="E608" s="342"/>
      <c r="F608" s="2" t="s">
        <v>68</v>
      </c>
      <c r="G608" s="12" t="e">
        <f>#REF!</f>
        <v>#REF!</v>
      </c>
      <c r="H608" s="12" t="e">
        <f>#REF!</f>
        <v>#REF!</v>
      </c>
      <c r="I608" s="49" t="s">
        <v>554</v>
      </c>
      <c r="J608" s="12" t="e">
        <f>G608*AO608</f>
        <v>#REF!</v>
      </c>
      <c r="K608" s="12" t="e">
        <f>G608*AP608</f>
        <v>#REF!</v>
      </c>
      <c r="L608" s="12" t="e">
        <f>G608*H608</f>
        <v>#REF!</v>
      </c>
      <c r="M608" s="12" t="e">
        <f>L608*(1+BW608/100)</f>
        <v>#REF!</v>
      </c>
      <c r="N608" s="12">
        <v>6.5329999999999999E-2</v>
      </c>
      <c r="O608" s="12" t="e">
        <f>G608*N608</f>
        <v>#REF!</v>
      </c>
      <c r="P608" s="50" t="s">
        <v>605</v>
      </c>
      <c r="Z608" s="12">
        <f>IF(AQ608="5",BJ608,0)</f>
        <v>0</v>
      </c>
      <c r="AB608" s="12">
        <f>IF(AQ608="1",BH608,0)</f>
        <v>0</v>
      </c>
      <c r="AC608" s="12">
        <f>IF(AQ608="1",BI608,0)</f>
        <v>0</v>
      </c>
      <c r="AD608" s="12" t="e">
        <f>IF(AQ608="7",BH608,0)</f>
        <v>#REF!</v>
      </c>
      <c r="AE608" s="12" t="e">
        <f>IF(AQ608="7",BI608,0)</f>
        <v>#REF!</v>
      </c>
      <c r="AF608" s="12">
        <f>IF(AQ608="2",BH608,0)</f>
        <v>0</v>
      </c>
      <c r="AG608" s="12">
        <f>IF(AQ608="2",BI608,0)</f>
        <v>0</v>
      </c>
      <c r="AH608" s="12">
        <f>IF(AQ608="0",BJ608,0)</f>
        <v>0</v>
      </c>
      <c r="AI608" s="10" t="s">
        <v>1059</v>
      </c>
      <c r="AJ608" s="12">
        <f>IF(AN608=0,L608,0)</f>
        <v>0</v>
      </c>
      <c r="AK608" s="12">
        <f>IF(AN608=12,L608,0)</f>
        <v>0</v>
      </c>
      <c r="AL608" s="12" t="e">
        <f>IF(AN608=21,L608,0)</f>
        <v>#REF!</v>
      </c>
      <c r="AN608" s="12">
        <v>21</v>
      </c>
      <c r="AO608" s="12" t="e">
        <f>H608*0.674383346</f>
        <v>#REF!</v>
      </c>
      <c r="AP608" s="12" t="e">
        <f>H608*(1-0.674383346)</f>
        <v>#REF!</v>
      </c>
      <c r="AQ608" s="49" t="s">
        <v>567</v>
      </c>
      <c r="AV608" s="12" t="e">
        <f>AW608+AX608</f>
        <v>#REF!</v>
      </c>
      <c r="AW608" s="12" t="e">
        <f>G608*AO608</f>
        <v>#REF!</v>
      </c>
      <c r="AX608" s="12" t="e">
        <f>G608*AP608</f>
        <v>#REF!</v>
      </c>
      <c r="AY608" s="49" t="s">
        <v>580</v>
      </c>
      <c r="AZ608" s="49" t="s">
        <v>1091</v>
      </c>
      <c r="BA608" s="10" t="s">
        <v>1062</v>
      </c>
      <c r="BC608" s="12" t="e">
        <f>AW608+AX608</f>
        <v>#REF!</v>
      </c>
      <c r="BD608" s="12" t="e">
        <f>H608/(100-BE608)*100</f>
        <v>#REF!</v>
      </c>
      <c r="BE608" s="12">
        <v>0</v>
      </c>
      <c r="BF608" s="12" t="e">
        <f>O608</f>
        <v>#REF!</v>
      </c>
      <c r="BH608" s="12" t="e">
        <f>G608*AO608</f>
        <v>#REF!</v>
      </c>
      <c r="BI608" s="12" t="e">
        <f>G608*AP608</f>
        <v>#REF!</v>
      </c>
      <c r="BJ608" s="12" t="e">
        <f>G608*H608</f>
        <v>#REF!</v>
      </c>
      <c r="BK608" s="12"/>
      <c r="BL608" s="12">
        <v>732</v>
      </c>
      <c r="BW608" s="12" t="str">
        <f>I608</f>
        <v>21</v>
      </c>
      <c r="BX608" s="3" t="s">
        <v>386</v>
      </c>
    </row>
    <row r="609" spans="1:76">
      <c r="A609" s="51"/>
      <c r="C609" s="13" t="s">
        <v>117</v>
      </c>
      <c r="D609" s="363" t="s">
        <v>456</v>
      </c>
      <c r="E609" s="364"/>
      <c r="F609" s="364"/>
      <c r="G609" s="364"/>
      <c r="H609" s="364"/>
      <c r="I609" s="364"/>
      <c r="J609" s="364"/>
      <c r="K609" s="364"/>
      <c r="L609" s="364"/>
      <c r="M609" s="364"/>
      <c r="N609" s="364"/>
      <c r="O609" s="364"/>
      <c r="P609" s="365"/>
      <c r="BX609" s="14" t="s">
        <v>456</v>
      </c>
    </row>
    <row r="610" spans="1:76">
      <c r="A610" s="1" t="s">
        <v>1095</v>
      </c>
      <c r="B610" s="2" t="s">
        <v>1059</v>
      </c>
      <c r="C610" s="2" t="s">
        <v>387</v>
      </c>
      <c r="D610" s="349" t="s">
        <v>388</v>
      </c>
      <c r="E610" s="342"/>
      <c r="F610" s="2" t="s">
        <v>68</v>
      </c>
      <c r="G610" s="12" t="e">
        <f>#REF!</f>
        <v>#REF!</v>
      </c>
      <c r="H610" s="12" t="e">
        <f>#REF!</f>
        <v>#REF!</v>
      </c>
      <c r="I610" s="49" t="s">
        <v>554</v>
      </c>
      <c r="J610" s="12" t="e">
        <f>G610*AO610</f>
        <v>#REF!</v>
      </c>
      <c r="K610" s="12" t="e">
        <f>G610*AP610</f>
        <v>#REF!</v>
      </c>
      <c r="L610" s="12" t="e">
        <f>G610*H610</f>
        <v>#REF!</v>
      </c>
      <c r="M610" s="12" t="e">
        <f>L610*(1+BW610/100)</f>
        <v>#REF!</v>
      </c>
      <c r="N610" s="12">
        <v>7.417E-2</v>
      </c>
      <c r="O610" s="12" t="e">
        <f>G610*N610</f>
        <v>#REF!</v>
      </c>
      <c r="P610" s="50" t="s">
        <v>577</v>
      </c>
      <c r="Z610" s="12">
        <f>IF(AQ610="5",BJ610,0)</f>
        <v>0</v>
      </c>
      <c r="AB610" s="12">
        <f>IF(AQ610="1",BH610,0)</f>
        <v>0</v>
      </c>
      <c r="AC610" s="12">
        <f>IF(AQ610="1",BI610,0)</f>
        <v>0</v>
      </c>
      <c r="AD610" s="12" t="e">
        <f>IF(AQ610="7",BH610,0)</f>
        <v>#REF!</v>
      </c>
      <c r="AE610" s="12" t="e">
        <f>IF(AQ610="7",BI610,0)</f>
        <v>#REF!</v>
      </c>
      <c r="AF610" s="12">
        <f>IF(AQ610="2",BH610,0)</f>
        <v>0</v>
      </c>
      <c r="AG610" s="12">
        <f>IF(AQ610="2",BI610,0)</f>
        <v>0</v>
      </c>
      <c r="AH610" s="12">
        <f>IF(AQ610="0",BJ610,0)</f>
        <v>0</v>
      </c>
      <c r="AI610" s="10" t="s">
        <v>1059</v>
      </c>
      <c r="AJ610" s="12">
        <f>IF(AN610=0,L610,0)</f>
        <v>0</v>
      </c>
      <c r="AK610" s="12">
        <f>IF(AN610=12,L610,0)</f>
        <v>0</v>
      </c>
      <c r="AL610" s="12" t="e">
        <f>IF(AN610=21,L610,0)</f>
        <v>#REF!</v>
      </c>
      <c r="AN610" s="12">
        <v>21</v>
      </c>
      <c r="AO610" s="12" t="e">
        <f>H610*0.47508805</f>
        <v>#REF!</v>
      </c>
      <c r="AP610" s="12" t="e">
        <f>H610*(1-0.47508805)</f>
        <v>#REF!</v>
      </c>
      <c r="AQ610" s="49" t="s">
        <v>567</v>
      </c>
      <c r="AV610" s="12" t="e">
        <f>AW610+AX610</f>
        <v>#REF!</v>
      </c>
      <c r="AW610" s="12" t="e">
        <f>G610*AO610</f>
        <v>#REF!</v>
      </c>
      <c r="AX610" s="12" t="e">
        <f>G610*AP610</f>
        <v>#REF!</v>
      </c>
      <c r="AY610" s="49" t="s">
        <v>580</v>
      </c>
      <c r="AZ610" s="49" t="s">
        <v>1091</v>
      </c>
      <c r="BA610" s="10" t="s">
        <v>1062</v>
      </c>
      <c r="BC610" s="12" t="e">
        <f>AW610+AX610</f>
        <v>#REF!</v>
      </c>
      <c r="BD610" s="12" t="e">
        <f>H610/(100-BE610)*100</f>
        <v>#REF!</v>
      </c>
      <c r="BE610" s="12">
        <v>0</v>
      </c>
      <c r="BF610" s="12" t="e">
        <f>O610</f>
        <v>#REF!</v>
      </c>
      <c r="BH610" s="12" t="e">
        <f>G610*AO610</f>
        <v>#REF!</v>
      </c>
      <c r="BI610" s="12" t="e">
        <f>G610*AP610</f>
        <v>#REF!</v>
      </c>
      <c r="BJ610" s="12" t="e">
        <f>G610*H610</f>
        <v>#REF!</v>
      </c>
      <c r="BK610" s="12"/>
      <c r="BL610" s="12">
        <v>732</v>
      </c>
      <c r="BW610" s="12" t="str">
        <f>I610</f>
        <v>21</v>
      </c>
      <c r="BX610" s="3" t="s">
        <v>388</v>
      </c>
    </row>
    <row r="611" spans="1:76">
      <c r="A611" s="1" t="s">
        <v>1096</v>
      </c>
      <c r="B611" s="2" t="s">
        <v>1059</v>
      </c>
      <c r="C611" s="2" t="s">
        <v>179</v>
      </c>
      <c r="D611" s="349" t="s">
        <v>389</v>
      </c>
      <c r="E611" s="342"/>
      <c r="F611" s="2" t="s">
        <v>21</v>
      </c>
      <c r="G611" s="12" t="e">
        <f>#REF!</f>
        <v>#REF!</v>
      </c>
      <c r="H611" s="12" t="e">
        <f>#REF!</f>
        <v>#REF!</v>
      </c>
      <c r="I611" s="49" t="s">
        <v>554</v>
      </c>
      <c r="J611" s="12" t="e">
        <f>G611*AO611</f>
        <v>#REF!</v>
      </c>
      <c r="K611" s="12" t="e">
        <f>G611*AP611</f>
        <v>#REF!</v>
      </c>
      <c r="L611" s="12" t="e">
        <f>G611*H611</f>
        <v>#REF!</v>
      </c>
      <c r="M611" s="12" t="e">
        <f>L611*(1+BW611/100)</f>
        <v>#REF!</v>
      </c>
      <c r="N611" s="12">
        <v>0</v>
      </c>
      <c r="O611" s="12" t="e">
        <f>G611*N611</f>
        <v>#REF!</v>
      </c>
      <c r="P611" s="50" t="s">
        <v>21</v>
      </c>
      <c r="Z611" s="12">
        <f>IF(AQ611="5",BJ611,0)</f>
        <v>0</v>
      </c>
      <c r="AB611" s="12">
        <f>IF(AQ611="1",BH611,0)</f>
        <v>0</v>
      </c>
      <c r="AC611" s="12">
        <f>IF(AQ611="1",BI611,0)</f>
        <v>0</v>
      </c>
      <c r="AD611" s="12" t="e">
        <f>IF(AQ611="7",BH611,0)</f>
        <v>#REF!</v>
      </c>
      <c r="AE611" s="12" t="e">
        <f>IF(AQ611="7",BI611,0)</f>
        <v>#REF!</v>
      </c>
      <c r="AF611" s="12">
        <f>IF(AQ611="2",BH611,0)</f>
        <v>0</v>
      </c>
      <c r="AG611" s="12">
        <f>IF(AQ611="2",BI611,0)</f>
        <v>0</v>
      </c>
      <c r="AH611" s="12">
        <f>IF(AQ611="0",BJ611,0)</f>
        <v>0</v>
      </c>
      <c r="AI611" s="10" t="s">
        <v>1059</v>
      </c>
      <c r="AJ611" s="12">
        <f>IF(AN611=0,L611,0)</f>
        <v>0</v>
      </c>
      <c r="AK611" s="12">
        <f>IF(AN611=12,L611,0)</f>
        <v>0</v>
      </c>
      <c r="AL611" s="12" t="e">
        <f>IF(AN611=21,L611,0)</f>
        <v>#REF!</v>
      </c>
      <c r="AN611" s="12">
        <v>21</v>
      </c>
      <c r="AO611" s="12" t="e">
        <f>H611*0.974240082</f>
        <v>#REF!</v>
      </c>
      <c r="AP611" s="12" t="e">
        <f>H611*(1-0.974240082)</f>
        <v>#REF!</v>
      </c>
      <c r="AQ611" s="49" t="s">
        <v>567</v>
      </c>
      <c r="AV611" s="12" t="e">
        <f>AW611+AX611</f>
        <v>#REF!</v>
      </c>
      <c r="AW611" s="12" t="e">
        <f>G611*AO611</f>
        <v>#REF!</v>
      </c>
      <c r="AX611" s="12" t="e">
        <f>G611*AP611</f>
        <v>#REF!</v>
      </c>
      <c r="AY611" s="49" t="s">
        <v>580</v>
      </c>
      <c r="AZ611" s="49" t="s">
        <v>1091</v>
      </c>
      <c r="BA611" s="10" t="s">
        <v>1062</v>
      </c>
      <c r="BC611" s="12" t="e">
        <f>AW611+AX611</f>
        <v>#REF!</v>
      </c>
      <c r="BD611" s="12" t="e">
        <f>H611/(100-BE611)*100</f>
        <v>#REF!</v>
      </c>
      <c r="BE611" s="12">
        <v>0</v>
      </c>
      <c r="BF611" s="12" t="e">
        <f>O611</f>
        <v>#REF!</v>
      </c>
      <c r="BH611" s="12" t="e">
        <f>G611*AO611</f>
        <v>#REF!</v>
      </c>
      <c r="BI611" s="12" t="e">
        <f>G611*AP611</f>
        <v>#REF!</v>
      </c>
      <c r="BJ611" s="12" t="e">
        <f>G611*H611</f>
        <v>#REF!</v>
      </c>
      <c r="BK611" s="12"/>
      <c r="BL611" s="12">
        <v>732</v>
      </c>
      <c r="BW611" s="12" t="str">
        <f>I611</f>
        <v>21</v>
      </c>
      <c r="BX611" s="3" t="s">
        <v>389</v>
      </c>
    </row>
    <row r="612" spans="1:76" ht="25.5">
      <c r="A612" s="1" t="s">
        <v>1097</v>
      </c>
      <c r="B612" s="2" t="s">
        <v>1059</v>
      </c>
      <c r="C612" s="2" t="s">
        <v>392</v>
      </c>
      <c r="D612" s="349" t="s">
        <v>446</v>
      </c>
      <c r="E612" s="342"/>
      <c r="F612" s="2" t="s">
        <v>68</v>
      </c>
      <c r="G612" s="12" t="e">
        <f>#REF!</f>
        <v>#REF!</v>
      </c>
      <c r="H612" s="12" t="e">
        <f>#REF!</f>
        <v>#REF!</v>
      </c>
      <c r="I612" s="49" t="s">
        <v>554</v>
      </c>
      <c r="J612" s="12" t="e">
        <f>G612*AO612</f>
        <v>#REF!</v>
      </c>
      <c r="K612" s="12" t="e">
        <f>G612*AP612</f>
        <v>#REF!</v>
      </c>
      <c r="L612" s="12" t="e">
        <f>G612*H612</f>
        <v>#REF!</v>
      </c>
      <c r="M612" s="12" t="e">
        <f>L612*(1+BW612/100)</f>
        <v>#REF!</v>
      </c>
      <c r="N612" s="12">
        <v>1.9E-3</v>
      </c>
      <c r="O612" s="12" t="e">
        <f>G612*N612</f>
        <v>#REF!</v>
      </c>
      <c r="P612" s="50" t="s">
        <v>605</v>
      </c>
      <c r="Z612" s="12">
        <f>IF(AQ612="5",BJ612,0)</f>
        <v>0</v>
      </c>
      <c r="AB612" s="12">
        <f>IF(AQ612="1",BH612,0)</f>
        <v>0</v>
      </c>
      <c r="AC612" s="12">
        <f>IF(AQ612="1",BI612,0)</f>
        <v>0</v>
      </c>
      <c r="AD612" s="12" t="e">
        <f>IF(AQ612="7",BH612,0)</f>
        <v>#REF!</v>
      </c>
      <c r="AE612" s="12" t="e">
        <f>IF(AQ612="7",BI612,0)</f>
        <v>#REF!</v>
      </c>
      <c r="AF612" s="12">
        <f>IF(AQ612="2",BH612,0)</f>
        <v>0</v>
      </c>
      <c r="AG612" s="12">
        <f>IF(AQ612="2",BI612,0)</f>
        <v>0</v>
      </c>
      <c r="AH612" s="12">
        <f>IF(AQ612="0",BJ612,0)</f>
        <v>0</v>
      </c>
      <c r="AI612" s="10" t="s">
        <v>1059</v>
      </c>
      <c r="AJ612" s="12">
        <f>IF(AN612=0,L612,0)</f>
        <v>0</v>
      </c>
      <c r="AK612" s="12">
        <f>IF(AN612=12,L612,0)</f>
        <v>0</v>
      </c>
      <c r="AL612" s="12" t="e">
        <f>IF(AN612=21,L612,0)</f>
        <v>#REF!</v>
      </c>
      <c r="AN612" s="12">
        <v>21</v>
      </c>
      <c r="AO612" s="12" t="e">
        <f>H612*1</f>
        <v>#REF!</v>
      </c>
      <c r="AP612" s="12" t="e">
        <f>H612*(1-1)</f>
        <v>#REF!</v>
      </c>
      <c r="AQ612" s="49" t="s">
        <v>567</v>
      </c>
      <c r="AV612" s="12" t="e">
        <f>AW612+AX612</f>
        <v>#REF!</v>
      </c>
      <c r="AW612" s="12" t="e">
        <f>G612*AO612</f>
        <v>#REF!</v>
      </c>
      <c r="AX612" s="12" t="e">
        <f>G612*AP612</f>
        <v>#REF!</v>
      </c>
      <c r="AY612" s="49" t="s">
        <v>580</v>
      </c>
      <c r="AZ612" s="49" t="s">
        <v>1091</v>
      </c>
      <c r="BA612" s="10" t="s">
        <v>1062</v>
      </c>
      <c r="BC612" s="12" t="e">
        <f>AW612+AX612</f>
        <v>#REF!</v>
      </c>
      <c r="BD612" s="12" t="e">
        <f>H612/(100-BE612)*100</f>
        <v>#REF!</v>
      </c>
      <c r="BE612" s="12">
        <v>0</v>
      </c>
      <c r="BF612" s="12" t="e">
        <f>O612</f>
        <v>#REF!</v>
      </c>
      <c r="BH612" s="12" t="e">
        <f>G612*AO612</f>
        <v>#REF!</v>
      </c>
      <c r="BI612" s="12" t="e">
        <f>G612*AP612</f>
        <v>#REF!</v>
      </c>
      <c r="BJ612" s="12" t="e">
        <f>G612*H612</f>
        <v>#REF!</v>
      </c>
      <c r="BK612" s="12"/>
      <c r="BL612" s="12">
        <v>732</v>
      </c>
      <c r="BW612" s="12" t="str">
        <f>I612</f>
        <v>21</v>
      </c>
      <c r="BX612" s="3" t="s">
        <v>446</v>
      </c>
    </row>
    <row r="613" spans="1:76" ht="63.75">
      <c r="A613" s="51"/>
      <c r="C613" s="13" t="s">
        <v>117</v>
      </c>
      <c r="D613" s="363" t="s">
        <v>457</v>
      </c>
      <c r="E613" s="364"/>
      <c r="F613" s="364"/>
      <c r="G613" s="364"/>
      <c r="H613" s="364"/>
      <c r="I613" s="364"/>
      <c r="J613" s="364"/>
      <c r="K613" s="364"/>
      <c r="L613" s="364"/>
      <c r="M613" s="364"/>
      <c r="N613" s="364"/>
      <c r="O613" s="364"/>
      <c r="P613" s="365"/>
      <c r="BX613" s="14" t="s">
        <v>457</v>
      </c>
    </row>
    <row r="614" spans="1:76">
      <c r="A614" s="1" t="s">
        <v>1098</v>
      </c>
      <c r="B614" s="2" t="s">
        <v>1059</v>
      </c>
      <c r="C614" s="2" t="s">
        <v>390</v>
      </c>
      <c r="D614" s="349" t="s">
        <v>391</v>
      </c>
      <c r="E614" s="342"/>
      <c r="F614" s="2" t="s">
        <v>58</v>
      </c>
      <c r="G614" s="12" t="e">
        <f>#REF!</f>
        <v>#REF!</v>
      </c>
      <c r="H614" s="12" t="e">
        <f>#REF!</f>
        <v>#REF!</v>
      </c>
      <c r="I614" s="49" t="s">
        <v>554</v>
      </c>
      <c r="J614" s="12" t="e">
        <f>G614*AO614</f>
        <v>#REF!</v>
      </c>
      <c r="K614" s="12" t="e">
        <f>G614*AP614</f>
        <v>#REF!</v>
      </c>
      <c r="L614" s="12" t="e">
        <f>G614*H614</f>
        <v>#REF!</v>
      </c>
      <c r="M614" s="12" t="e">
        <f>L614*(1+BW614/100)</f>
        <v>#REF!</v>
      </c>
      <c r="N614" s="12">
        <v>1.9820000000000001E-2</v>
      </c>
      <c r="O614" s="12" t="e">
        <f>G614*N614</f>
        <v>#REF!</v>
      </c>
      <c r="P614" s="50" t="s">
        <v>605</v>
      </c>
      <c r="Z614" s="12">
        <f>IF(AQ614="5",BJ614,0)</f>
        <v>0</v>
      </c>
      <c r="AB614" s="12">
        <f>IF(AQ614="1",BH614,0)</f>
        <v>0</v>
      </c>
      <c r="AC614" s="12">
        <f>IF(AQ614="1",BI614,0)</f>
        <v>0</v>
      </c>
      <c r="AD614" s="12" t="e">
        <f>IF(AQ614="7",BH614,0)</f>
        <v>#REF!</v>
      </c>
      <c r="AE614" s="12" t="e">
        <f>IF(AQ614="7",BI614,0)</f>
        <v>#REF!</v>
      </c>
      <c r="AF614" s="12">
        <f>IF(AQ614="2",BH614,0)</f>
        <v>0</v>
      </c>
      <c r="AG614" s="12">
        <f>IF(AQ614="2",BI614,0)</f>
        <v>0</v>
      </c>
      <c r="AH614" s="12">
        <f>IF(AQ614="0",BJ614,0)</f>
        <v>0</v>
      </c>
      <c r="AI614" s="10" t="s">
        <v>1059</v>
      </c>
      <c r="AJ614" s="12">
        <f>IF(AN614=0,L614,0)</f>
        <v>0</v>
      </c>
      <c r="AK614" s="12">
        <f>IF(AN614=12,L614,0)</f>
        <v>0</v>
      </c>
      <c r="AL614" s="12" t="e">
        <f>IF(AN614=21,L614,0)</f>
        <v>#REF!</v>
      </c>
      <c r="AN614" s="12">
        <v>21</v>
      </c>
      <c r="AO614" s="12" t="e">
        <f>H614*0.642985042</f>
        <v>#REF!</v>
      </c>
      <c r="AP614" s="12" t="e">
        <f>H614*(1-0.642985042)</f>
        <v>#REF!</v>
      </c>
      <c r="AQ614" s="49" t="s">
        <v>567</v>
      </c>
      <c r="AV614" s="12" t="e">
        <f>AW614+AX614</f>
        <v>#REF!</v>
      </c>
      <c r="AW614" s="12" t="e">
        <f>G614*AO614</f>
        <v>#REF!</v>
      </c>
      <c r="AX614" s="12" t="e">
        <f>G614*AP614</f>
        <v>#REF!</v>
      </c>
      <c r="AY614" s="49" t="s">
        <v>580</v>
      </c>
      <c r="AZ614" s="49" t="s">
        <v>1091</v>
      </c>
      <c r="BA614" s="10" t="s">
        <v>1062</v>
      </c>
      <c r="BC614" s="12" t="e">
        <f>AW614+AX614</f>
        <v>#REF!</v>
      </c>
      <c r="BD614" s="12" t="e">
        <f>H614/(100-BE614)*100</f>
        <v>#REF!</v>
      </c>
      <c r="BE614" s="12">
        <v>0</v>
      </c>
      <c r="BF614" s="12" t="e">
        <f>O614</f>
        <v>#REF!</v>
      </c>
      <c r="BH614" s="12" t="e">
        <f>G614*AO614</f>
        <v>#REF!</v>
      </c>
      <c r="BI614" s="12" t="e">
        <f>G614*AP614</f>
        <v>#REF!</v>
      </c>
      <c r="BJ614" s="12" t="e">
        <f>G614*H614</f>
        <v>#REF!</v>
      </c>
      <c r="BK614" s="12"/>
      <c r="BL614" s="12">
        <v>732</v>
      </c>
      <c r="BW614" s="12" t="str">
        <f>I614</f>
        <v>21</v>
      </c>
      <c r="BX614" s="3" t="s">
        <v>391</v>
      </c>
    </row>
    <row r="615" spans="1:76">
      <c r="A615" s="46" t="s">
        <v>21</v>
      </c>
      <c r="B615" s="9" t="s">
        <v>1059</v>
      </c>
      <c r="C615" s="9" t="s">
        <v>85</v>
      </c>
      <c r="D615" s="359" t="s">
        <v>86</v>
      </c>
      <c r="E615" s="360"/>
      <c r="F615" s="47" t="s">
        <v>20</v>
      </c>
      <c r="G615" s="47" t="s">
        <v>20</v>
      </c>
      <c r="H615" s="47" t="s">
        <v>20</v>
      </c>
      <c r="I615" s="47" t="s">
        <v>20</v>
      </c>
      <c r="J615" s="11" t="e">
        <f>SUM(J616:J630)</f>
        <v>#REF!</v>
      </c>
      <c r="K615" s="11" t="e">
        <f>SUM(K616:K630)</f>
        <v>#REF!</v>
      </c>
      <c r="L615" s="11" t="e">
        <f>SUM(L616:L630)</f>
        <v>#REF!</v>
      </c>
      <c r="M615" s="11" t="e">
        <f>SUM(M616:M630)</f>
        <v>#REF!</v>
      </c>
      <c r="N615" s="10" t="s">
        <v>21</v>
      </c>
      <c r="O615" s="11" t="e">
        <f>SUM(O616:O630)</f>
        <v>#REF!</v>
      </c>
      <c r="P615" s="48" t="s">
        <v>21</v>
      </c>
      <c r="AI615" s="10" t="s">
        <v>1059</v>
      </c>
      <c r="AS615" s="11">
        <f>SUM(AJ616:AJ630)</f>
        <v>0</v>
      </c>
      <c r="AT615" s="11">
        <f>SUM(AK616:AK630)</f>
        <v>0</v>
      </c>
      <c r="AU615" s="11" t="e">
        <f>SUM(AL616:AL630)</f>
        <v>#REF!</v>
      </c>
    </row>
    <row r="616" spans="1:76">
      <c r="A616" s="1" t="s">
        <v>1099</v>
      </c>
      <c r="B616" s="2" t="s">
        <v>1059</v>
      </c>
      <c r="C616" s="2" t="s">
        <v>394</v>
      </c>
      <c r="D616" s="349" t="s">
        <v>395</v>
      </c>
      <c r="E616" s="342"/>
      <c r="F616" s="2" t="s">
        <v>68</v>
      </c>
      <c r="G616" s="12" t="e">
        <f>#REF!</f>
        <v>#REF!</v>
      </c>
      <c r="H616" s="12" t="e">
        <f>#REF!</f>
        <v>#REF!</v>
      </c>
      <c r="I616" s="49" t="s">
        <v>554</v>
      </c>
      <c r="J616" s="12" t="e">
        <f t="shared" ref="J616:J621" si="858">G616*AO616</f>
        <v>#REF!</v>
      </c>
      <c r="K616" s="12" t="e">
        <f t="shared" ref="K616:K621" si="859">G616*AP616</f>
        <v>#REF!</v>
      </c>
      <c r="L616" s="12" t="e">
        <f t="shared" ref="L616:L621" si="860">G616*H616</f>
        <v>#REF!</v>
      </c>
      <c r="M616" s="12" t="e">
        <f t="shared" ref="M616:M621" si="861">L616*(1+BW616/100)</f>
        <v>#REF!</v>
      </c>
      <c r="N616" s="12">
        <v>2.1700000000000001E-3</v>
      </c>
      <c r="O616" s="12" t="e">
        <f t="shared" ref="O616:O621" si="862">G616*N616</f>
        <v>#REF!</v>
      </c>
      <c r="P616" s="50" t="s">
        <v>577</v>
      </c>
      <c r="Z616" s="12">
        <f t="shared" ref="Z616:Z621" si="863">IF(AQ616="5",BJ616,0)</f>
        <v>0</v>
      </c>
      <c r="AB616" s="12">
        <f t="shared" ref="AB616:AB621" si="864">IF(AQ616="1",BH616,0)</f>
        <v>0</v>
      </c>
      <c r="AC616" s="12">
        <f t="shared" ref="AC616:AC621" si="865">IF(AQ616="1",BI616,0)</f>
        <v>0</v>
      </c>
      <c r="AD616" s="12" t="e">
        <f t="shared" ref="AD616:AD621" si="866">IF(AQ616="7",BH616,0)</f>
        <v>#REF!</v>
      </c>
      <c r="AE616" s="12" t="e">
        <f t="shared" ref="AE616:AE621" si="867">IF(AQ616="7",BI616,0)</f>
        <v>#REF!</v>
      </c>
      <c r="AF616" s="12">
        <f t="shared" ref="AF616:AF621" si="868">IF(AQ616="2",BH616,0)</f>
        <v>0</v>
      </c>
      <c r="AG616" s="12">
        <f t="shared" ref="AG616:AG621" si="869">IF(AQ616="2",BI616,0)</f>
        <v>0</v>
      </c>
      <c r="AH616" s="12">
        <f t="shared" ref="AH616:AH621" si="870">IF(AQ616="0",BJ616,0)</f>
        <v>0</v>
      </c>
      <c r="AI616" s="10" t="s">
        <v>1059</v>
      </c>
      <c r="AJ616" s="12">
        <f t="shared" ref="AJ616:AJ621" si="871">IF(AN616=0,L616,0)</f>
        <v>0</v>
      </c>
      <c r="AK616" s="12">
        <f t="shared" ref="AK616:AK621" si="872">IF(AN616=12,L616,0)</f>
        <v>0</v>
      </c>
      <c r="AL616" s="12" t="e">
        <f t="shared" ref="AL616:AL621" si="873">IF(AN616=21,L616,0)</f>
        <v>#REF!</v>
      </c>
      <c r="AN616" s="12">
        <v>21</v>
      </c>
      <c r="AO616" s="12" t="e">
        <f>H616*0.593006993</f>
        <v>#REF!</v>
      </c>
      <c r="AP616" s="12" t="e">
        <f>H616*(1-0.593006993)</f>
        <v>#REF!</v>
      </c>
      <c r="AQ616" s="49" t="s">
        <v>567</v>
      </c>
      <c r="AV616" s="12" t="e">
        <f t="shared" ref="AV616:AV621" si="874">AW616+AX616</f>
        <v>#REF!</v>
      </c>
      <c r="AW616" s="12" t="e">
        <f t="shared" ref="AW616:AW621" si="875">G616*AO616</f>
        <v>#REF!</v>
      </c>
      <c r="AX616" s="12" t="e">
        <f t="shared" ref="AX616:AX621" si="876">G616*AP616</f>
        <v>#REF!</v>
      </c>
      <c r="AY616" s="49" t="s">
        <v>588</v>
      </c>
      <c r="AZ616" s="49" t="s">
        <v>1091</v>
      </c>
      <c r="BA616" s="10" t="s">
        <v>1062</v>
      </c>
      <c r="BC616" s="12" t="e">
        <f t="shared" ref="BC616:BC621" si="877">AW616+AX616</f>
        <v>#REF!</v>
      </c>
      <c r="BD616" s="12" t="e">
        <f t="shared" ref="BD616:BD621" si="878">H616/(100-BE616)*100</f>
        <v>#REF!</v>
      </c>
      <c r="BE616" s="12">
        <v>0</v>
      </c>
      <c r="BF616" s="12" t="e">
        <f t="shared" ref="BF616:BF621" si="879">O616</f>
        <v>#REF!</v>
      </c>
      <c r="BH616" s="12" t="e">
        <f t="shared" ref="BH616:BH621" si="880">G616*AO616</f>
        <v>#REF!</v>
      </c>
      <c r="BI616" s="12" t="e">
        <f t="shared" ref="BI616:BI621" si="881">G616*AP616</f>
        <v>#REF!</v>
      </c>
      <c r="BJ616" s="12" t="e">
        <f t="shared" ref="BJ616:BJ621" si="882">G616*H616</f>
        <v>#REF!</v>
      </c>
      <c r="BK616" s="12"/>
      <c r="BL616" s="12">
        <v>733</v>
      </c>
      <c r="BW616" s="12" t="str">
        <f t="shared" ref="BW616:BW621" si="883">I616</f>
        <v>21</v>
      </c>
      <c r="BX616" s="3" t="s">
        <v>395</v>
      </c>
    </row>
    <row r="617" spans="1:76">
      <c r="A617" s="1" t="s">
        <v>1100</v>
      </c>
      <c r="B617" s="2" t="s">
        <v>1059</v>
      </c>
      <c r="C617" s="2" t="s">
        <v>396</v>
      </c>
      <c r="D617" s="349" t="s">
        <v>397</v>
      </c>
      <c r="E617" s="342"/>
      <c r="F617" s="2" t="s">
        <v>68</v>
      </c>
      <c r="G617" s="12" t="e">
        <f>#REF!</f>
        <v>#REF!</v>
      </c>
      <c r="H617" s="12" t="e">
        <f>#REF!</f>
        <v>#REF!</v>
      </c>
      <c r="I617" s="49" t="s">
        <v>554</v>
      </c>
      <c r="J617" s="12" t="e">
        <f t="shared" si="858"/>
        <v>#REF!</v>
      </c>
      <c r="K617" s="12" t="e">
        <f t="shared" si="859"/>
        <v>#REF!</v>
      </c>
      <c r="L617" s="12" t="e">
        <f t="shared" si="860"/>
        <v>#REF!</v>
      </c>
      <c r="M617" s="12" t="e">
        <f t="shared" si="861"/>
        <v>#REF!</v>
      </c>
      <c r="N617" s="12">
        <v>2.1000000000000001E-4</v>
      </c>
      <c r="O617" s="12" t="e">
        <f t="shared" si="862"/>
        <v>#REF!</v>
      </c>
      <c r="P617" s="50" t="s">
        <v>577</v>
      </c>
      <c r="Z617" s="12">
        <f t="shared" si="863"/>
        <v>0</v>
      </c>
      <c r="AB617" s="12">
        <f t="shared" si="864"/>
        <v>0</v>
      </c>
      <c r="AC617" s="12">
        <f t="shared" si="865"/>
        <v>0</v>
      </c>
      <c r="AD617" s="12" t="e">
        <f t="shared" si="866"/>
        <v>#REF!</v>
      </c>
      <c r="AE617" s="12" t="e">
        <f t="shared" si="867"/>
        <v>#REF!</v>
      </c>
      <c r="AF617" s="12">
        <f t="shared" si="868"/>
        <v>0</v>
      </c>
      <c r="AG617" s="12">
        <f t="shared" si="869"/>
        <v>0</v>
      </c>
      <c r="AH617" s="12">
        <f t="shared" si="870"/>
        <v>0</v>
      </c>
      <c r="AI617" s="10" t="s">
        <v>1059</v>
      </c>
      <c r="AJ617" s="12">
        <f t="shared" si="871"/>
        <v>0</v>
      </c>
      <c r="AK617" s="12">
        <f t="shared" si="872"/>
        <v>0</v>
      </c>
      <c r="AL617" s="12" t="e">
        <f t="shared" si="873"/>
        <v>#REF!</v>
      </c>
      <c r="AN617" s="12">
        <v>21</v>
      </c>
      <c r="AO617" s="12" t="e">
        <f>H617*0.236903409</f>
        <v>#REF!</v>
      </c>
      <c r="AP617" s="12" t="e">
        <f>H617*(1-0.236903409)</f>
        <v>#REF!</v>
      </c>
      <c r="AQ617" s="49" t="s">
        <v>567</v>
      </c>
      <c r="AV617" s="12" t="e">
        <f t="shared" si="874"/>
        <v>#REF!</v>
      </c>
      <c r="AW617" s="12" t="e">
        <f t="shared" si="875"/>
        <v>#REF!</v>
      </c>
      <c r="AX617" s="12" t="e">
        <f t="shared" si="876"/>
        <v>#REF!</v>
      </c>
      <c r="AY617" s="49" t="s">
        <v>588</v>
      </c>
      <c r="AZ617" s="49" t="s">
        <v>1091</v>
      </c>
      <c r="BA617" s="10" t="s">
        <v>1062</v>
      </c>
      <c r="BC617" s="12" t="e">
        <f t="shared" si="877"/>
        <v>#REF!</v>
      </c>
      <c r="BD617" s="12" t="e">
        <f t="shared" si="878"/>
        <v>#REF!</v>
      </c>
      <c r="BE617" s="12">
        <v>0</v>
      </c>
      <c r="BF617" s="12" t="e">
        <f t="shared" si="879"/>
        <v>#REF!</v>
      </c>
      <c r="BH617" s="12" t="e">
        <f t="shared" si="880"/>
        <v>#REF!</v>
      </c>
      <c r="BI617" s="12" t="e">
        <f t="shared" si="881"/>
        <v>#REF!</v>
      </c>
      <c r="BJ617" s="12" t="e">
        <f t="shared" si="882"/>
        <v>#REF!</v>
      </c>
      <c r="BK617" s="12"/>
      <c r="BL617" s="12">
        <v>733</v>
      </c>
      <c r="BW617" s="12" t="str">
        <f t="shared" si="883"/>
        <v>21</v>
      </c>
      <c r="BX617" s="3" t="s">
        <v>397</v>
      </c>
    </row>
    <row r="618" spans="1:76">
      <c r="A618" s="1" t="s">
        <v>1101</v>
      </c>
      <c r="B618" s="2" t="s">
        <v>1059</v>
      </c>
      <c r="C618" s="2" t="s">
        <v>398</v>
      </c>
      <c r="D618" s="349" t="s">
        <v>399</v>
      </c>
      <c r="E618" s="342"/>
      <c r="F618" s="2" t="s">
        <v>68</v>
      </c>
      <c r="G618" s="12" t="e">
        <f>#REF!</f>
        <v>#REF!</v>
      </c>
      <c r="H618" s="12" t="e">
        <f>#REF!</f>
        <v>#REF!</v>
      </c>
      <c r="I618" s="49" t="s">
        <v>554</v>
      </c>
      <c r="J618" s="12" t="e">
        <f t="shared" si="858"/>
        <v>#REF!</v>
      </c>
      <c r="K618" s="12" t="e">
        <f t="shared" si="859"/>
        <v>#REF!</v>
      </c>
      <c r="L618" s="12" t="e">
        <f t="shared" si="860"/>
        <v>#REF!</v>
      </c>
      <c r="M618" s="12" t="e">
        <f t="shared" si="861"/>
        <v>#REF!</v>
      </c>
      <c r="N618" s="12">
        <v>1.3999999999999999E-4</v>
      </c>
      <c r="O618" s="12" t="e">
        <f t="shared" si="862"/>
        <v>#REF!</v>
      </c>
      <c r="P618" s="50" t="s">
        <v>605</v>
      </c>
      <c r="Z618" s="12">
        <f t="shared" si="863"/>
        <v>0</v>
      </c>
      <c r="AB618" s="12">
        <f t="shared" si="864"/>
        <v>0</v>
      </c>
      <c r="AC618" s="12">
        <f t="shared" si="865"/>
        <v>0</v>
      </c>
      <c r="AD618" s="12" t="e">
        <f t="shared" si="866"/>
        <v>#REF!</v>
      </c>
      <c r="AE618" s="12" t="e">
        <f t="shared" si="867"/>
        <v>#REF!</v>
      </c>
      <c r="AF618" s="12">
        <f t="shared" si="868"/>
        <v>0</v>
      </c>
      <c r="AG618" s="12">
        <f t="shared" si="869"/>
        <v>0</v>
      </c>
      <c r="AH618" s="12">
        <f t="shared" si="870"/>
        <v>0</v>
      </c>
      <c r="AI618" s="10" t="s">
        <v>1059</v>
      </c>
      <c r="AJ618" s="12">
        <f t="shared" si="871"/>
        <v>0</v>
      </c>
      <c r="AK618" s="12">
        <f t="shared" si="872"/>
        <v>0</v>
      </c>
      <c r="AL618" s="12" t="e">
        <f t="shared" si="873"/>
        <v>#REF!</v>
      </c>
      <c r="AN618" s="12">
        <v>21</v>
      </c>
      <c r="AO618" s="12" t="e">
        <f>H618*0.345851429</f>
        <v>#REF!</v>
      </c>
      <c r="AP618" s="12" t="e">
        <f>H618*(1-0.345851429)</f>
        <v>#REF!</v>
      </c>
      <c r="AQ618" s="49" t="s">
        <v>567</v>
      </c>
      <c r="AV618" s="12" t="e">
        <f t="shared" si="874"/>
        <v>#REF!</v>
      </c>
      <c r="AW618" s="12" t="e">
        <f t="shared" si="875"/>
        <v>#REF!</v>
      </c>
      <c r="AX618" s="12" t="e">
        <f t="shared" si="876"/>
        <v>#REF!</v>
      </c>
      <c r="AY618" s="49" t="s">
        <v>588</v>
      </c>
      <c r="AZ618" s="49" t="s">
        <v>1091</v>
      </c>
      <c r="BA618" s="10" t="s">
        <v>1062</v>
      </c>
      <c r="BC618" s="12" t="e">
        <f t="shared" si="877"/>
        <v>#REF!</v>
      </c>
      <c r="BD618" s="12" t="e">
        <f t="shared" si="878"/>
        <v>#REF!</v>
      </c>
      <c r="BE618" s="12">
        <v>0</v>
      </c>
      <c r="BF618" s="12" t="e">
        <f t="shared" si="879"/>
        <v>#REF!</v>
      </c>
      <c r="BH618" s="12" t="e">
        <f t="shared" si="880"/>
        <v>#REF!</v>
      </c>
      <c r="BI618" s="12" t="e">
        <f t="shared" si="881"/>
        <v>#REF!</v>
      </c>
      <c r="BJ618" s="12" t="e">
        <f t="shared" si="882"/>
        <v>#REF!</v>
      </c>
      <c r="BK618" s="12"/>
      <c r="BL618" s="12">
        <v>733</v>
      </c>
      <c r="BW618" s="12" t="str">
        <f t="shared" si="883"/>
        <v>21</v>
      </c>
      <c r="BX618" s="3" t="s">
        <v>399</v>
      </c>
    </row>
    <row r="619" spans="1:76">
      <c r="A619" s="1" t="s">
        <v>1102</v>
      </c>
      <c r="B619" s="2" t="s">
        <v>1059</v>
      </c>
      <c r="C619" s="2" t="s">
        <v>400</v>
      </c>
      <c r="D619" s="349" t="s">
        <v>401</v>
      </c>
      <c r="E619" s="342"/>
      <c r="F619" s="2" t="s">
        <v>63</v>
      </c>
      <c r="G619" s="12" t="e">
        <f>#REF!</f>
        <v>#REF!</v>
      </c>
      <c r="H619" s="12" t="e">
        <f>#REF!</f>
        <v>#REF!</v>
      </c>
      <c r="I619" s="49" t="s">
        <v>554</v>
      </c>
      <c r="J619" s="12" t="e">
        <f t="shared" si="858"/>
        <v>#REF!</v>
      </c>
      <c r="K619" s="12" t="e">
        <f t="shared" si="859"/>
        <v>#REF!</v>
      </c>
      <c r="L619" s="12" t="e">
        <f t="shared" si="860"/>
        <v>#REF!</v>
      </c>
      <c r="M619" s="12" t="e">
        <f t="shared" si="861"/>
        <v>#REF!</v>
      </c>
      <c r="N619" s="12">
        <v>8.4700000000000001E-3</v>
      </c>
      <c r="O619" s="12" t="e">
        <f t="shared" si="862"/>
        <v>#REF!</v>
      </c>
      <c r="P619" s="50" t="s">
        <v>577</v>
      </c>
      <c r="Z619" s="12">
        <f t="shared" si="863"/>
        <v>0</v>
      </c>
      <c r="AB619" s="12">
        <f t="shared" si="864"/>
        <v>0</v>
      </c>
      <c r="AC619" s="12">
        <f t="shared" si="865"/>
        <v>0</v>
      </c>
      <c r="AD619" s="12" t="e">
        <f t="shared" si="866"/>
        <v>#REF!</v>
      </c>
      <c r="AE619" s="12" t="e">
        <f t="shared" si="867"/>
        <v>#REF!</v>
      </c>
      <c r="AF619" s="12">
        <f t="shared" si="868"/>
        <v>0</v>
      </c>
      <c r="AG619" s="12">
        <f t="shared" si="869"/>
        <v>0</v>
      </c>
      <c r="AH619" s="12">
        <f t="shared" si="870"/>
        <v>0</v>
      </c>
      <c r="AI619" s="10" t="s">
        <v>1059</v>
      </c>
      <c r="AJ619" s="12">
        <f t="shared" si="871"/>
        <v>0</v>
      </c>
      <c r="AK619" s="12">
        <f t="shared" si="872"/>
        <v>0</v>
      </c>
      <c r="AL619" s="12" t="e">
        <f t="shared" si="873"/>
        <v>#REF!</v>
      </c>
      <c r="AN619" s="12">
        <v>21</v>
      </c>
      <c r="AO619" s="12" t="e">
        <f>H619*0.193150786</f>
        <v>#REF!</v>
      </c>
      <c r="AP619" s="12" t="e">
        <f>H619*(1-0.193150786)</f>
        <v>#REF!</v>
      </c>
      <c r="AQ619" s="49" t="s">
        <v>567</v>
      </c>
      <c r="AV619" s="12" t="e">
        <f t="shared" si="874"/>
        <v>#REF!</v>
      </c>
      <c r="AW619" s="12" t="e">
        <f t="shared" si="875"/>
        <v>#REF!</v>
      </c>
      <c r="AX619" s="12" t="e">
        <f t="shared" si="876"/>
        <v>#REF!</v>
      </c>
      <c r="AY619" s="49" t="s">
        <v>588</v>
      </c>
      <c r="AZ619" s="49" t="s">
        <v>1091</v>
      </c>
      <c r="BA619" s="10" t="s">
        <v>1062</v>
      </c>
      <c r="BC619" s="12" t="e">
        <f t="shared" si="877"/>
        <v>#REF!</v>
      </c>
      <c r="BD619" s="12" t="e">
        <f t="shared" si="878"/>
        <v>#REF!</v>
      </c>
      <c r="BE619" s="12">
        <v>0</v>
      </c>
      <c r="BF619" s="12" t="e">
        <f t="shared" si="879"/>
        <v>#REF!</v>
      </c>
      <c r="BH619" s="12" t="e">
        <f t="shared" si="880"/>
        <v>#REF!</v>
      </c>
      <c r="BI619" s="12" t="e">
        <f t="shared" si="881"/>
        <v>#REF!</v>
      </c>
      <c r="BJ619" s="12" t="e">
        <f t="shared" si="882"/>
        <v>#REF!</v>
      </c>
      <c r="BK619" s="12"/>
      <c r="BL619" s="12">
        <v>733</v>
      </c>
      <c r="BW619" s="12" t="str">
        <f t="shared" si="883"/>
        <v>21</v>
      </c>
      <c r="BX619" s="3" t="s">
        <v>401</v>
      </c>
    </row>
    <row r="620" spans="1:76">
      <c r="A620" s="1" t="s">
        <v>1103</v>
      </c>
      <c r="B620" s="2" t="s">
        <v>1059</v>
      </c>
      <c r="C620" s="2" t="s">
        <v>402</v>
      </c>
      <c r="D620" s="349" t="s">
        <v>403</v>
      </c>
      <c r="E620" s="342"/>
      <c r="F620" s="2" t="s">
        <v>63</v>
      </c>
      <c r="G620" s="12" t="e">
        <f>#REF!</f>
        <v>#REF!</v>
      </c>
      <c r="H620" s="12" t="e">
        <f>#REF!</f>
        <v>#REF!</v>
      </c>
      <c r="I620" s="49" t="s">
        <v>554</v>
      </c>
      <c r="J620" s="12" t="e">
        <f t="shared" si="858"/>
        <v>#REF!</v>
      </c>
      <c r="K620" s="12" t="e">
        <f t="shared" si="859"/>
        <v>#REF!</v>
      </c>
      <c r="L620" s="12" t="e">
        <f t="shared" si="860"/>
        <v>#REF!</v>
      </c>
      <c r="M620" s="12" t="e">
        <f t="shared" si="861"/>
        <v>#REF!</v>
      </c>
      <c r="N620" s="12">
        <v>7.6E-3</v>
      </c>
      <c r="O620" s="12" t="e">
        <f t="shared" si="862"/>
        <v>#REF!</v>
      </c>
      <c r="P620" s="50" t="s">
        <v>577</v>
      </c>
      <c r="Z620" s="12">
        <f t="shared" si="863"/>
        <v>0</v>
      </c>
      <c r="AB620" s="12">
        <f t="shared" si="864"/>
        <v>0</v>
      </c>
      <c r="AC620" s="12">
        <f t="shared" si="865"/>
        <v>0</v>
      </c>
      <c r="AD620" s="12" t="e">
        <f t="shared" si="866"/>
        <v>#REF!</v>
      </c>
      <c r="AE620" s="12" t="e">
        <f t="shared" si="867"/>
        <v>#REF!</v>
      </c>
      <c r="AF620" s="12">
        <f t="shared" si="868"/>
        <v>0</v>
      </c>
      <c r="AG620" s="12">
        <f t="shared" si="869"/>
        <v>0</v>
      </c>
      <c r="AH620" s="12">
        <f t="shared" si="870"/>
        <v>0</v>
      </c>
      <c r="AI620" s="10" t="s">
        <v>1059</v>
      </c>
      <c r="AJ620" s="12">
        <f t="shared" si="871"/>
        <v>0</v>
      </c>
      <c r="AK620" s="12">
        <f t="shared" si="872"/>
        <v>0</v>
      </c>
      <c r="AL620" s="12" t="e">
        <f t="shared" si="873"/>
        <v>#REF!</v>
      </c>
      <c r="AN620" s="12">
        <v>21</v>
      </c>
      <c r="AO620" s="12" t="e">
        <f>H620*0.530278846</f>
        <v>#REF!</v>
      </c>
      <c r="AP620" s="12" t="e">
        <f>H620*(1-0.530278846)</f>
        <v>#REF!</v>
      </c>
      <c r="AQ620" s="49" t="s">
        <v>567</v>
      </c>
      <c r="AV620" s="12" t="e">
        <f t="shared" si="874"/>
        <v>#REF!</v>
      </c>
      <c r="AW620" s="12" t="e">
        <f t="shared" si="875"/>
        <v>#REF!</v>
      </c>
      <c r="AX620" s="12" t="e">
        <f t="shared" si="876"/>
        <v>#REF!</v>
      </c>
      <c r="AY620" s="49" t="s">
        <v>588</v>
      </c>
      <c r="AZ620" s="49" t="s">
        <v>1091</v>
      </c>
      <c r="BA620" s="10" t="s">
        <v>1062</v>
      </c>
      <c r="BC620" s="12" t="e">
        <f t="shared" si="877"/>
        <v>#REF!</v>
      </c>
      <c r="BD620" s="12" t="e">
        <f t="shared" si="878"/>
        <v>#REF!</v>
      </c>
      <c r="BE620" s="12">
        <v>0</v>
      </c>
      <c r="BF620" s="12" t="e">
        <f t="shared" si="879"/>
        <v>#REF!</v>
      </c>
      <c r="BH620" s="12" t="e">
        <f t="shared" si="880"/>
        <v>#REF!</v>
      </c>
      <c r="BI620" s="12" t="e">
        <f t="shared" si="881"/>
        <v>#REF!</v>
      </c>
      <c r="BJ620" s="12" t="e">
        <f t="shared" si="882"/>
        <v>#REF!</v>
      </c>
      <c r="BK620" s="12"/>
      <c r="BL620" s="12">
        <v>733</v>
      </c>
      <c r="BW620" s="12" t="str">
        <f t="shared" si="883"/>
        <v>21</v>
      </c>
      <c r="BX620" s="3" t="s">
        <v>403</v>
      </c>
    </row>
    <row r="621" spans="1:76">
      <c r="A621" s="1" t="s">
        <v>1104</v>
      </c>
      <c r="B621" s="2" t="s">
        <v>1059</v>
      </c>
      <c r="C621" s="2" t="s">
        <v>404</v>
      </c>
      <c r="D621" s="349" t="s">
        <v>405</v>
      </c>
      <c r="E621" s="342"/>
      <c r="F621" s="2" t="s">
        <v>63</v>
      </c>
      <c r="G621" s="12" t="e">
        <f>#REF!</f>
        <v>#REF!</v>
      </c>
      <c r="H621" s="12" t="e">
        <f>#REF!</f>
        <v>#REF!</v>
      </c>
      <c r="I621" s="49" t="s">
        <v>554</v>
      </c>
      <c r="J621" s="12" t="e">
        <f t="shared" si="858"/>
        <v>#REF!</v>
      </c>
      <c r="K621" s="12" t="e">
        <f t="shared" si="859"/>
        <v>#REF!</v>
      </c>
      <c r="L621" s="12" t="e">
        <f t="shared" si="860"/>
        <v>#REF!</v>
      </c>
      <c r="M621" s="12" t="e">
        <f t="shared" si="861"/>
        <v>#REF!</v>
      </c>
      <c r="N621" s="12">
        <v>4.8700000000000002E-3</v>
      </c>
      <c r="O621" s="12" t="e">
        <f t="shared" si="862"/>
        <v>#REF!</v>
      </c>
      <c r="P621" s="50" t="s">
        <v>577</v>
      </c>
      <c r="Z621" s="12">
        <f t="shared" si="863"/>
        <v>0</v>
      </c>
      <c r="AB621" s="12">
        <f t="shared" si="864"/>
        <v>0</v>
      </c>
      <c r="AC621" s="12">
        <f t="shared" si="865"/>
        <v>0</v>
      </c>
      <c r="AD621" s="12" t="e">
        <f t="shared" si="866"/>
        <v>#REF!</v>
      </c>
      <c r="AE621" s="12" t="e">
        <f t="shared" si="867"/>
        <v>#REF!</v>
      </c>
      <c r="AF621" s="12">
        <f t="shared" si="868"/>
        <v>0</v>
      </c>
      <c r="AG621" s="12">
        <f t="shared" si="869"/>
        <v>0</v>
      </c>
      <c r="AH621" s="12">
        <f t="shared" si="870"/>
        <v>0</v>
      </c>
      <c r="AI621" s="10" t="s">
        <v>1059</v>
      </c>
      <c r="AJ621" s="12">
        <f t="shared" si="871"/>
        <v>0</v>
      </c>
      <c r="AK621" s="12">
        <f t="shared" si="872"/>
        <v>0</v>
      </c>
      <c r="AL621" s="12" t="e">
        <f t="shared" si="873"/>
        <v>#REF!</v>
      </c>
      <c r="AN621" s="12">
        <v>21</v>
      </c>
      <c r="AO621" s="12" t="e">
        <f>H621*0.106027821</f>
        <v>#REF!</v>
      </c>
      <c r="AP621" s="12" t="e">
        <f>H621*(1-0.106027821)</f>
        <v>#REF!</v>
      </c>
      <c r="AQ621" s="49" t="s">
        <v>567</v>
      </c>
      <c r="AV621" s="12" t="e">
        <f t="shared" si="874"/>
        <v>#REF!</v>
      </c>
      <c r="AW621" s="12" t="e">
        <f t="shared" si="875"/>
        <v>#REF!</v>
      </c>
      <c r="AX621" s="12" t="e">
        <f t="shared" si="876"/>
        <v>#REF!</v>
      </c>
      <c r="AY621" s="49" t="s">
        <v>588</v>
      </c>
      <c r="AZ621" s="49" t="s">
        <v>1091</v>
      </c>
      <c r="BA621" s="10" t="s">
        <v>1062</v>
      </c>
      <c r="BC621" s="12" t="e">
        <f t="shared" si="877"/>
        <v>#REF!</v>
      </c>
      <c r="BD621" s="12" t="e">
        <f t="shared" si="878"/>
        <v>#REF!</v>
      </c>
      <c r="BE621" s="12">
        <v>0</v>
      </c>
      <c r="BF621" s="12" t="e">
        <f t="shared" si="879"/>
        <v>#REF!</v>
      </c>
      <c r="BH621" s="12" t="e">
        <f t="shared" si="880"/>
        <v>#REF!</v>
      </c>
      <c r="BI621" s="12" t="e">
        <f t="shared" si="881"/>
        <v>#REF!</v>
      </c>
      <c r="BJ621" s="12" t="e">
        <f t="shared" si="882"/>
        <v>#REF!</v>
      </c>
      <c r="BK621" s="12"/>
      <c r="BL621" s="12">
        <v>733</v>
      </c>
      <c r="BW621" s="12" t="str">
        <f t="shared" si="883"/>
        <v>21</v>
      </c>
      <c r="BX621" s="3" t="s">
        <v>405</v>
      </c>
    </row>
    <row r="622" spans="1:76" ht="51">
      <c r="A622" s="51"/>
      <c r="C622" s="13" t="s">
        <v>117</v>
      </c>
      <c r="D622" s="363" t="s">
        <v>458</v>
      </c>
      <c r="E622" s="364"/>
      <c r="F622" s="364"/>
      <c r="G622" s="364"/>
      <c r="H622" s="364"/>
      <c r="I622" s="364"/>
      <c r="J622" s="364"/>
      <c r="K622" s="364"/>
      <c r="L622" s="364"/>
      <c r="M622" s="364"/>
      <c r="N622" s="364"/>
      <c r="O622" s="364"/>
      <c r="P622" s="365"/>
      <c r="BX622" s="14" t="s">
        <v>458</v>
      </c>
    </row>
    <row r="623" spans="1:76">
      <c r="A623" s="1" t="s">
        <v>1105</v>
      </c>
      <c r="B623" s="2" t="s">
        <v>1059</v>
      </c>
      <c r="C623" s="2" t="s">
        <v>406</v>
      </c>
      <c r="D623" s="349" t="s">
        <v>407</v>
      </c>
      <c r="E623" s="342"/>
      <c r="F623" s="2" t="s">
        <v>63</v>
      </c>
      <c r="G623" s="12" t="e">
        <f>#REF!</f>
        <v>#REF!</v>
      </c>
      <c r="H623" s="12" t="e">
        <f>#REF!</f>
        <v>#REF!</v>
      </c>
      <c r="I623" s="49" t="s">
        <v>554</v>
      </c>
      <c r="J623" s="12" t="e">
        <f>G623*AO623</f>
        <v>#REF!</v>
      </c>
      <c r="K623" s="12" t="e">
        <f>G623*AP623</f>
        <v>#REF!</v>
      </c>
      <c r="L623" s="12" t="e">
        <f>G623*H623</f>
        <v>#REF!</v>
      </c>
      <c r="M623" s="12" t="e">
        <f>L623*(1+BW623/100)</f>
        <v>#REF!</v>
      </c>
      <c r="N623" s="12">
        <v>5.8500000000000002E-3</v>
      </c>
      <c r="O623" s="12" t="e">
        <f>G623*N623</f>
        <v>#REF!</v>
      </c>
      <c r="P623" s="50" t="s">
        <v>577</v>
      </c>
      <c r="Z623" s="12">
        <f>IF(AQ623="5",BJ623,0)</f>
        <v>0</v>
      </c>
      <c r="AB623" s="12">
        <f>IF(AQ623="1",BH623,0)</f>
        <v>0</v>
      </c>
      <c r="AC623" s="12">
        <f>IF(AQ623="1",BI623,0)</f>
        <v>0</v>
      </c>
      <c r="AD623" s="12" t="e">
        <f>IF(AQ623="7",BH623,0)</f>
        <v>#REF!</v>
      </c>
      <c r="AE623" s="12" t="e">
        <f>IF(AQ623="7",BI623,0)</f>
        <v>#REF!</v>
      </c>
      <c r="AF623" s="12">
        <f>IF(AQ623="2",BH623,0)</f>
        <v>0</v>
      </c>
      <c r="AG623" s="12">
        <f>IF(AQ623="2",BI623,0)</f>
        <v>0</v>
      </c>
      <c r="AH623" s="12">
        <f>IF(AQ623="0",BJ623,0)</f>
        <v>0</v>
      </c>
      <c r="AI623" s="10" t="s">
        <v>1059</v>
      </c>
      <c r="AJ623" s="12">
        <f>IF(AN623=0,L623,0)</f>
        <v>0</v>
      </c>
      <c r="AK623" s="12">
        <f>IF(AN623=12,L623,0)</f>
        <v>0</v>
      </c>
      <c r="AL623" s="12" t="e">
        <f>IF(AN623=21,L623,0)</f>
        <v>#REF!</v>
      </c>
      <c r="AN623" s="12">
        <v>21</v>
      </c>
      <c r="AO623" s="12" t="e">
        <f>H623*0.087066895</f>
        <v>#REF!</v>
      </c>
      <c r="AP623" s="12" t="e">
        <f>H623*(1-0.087066895)</f>
        <v>#REF!</v>
      </c>
      <c r="AQ623" s="49" t="s">
        <v>567</v>
      </c>
      <c r="AV623" s="12" t="e">
        <f>AW623+AX623</f>
        <v>#REF!</v>
      </c>
      <c r="AW623" s="12" t="e">
        <f>G623*AO623</f>
        <v>#REF!</v>
      </c>
      <c r="AX623" s="12" t="e">
        <f>G623*AP623</f>
        <v>#REF!</v>
      </c>
      <c r="AY623" s="49" t="s">
        <v>588</v>
      </c>
      <c r="AZ623" s="49" t="s">
        <v>1091</v>
      </c>
      <c r="BA623" s="10" t="s">
        <v>1062</v>
      </c>
      <c r="BC623" s="12" t="e">
        <f>AW623+AX623</f>
        <v>#REF!</v>
      </c>
      <c r="BD623" s="12" t="e">
        <f>H623/(100-BE623)*100</f>
        <v>#REF!</v>
      </c>
      <c r="BE623" s="12">
        <v>0</v>
      </c>
      <c r="BF623" s="12" t="e">
        <f>O623</f>
        <v>#REF!</v>
      </c>
      <c r="BH623" s="12" t="e">
        <f>G623*AO623</f>
        <v>#REF!</v>
      </c>
      <c r="BI623" s="12" t="e">
        <f>G623*AP623</f>
        <v>#REF!</v>
      </c>
      <c r="BJ623" s="12" t="e">
        <f>G623*H623</f>
        <v>#REF!</v>
      </c>
      <c r="BK623" s="12"/>
      <c r="BL623" s="12">
        <v>733</v>
      </c>
      <c r="BW623" s="12" t="str">
        <f>I623</f>
        <v>21</v>
      </c>
      <c r="BX623" s="3" t="s">
        <v>407</v>
      </c>
    </row>
    <row r="624" spans="1:76" ht="51">
      <c r="A624" s="51"/>
      <c r="C624" s="13" t="s">
        <v>117</v>
      </c>
      <c r="D624" s="363" t="s">
        <v>458</v>
      </c>
      <c r="E624" s="364"/>
      <c r="F624" s="364"/>
      <c r="G624" s="364"/>
      <c r="H624" s="364"/>
      <c r="I624" s="364"/>
      <c r="J624" s="364"/>
      <c r="K624" s="364"/>
      <c r="L624" s="364"/>
      <c r="M624" s="364"/>
      <c r="N624" s="364"/>
      <c r="O624" s="364"/>
      <c r="P624" s="365"/>
      <c r="BX624" s="14" t="s">
        <v>458</v>
      </c>
    </row>
    <row r="625" spans="1:76">
      <c r="A625" s="1" t="s">
        <v>1106</v>
      </c>
      <c r="B625" s="2" t="s">
        <v>1059</v>
      </c>
      <c r="C625" s="2" t="s">
        <v>189</v>
      </c>
      <c r="D625" s="349" t="s">
        <v>190</v>
      </c>
      <c r="E625" s="342"/>
      <c r="F625" s="2" t="s">
        <v>63</v>
      </c>
      <c r="G625" s="12" t="e">
        <f>#REF!</f>
        <v>#REF!</v>
      </c>
      <c r="H625" s="12" t="e">
        <f>#REF!</f>
        <v>#REF!</v>
      </c>
      <c r="I625" s="49" t="s">
        <v>554</v>
      </c>
      <c r="J625" s="12" t="e">
        <f>G625*AO625</f>
        <v>#REF!</v>
      </c>
      <c r="K625" s="12" t="e">
        <f>G625*AP625</f>
        <v>#REF!</v>
      </c>
      <c r="L625" s="12" t="e">
        <f>G625*H625</f>
        <v>#REF!</v>
      </c>
      <c r="M625" s="12" t="e">
        <f>L625*(1+BW625/100)</f>
        <v>#REF!</v>
      </c>
      <c r="N625" s="12">
        <v>0</v>
      </c>
      <c r="O625" s="12" t="e">
        <f>G625*N625</f>
        <v>#REF!</v>
      </c>
      <c r="P625" s="50" t="s">
        <v>21</v>
      </c>
      <c r="Z625" s="12">
        <f>IF(AQ625="5",BJ625,0)</f>
        <v>0</v>
      </c>
      <c r="AB625" s="12">
        <f>IF(AQ625="1",BH625,0)</f>
        <v>0</v>
      </c>
      <c r="AC625" s="12">
        <f>IF(AQ625="1",BI625,0)</f>
        <v>0</v>
      </c>
      <c r="AD625" s="12" t="e">
        <f>IF(AQ625="7",BH625,0)</f>
        <v>#REF!</v>
      </c>
      <c r="AE625" s="12" t="e">
        <f>IF(AQ625="7",BI625,0)</f>
        <v>#REF!</v>
      </c>
      <c r="AF625" s="12">
        <f>IF(AQ625="2",BH625,0)</f>
        <v>0</v>
      </c>
      <c r="AG625" s="12">
        <f>IF(AQ625="2",BI625,0)</f>
        <v>0</v>
      </c>
      <c r="AH625" s="12">
        <f>IF(AQ625="0",BJ625,0)</f>
        <v>0</v>
      </c>
      <c r="AI625" s="10" t="s">
        <v>1059</v>
      </c>
      <c r="AJ625" s="12">
        <f>IF(AN625=0,L625,0)</f>
        <v>0</v>
      </c>
      <c r="AK625" s="12">
        <f>IF(AN625=12,L625,0)</f>
        <v>0</v>
      </c>
      <c r="AL625" s="12" t="e">
        <f>IF(AN625=21,L625,0)</f>
        <v>#REF!</v>
      </c>
      <c r="AN625" s="12">
        <v>21</v>
      </c>
      <c r="AO625" s="12" t="e">
        <f>H625*0</f>
        <v>#REF!</v>
      </c>
      <c r="AP625" s="12" t="e">
        <f>H625*(1-0)</f>
        <v>#REF!</v>
      </c>
      <c r="AQ625" s="49" t="s">
        <v>567</v>
      </c>
      <c r="AV625" s="12" t="e">
        <f>AW625+AX625</f>
        <v>#REF!</v>
      </c>
      <c r="AW625" s="12" t="e">
        <f>G625*AO625</f>
        <v>#REF!</v>
      </c>
      <c r="AX625" s="12" t="e">
        <f>G625*AP625</f>
        <v>#REF!</v>
      </c>
      <c r="AY625" s="49" t="s">
        <v>588</v>
      </c>
      <c r="AZ625" s="49" t="s">
        <v>1091</v>
      </c>
      <c r="BA625" s="10" t="s">
        <v>1062</v>
      </c>
      <c r="BC625" s="12" t="e">
        <f>AW625+AX625</f>
        <v>#REF!</v>
      </c>
      <c r="BD625" s="12" t="e">
        <f>H625/(100-BE625)*100</f>
        <v>#REF!</v>
      </c>
      <c r="BE625" s="12">
        <v>0</v>
      </c>
      <c r="BF625" s="12" t="e">
        <f>O625</f>
        <v>#REF!</v>
      </c>
      <c r="BH625" s="12" t="e">
        <f>G625*AO625</f>
        <v>#REF!</v>
      </c>
      <c r="BI625" s="12" t="e">
        <f>G625*AP625</f>
        <v>#REF!</v>
      </c>
      <c r="BJ625" s="12" t="e">
        <f>G625*H625</f>
        <v>#REF!</v>
      </c>
      <c r="BK625" s="12"/>
      <c r="BL625" s="12">
        <v>733</v>
      </c>
      <c r="BW625" s="12" t="str">
        <f>I625</f>
        <v>21</v>
      </c>
      <c r="BX625" s="3" t="s">
        <v>190</v>
      </c>
    </row>
    <row r="626" spans="1:76">
      <c r="A626" s="1" t="s">
        <v>1107</v>
      </c>
      <c r="B626" s="2" t="s">
        <v>1059</v>
      </c>
      <c r="C626" s="2" t="s">
        <v>408</v>
      </c>
      <c r="D626" s="349" t="s">
        <v>409</v>
      </c>
      <c r="E626" s="342"/>
      <c r="F626" s="2" t="s">
        <v>63</v>
      </c>
      <c r="G626" s="12" t="e">
        <f>#REF!</f>
        <v>#REF!</v>
      </c>
      <c r="H626" s="12" t="e">
        <f>#REF!</f>
        <v>#REF!</v>
      </c>
      <c r="I626" s="49" t="s">
        <v>554</v>
      </c>
      <c r="J626" s="12" t="e">
        <f>G626*AO626</f>
        <v>#REF!</v>
      </c>
      <c r="K626" s="12" t="e">
        <f>G626*AP626</f>
        <v>#REF!</v>
      </c>
      <c r="L626" s="12" t="e">
        <f>G626*H626</f>
        <v>#REF!</v>
      </c>
      <c r="M626" s="12" t="e">
        <f>L626*(1+BW626/100)</f>
        <v>#REF!</v>
      </c>
      <c r="N626" s="12">
        <v>1.23E-3</v>
      </c>
      <c r="O626" s="12" t="e">
        <f>G626*N626</f>
        <v>#REF!</v>
      </c>
      <c r="P626" s="50" t="s">
        <v>577</v>
      </c>
      <c r="Z626" s="12">
        <f>IF(AQ626="5",BJ626,0)</f>
        <v>0</v>
      </c>
      <c r="AB626" s="12">
        <f>IF(AQ626="1",BH626,0)</f>
        <v>0</v>
      </c>
      <c r="AC626" s="12">
        <f>IF(AQ626="1",BI626,0)</f>
        <v>0</v>
      </c>
      <c r="AD626" s="12" t="e">
        <f>IF(AQ626="7",BH626,0)</f>
        <v>#REF!</v>
      </c>
      <c r="AE626" s="12" t="e">
        <f>IF(AQ626="7",BI626,0)</f>
        <v>#REF!</v>
      </c>
      <c r="AF626" s="12">
        <f>IF(AQ626="2",BH626,0)</f>
        <v>0</v>
      </c>
      <c r="AG626" s="12">
        <f>IF(AQ626="2",BI626,0)</f>
        <v>0</v>
      </c>
      <c r="AH626" s="12">
        <f>IF(AQ626="0",BJ626,0)</f>
        <v>0</v>
      </c>
      <c r="AI626" s="10" t="s">
        <v>1059</v>
      </c>
      <c r="AJ626" s="12">
        <f>IF(AN626=0,L626,0)</f>
        <v>0</v>
      </c>
      <c r="AK626" s="12">
        <f>IF(AN626=12,L626,0)</f>
        <v>0</v>
      </c>
      <c r="AL626" s="12" t="e">
        <f>IF(AN626=21,L626,0)</f>
        <v>#REF!</v>
      </c>
      <c r="AN626" s="12">
        <v>21</v>
      </c>
      <c r="AO626" s="12" t="e">
        <f>H626*1</f>
        <v>#REF!</v>
      </c>
      <c r="AP626" s="12" t="e">
        <f>H626*(1-1)</f>
        <v>#REF!</v>
      </c>
      <c r="AQ626" s="49" t="s">
        <v>567</v>
      </c>
      <c r="AV626" s="12" t="e">
        <f>AW626+AX626</f>
        <v>#REF!</v>
      </c>
      <c r="AW626" s="12" t="e">
        <f>G626*AO626</f>
        <v>#REF!</v>
      </c>
      <c r="AX626" s="12" t="e">
        <f>G626*AP626</f>
        <v>#REF!</v>
      </c>
      <c r="AY626" s="49" t="s">
        <v>588</v>
      </c>
      <c r="AZ626" s="49" t="s">
        <v>1091</v>
      </c>
      <c r="BA626" s="10" t="s">
        <v>1062</v>
      </c>
      <c r="BC626" s="12" t="e">
        <f>AW626+AX626</f>
        <v>#REF!</v>
      </c>
      <c r="BD626" s="12" t="e">
        <f>H626/(100-BE626)*100</f>
        <v>#REF!</v>
      </c>
      <c r="BE626" s="12">
        <v>0</v>
      </c>
      <c r="BF626" s="12" t="e">
        <f>O626</f>
        <v>#REF!</v>
      </c>
      <c r="BH626" s="12" t="e">
        <f>G626*AO626</f>
        <v>#REF!</v>
      </c>
      <c r="BI626" s="12" t="e">
        <f>G626*AP626</f>
        <v>#REF!</v>
      </c>
      <c r="BJ626" s="12" t="e">
        <f>G626*H626</f>
        <v>#REF!</v>
      </c>
      <c r="BK626" s="12"/>
      <c r="BL626" s="12">
        <v>733</v>
      </c>
      <c r="BW626" s="12" t="str">
        <f>I626</f>
        <v>21</v>
      </c>
      <c r="BX626" s="3" t="s">
        <v>409</v>
      </c>
    </row>
    <row r="627" spans="1:76" ht="165.75">
      <c r="A627" s="51"/>
      <c r="C627" s="13" t="s">
        <v>117</v>
      </c>
      <c r="D627" s="363" t="s">
        <v>193</v>
      </c>
      <c r="E627" s="364"/>
      <c r="F627" s="364"/>
      <c r="G627" s="364"/>
      <c r="H627" s="364"/>
      <c r="I627" s="364"/>
      <c r="J627" s="364"/>
      <c r="K627" s="364"/>
      <c r="L627" s="364"/>
      <c r="M627" s="364"/>
      <c r="N627" s="364"/>
      <c r="O627" s="364"/>
      <c r="P627" s="365"/>
      <c r="BX627" s="14" t="s">
        <v>193</v>
      </c>
    </row>
    <row r="628" spans="1:76">
      <c r="A628" s="1" t="s">
        <v>1108</v>
      </c>
      <c r="B628" s="2" t="s">
        <v>1059</v>
      </c>
      <c r="C628" s="2" t="s">
        <v>410</v>
      </c>
      <c r="D628" s="349" t="s">
        <v>411</v>
      </c>
      <c r="E628" s="342"/>
      <c r="F628" s="2" t="s">
        <v>63</v>
      </c>
      <c r="G628" s="12" t="e">
        <f>#REF!</f>
        <v>#REF!</v>
      </c>
      <c r="H628" s="12" t="e">
        <f>#REF!</f>
        <v>#REF!</v>
      </c>
      <c r="I628" s="49" t="s">
        <v>554</v>
      </c>
      <c r="J628" s="12" t="e">
        <f>G628*AO628</f>
        <v>#REF!</v>
      </c>
      <c r="K628" s="12" t="e">
        <f>G628*AP628</f>
        <v>#REF!</v>
      </c>
      <c r="L628" s="12" t="e">
        <f>G628*H628</f>
        <v>#REF!</v>
      </c>
      <c r="M628" s="12" t="e">
        <f>L628*(1+BW628/100)</f>
        <v>#REF!</v>
      </c>
      <c r="N628" s="12">
        <v>3.1E-4</v>
      </c>
      <c r="O628" s="12" t="e">
        <f>G628*N628</f>
        <v>#REF!</v>
      </c>
      <c r="P628" s="50" t="s">
        <v>577</v>
      </c>
      <c r="Z628" s="12">
        <f>IF(AQ628="5",BJ628,0)</f>
        <v>0</v>
      </c>
      <c r="AB628" s="12">
        <f>IF(AQ628="1",BH628,0)</f>
        <v>0</v>
      </c>
      <c r="AC628" s="12">
        <f>IF(AQ628="1",BI628,0)</f>
        <v>0</v>
      </c>
      <c r="AD628" s="12" t="e">
        <f>IF(AQ628="7",BH628,0)</f>
        <v>#REF!</v>
      </c>
      <c r="AE628" s="12" t="e">
        <f>IF(AQ628="7",BI628,0)</f>
        <v>#REF!</v>
      </c>
      <c r="AF628" s="12">
        <f>IF(AQ628="2",BH628,0)</f>
        <v>0</v>
      </c>
      <c r="AG628" s="12">
        <f>IF(AQ628="2",BI628,0)</f>
        <v>0</v>
      </c>
      <c r="AH628" s="12">
        <f>IF(AQ628="0",BJ628,0)</f>
        <v>0</v>
      </c>
      <c r="AI628" s="10" t="s">
        <v>1059</v>
      </c>
      <c r="AJ628" s="12">
        <f>IF(AN628=0,L628,0)</f>
        <v>0</v>
      </c>
      <c r="AK628" s="12">
        <f>IF(AN628=12,L628,0)</f>
        <v>0</v>
      </c>
      <c r="AL628" s="12" t="e">
        <f>IF(AN628=21,L628,0)</f>
        <v>#REF!</v>
      </c>
      <c r="AN628" s="12">
        <v>21</v>
      </c>
      <c r="AO628" s="12" t="e">
        <f>H628*1</f>
        <v>#REF!</v>
      </c>
      <c r="AP628" s="12" t="e">
        <f>H628*(1-1)</f>
        <v>#REF!</v>
      </c>
      <c r="AQ628" s="49" t="s">
        <v>567</v>
      </c>
      <c r="AV628" s="12" t="e">
        <f>AW628+AX628</f>
        <v>#REF!</v>
      </c>
      <c r="AW628" s="12" t="e">
        <f>G628*AO628</f>
        <v>#REF!</v>
      </c>
      <c r="AX628" s="12" t="e">
        <f>G628*AP628</f>
        <v>#REF!</v>
      </c>
      <c r="AY628" s="49" t="s">
        <v>588</v>
      </c>
      <c r="AZ628" s="49" t="s">
        <v>1091</v>
      </c>
      <c r="BA628" s="10" t="s">
        <v>1062</v>
      </c>
      <c r="BC628" s="12" t="e">
        <f>AW628+AX628</f>
        <v>#REF!</v>
      </c>
      <c r="BD628" s="12" t="e">
        <f>H628/(100-BE628)*100</f>
        <v>#REF!</v>
      </c>
      <c r="BE628" s="12">
        <v>0</v>
      </c>
      <c r="BF628" s="12" t="e">
        <f>O628</f>
        <v>#REF!</v>
      </c>
      <c r="BH628" s="12" t="e">
        <f>G628*AO628</f>
        <v>#REF!</v>
      </c>
      <c r="BI628" s="12" t="e">
        <f>G628*AP628</f>
        <v>#REF!</v>
      </c>
      <c r="BJ628" s="12" t="e">
        <f>G628*H628</f>
        <v>#REF!</v>
      </c>
      <c r="BK628" s="12"/>
      <c r="BL628" s="12">
        <v>733</v>
      </c>
      <c r="BW628" s="12" t="str">
        <f>I628</f>
        <v>21</v>
      </c>
      <c r="BX628" s="3" t="s">
        <v>411</v>
      </c>
    </row>
    <row r="629" spans="1:76" ht="165.75">
      <c r="A629" s="51"/>
      <c r="C629" s="13" t="s">
        <v>117</v>
      </c>
      <c r="D629" s="363" t="s">
        <v>193</v>
      </c>
      <c r="E629" s="364"/>
      <c r="F629" s="364"/>
      <c r="G629" s="364"/>
      <c r="H629" s="364"/>
      <c r="I629" s="364"/>
      <c r="J629" s="364"/>
      <c r="K629" s="364"/>
      <c r="L629" s="364"/>
      <c r="M629" s="364"/>
      <c r="N629" s="364"/>
      <c r="O629" s="364"/>
      <c r="P629" s="365"/>
      <c r="BX629" s="14" t="s">
        <v>193</v>
      </c>
    </row>
    <row r="630" spans="1:76">
      <c r="A630" s="1" t="s">
        <v>1109</v>
      </c>
      <c r="B630" s="2" t="s">
        <v>1059</v>
      </c>
      <c r="C630" s="2" t="s">
        <v>412</v>
      </c>
      <c r="D630" s="349" t="s">
        <v>413</v>
      </c>
      <c r="E630" s="342"/>
      <c r="F630" s="2" t="s">
        <v>63</v>
      </c>
      <c r="G630" s="12" t="e">
        <f>#REF!</f>
        <v>#REF!</v>
      </c>
      <c r="H630" s="12" t="e">
        <f>#REF!</f>
        <v>#REF!</v>
      </c>
      <c r="I630" s="49" t="s">
        <v>554</v>
      </c>
      <c r="J630" s="12" t="e">
        <f>G630*AO630</f>
        <v>#REF!</v>
      </c>
      <c r="K630" s="12" t="e">
        <f>G630*AP630</f>
        <v>#REF!</v>
      </c>
      <c r="L630" s="12" t="e">
        <f>G630*H630</f>
        <v>#REF!</v>
      </c>
      <c r="M630" s="12" t="e">
        <f>L630*(1+BW630/100)</f>
        <v>#REF!</v>
      </c>
      <c r="N630" s="12">
        <v>3.0000000000000001E-5</v>
      </c>
      <c r="O630" s="12" t="e">
        <f>G630*N630</f>
        <v>#REF!</v>
      </c>
      <c r="P630" s="50" t="s">
        <v>577</v>
      </c>
      <c r="Z630" s="12">
        <f>IF(AQ630="5",BJ630,0)</f>
        <v>0</v>
      </c>
      <c r="AB630" s="12">
        <f>IF(AQ630="1",BH630,0)</f>
        <v>0</v>
      </c>
      <c r="AC630" s="12">
        <f>IF(AQ630="1",BI630,0)</f>
        <v>0</v>
      </c>
      <c r="AD630" s="12" t="e">
        <f>IF(AQ630="7",BH630,0)</f>
        <v>#REF!</v>
      </c>
      <c r="AE630" s="12" t="e">
        <f>IF(AQ630="7",BI630,0)</f>
        <v>#REF!</v>
      </c>
      <c r="AF630" s="12">
        <f>IF(AQ630="2",BH630,0)</f>
        <v>0</v>
      </c>
      <c r="AG630" s="12">
        <f>IF(AQ630="2",BI630,0)</f>
        <v>0</v>
      </c>
      <c r="AH630" s="12">
        <f>IF(AQ630="0",BJ630,0)</f>
        <v>0</v>
      </c>
      <c r="AI630" s="10" t="s">
        <v>1059</v>
      </c>
      <c r="AJ630" s="12">
        <f>IF(AN630=0,L630,0)</f>
        <v>0</v>
      </c>
      <c r="AK630" s="12">
        <f>IF(AN630=12,L630,0)</f>
        <v>0</v>
      </c>
      <c r="AL630" s="12" t="e">
        <f>IF(AN630=21,L630,0)</f>
        <v>#REF!</v>
      </c>
      <c r="AN630" s="12">
        <v>21</v>
      </c>
      <c r="AO630" s="12" t="e">
        <f>H630*1</f>
        <v>#REF!</v>
      </c>
      <c r="AP630" s="12" t="e">
        <f>H630*(1-1)</f>
        <v>#REF!</v>
      </c>
      <c r="AQ630" s="49" t="s">
        <v>567</v>
      </c>
      <c r="AV630" s="12" t="e">
        <f>AW630+AX630</f>
        <v>#REF!</v>
      </c>
      <c r="AW630" s="12" t="e">
        <f>G630*AO630</f>
        <v>#REF!</v>
      </c>
      <c r="AX630" s="12" t="e">
        <f>G630*AP630</f>
        <v>#REF!</v>
      </c>
      <c r="AY630" s="49" t="s">
        <v>588</v>
      </c>
      <c r="AZ630" s="49" t="s">
        <v>1091</v>
      </c>
      <c r="BA630" s="10" t="s">
        <v>1062</v>
      </c>
      <c r="BC630" s="12" t="e">
        <f>AW630+AX630</f>
        <v>#REF!</v>
      </c>
      <c r="BD630" s="12" t="e">
        <f>H630/(100-BE630)*100</f>
        <v>#REF!</v>
      </c>
      <c r="BE630" s="12">
        <v>0</v>
      </c>
      <c r="BF630" s="12" t="e">
        <f>O630</f>
        <v>#REF!</v>
      </c>
      <c r="BH630" s="12" t="e">
        <f>G630*AO630</f>
        <v>#REF!</v>
      </c>
      <c r="BI630" s="12" t="e">
        <f>G630*AP630</f>
        <v>#REF!</v>
      </c>
      <c r="BJ630" s="12" t="e">
        <f>G630*H630</f>
        <v>#REF!</v>
      </c>
      <c r="BK630" s="12"/>
      <c r="BL630" s="12">
        <v>733</v>
      </c>
      <c r="BW630" s="12" t="str">
        <f>I630</f>
        <v>21</v>
      </c>
      <c r="BX630" s="3" t="s">
        <v>413</v>
      </c>
    </row>
    <row r="631" spans="1:76" ht="165.75">
      <c r="A631" s="51"/>
      <c r="C631" s="13" t="s">
        <v>117</v>
      </c>
      <c r="D631" s="363" t="s">
        <v>193</v>
      </c>
      <c r="E631" s="364"/>
      <c r="F631" s="364"/>
      <c r="G631" s="364"/>
      <c r="H631" s="364"/>
      <c r="I631" s="364"/>
      <c r="J631" s="364"/>
      <c r="K631" s="364"/>
      <c r="L631" s="364"/>
      <c r="M631" s="364"/>
      <c r="N631" s="364"/>
      <c r="O631" s="364"/>
      <c r="P631" s="365"/>
      <c r="BX631" s="14" t="s">
        <v>193</v>
      </c>
    </row>
    <row r="632" spans="1:76">
      <c r="A632" s="46" t="s">
        <v>21</v>
      </c>
      <c r="B632" s="9" t="s">
        <v>1059</v>
      </c>
      <c r="C632" s="9" t="s">
        <v>95</v>
      </c>
      <c r="D632" s="359" t="s">
        <v>96</v>
      </c>
      <c r="E632" s="360"/>
      <c r="F632" s="47" t="s">
        <v>20</v>
      </c>
      <c r="G632" s="47" t="s">
        <v>20</v>
      </c>
      <c r="H632" s="47" t="s">
        <v>20</v>
      </c>
      <c r="I632" s="47" t="s">
        <v>20</v>
      </c>
      <c r="J632" s="11" t="e">
        <f>SUM(J633:J649)</f>
        <v>#REF!</v>
      </c>
      <c r="K632" s="11" t="e">
        <f>SUM(K633:K649)</f>
        <v>#REF!</v>
      </c>
      <c r="L632" s="11" t="e">
        <f>SUM(L633:L649)</f>
        <v>#REF!</v>
      </c>
      <c r="M632" s="11" t="e">
        <f>SUM(M633:M649)</f>
        <v>#REF!</v>
      </c>
      <c r="N632" s="10" t="s">
        <v>21</v>
      </c>
      <c r="O632" s="11" t="e">
        <f>SUM(O633:O649)</f>
        <v>#REF!</v>
      </c>
      <c r="P632" s="48" t="s">
        <v>21</v>
      </c>
      <c r="AI632" s="10" t="s">
        <v>1059</v>
      </c>
      <c r="AS632" s="11">
        <f>SUM(AJ633:AJ649)</f>
        <v>0</v>
      </c>
      <c r="AT632" s="11">
        <f>SUM(AK633:AK649)</f>
        <v>0</v>
      </c>
      <c r="AU632" s="11" t="e">
        <f>SUM(AL633:AL649)</f>
        <v>#REF!</v>
      </c>
    </row>
    <row r="633" spans="1:76">
      <c r="A633" s="1" t="s">
        <v>1110</v>
      </c>
      <c r="B633" s="2" t="s">
        <v>1059</v>
      </c>
      <c r="C633" s="2" t="s">
        <v>99</v>
      </c>
      <c r="D633" s="349" t="s">
        <v>100</v>
      </c>
      <c r="E633" s="342"/>
      <c r="F633" s="2" t="s">
        <v>68</v>
      </c>
      <c r="G633" s="12" t="e">
        <f>#REF!</f>
        <v>#REF!</v>
      </c>
      <c r="H633" s="12" t="e">
        <f>#REF!</f>
        <v>#REF!</v>
      </c>
      <c r="I633" s="49" t="s">
        <v>554</v>
      </c>
      <c r="J633" s="12" t="e">
        <f>G633*AO633</f>
        <v>#REF!</v>
      </c>
      <c r="K633" s="12" t="e">
        <f>G633*AP633</f>
        <v>#REF!</v>
      </c>
      <c r="L633" s="12" t="e">
        <f>G633*H633</f>
        <v>#REF!</v>
      </c>
      <c r="M633" s="12" t="e">
        <f>L633*(1+BW633/100)</f>
        <v>#REF!</v>
      </c>
      <c r="N633" s="12">
        <v>3.7100000000000002E-3</v>
      </c>
      <c r="O633" s="12" t="e">
        <f>G633*N633</f>
        <v>#REF!</v>
      </c>
      <c r="P633" s="50" t="s">
        <v>577</v>
      </c>
      <c r="Z633" s="12">
        <f>IF(AQ633="5",BJ633,0)</f>
        <v>0</v>
      </c>
      <c r="AB633" s="12">
        <f>IF(AQ633="1",BH633,0)</f>
        <v>0</v>
      </c>
      <c r="AC633" s="12">
        <f>IF(AQ633="1",BI633,0)</f>
        <v>0</v>
      </c>
      <c r="AD633" s="12" t="e">
        <f>IF(AQ633="7",BH633,0)</f>
        <v>#REF!</v>
      </c>
      <c r="AE633" s="12" t="e">
        <f>IF(AQ633="7",BI633,0)</f>
        <v>#REF!</v>
      </c>
      <c r="AF633" s="12">
        <f>IF(AQ633="2",BH633,0)</f>
        <v>0</v>
      </c>
      <c r="AG633" s="12">
        <f>IF(AQ633="2",BI633,0)</f>
        <v>0</v>
      </c>
      <c r="AH633" s="12">
        <f>IF(AQ633="0",BJ633,0)</f>
        <v>0</v>
      </c>
      <c r="AI633" s="10" t="s">
        <v>1059</v>
      </c>
      <c r="AJ633" s="12">
        <f>IF(AN633=0,L633,0)</f>
        <v>0</v>
      </c>
      <c r="AK633" s="12">
        <f>IF(AN633=12,L633,0)</f>
        <v>0</v>
      </c>
      <c r="AL633" s="12" t="e">
        <f>IF(AN633=21,L633,0)</f>
        <v>#REF!</v>
      </c>
      <c r="AN633" s="12">
        <v>21</v>
      </c>
      <c r="AO633" s="12" t="e">
        <f>H633*0.265479277</f>
        <v>#REF!</v>
      </c>
      <c r="AP633" s="12" t="e">
        <f>H633*(1-0.265479277)</f>
        <v>#REF!</v>
      </c>
      <c r="AQ633" s="49" t="s">
        <v>567</v>
      </c>
      <c r="AV633" s="12" t="e">
        <f>AW633+AX633</f>
        <v>#REF!</v>
      </c>
      <c r="AW633" s="12" t="e">
        <f>G633*AO633</f>
        <v>#REF!</v>
      </c>
      <c r="AX633" s="12" t="e">
        <f>G633*AP633</f>
        <v>#REF!</v>
      </c>
      <c r="AY633" s="49" t="s">
        <v>593</v>
      </c>
      <c r="AZ633" s="49" t="s">
        <v>1091</v>
      </c>
      <c r="BA633" s="10" t="s">
        <v>1062</v>
      </c>
      <c r="BC633" s="12" t="e">
        <f>AW633+AX633</f>
        <v>#REF!</v>
      </c>
      <c r="BD633" s="12" t="e">
        <f>H633/(100-BE633)*100</f>
        <v>#REF!</v>
      </c>
      <c r="BE633" s="12">
        <v>0</v>
      </c>
      <c r="BF633" s="12" t="e">
        <f>O633</f>
        <v>#REF!</v>
      </c>
      <c r="BH633" s="12" t="e">
        <f>G633*AO633</f>
        <v>#REF!</v>
      </c>
      <c r="BI633" s="12" t="e">
        <f>G633*AP633</f>
        <v>#REF!</v>
      </c>
      <c r="BJ633" s="12" t="e">
        <f>G633*H633</f>
        <v>#REF!</v>
      </c>
      <c r="BK633" s="12"/>
      <c r="BL633" s="12">
        <v>734</v>
      </c>
      <c r="BW633" s="12" t="str">
        <f>I633</f>
        <v>21</v>
      </c>
      <c r="BX633" s="3" t="s">
        <v>100</v>
      </c>
    </row>
    <row r="634" spans="1:76">
      <c r="A634" s="1" t="s">
        <v>1111</v>
      </c>
      <c r="B634" s="2" t="s">
        <v>1059</v>
      </c>
      <c r="C634" s="2" t="s">
        <v>97</v>
      </c>
      <c r="D634" s="349" t="s">
        <v>98</v>
      </c>
      <c r="E634" s="342"/>
      <c r="F634" s="2" t="s">
        <v>68</v>
      </c>
      <c r="G634" s="12" t="e">
        <f>#REF!</f>
        <v>#REF!</v>
      </c>
      <c r="H634" s="12" t="e">
        <f>#REF!</f>
        <v>#REF!</v>
      </c>
      <c r="I634" s="49" t="s">
        <v>554</v>
      </c>
      <c r="J634" s="12" t="e">
        <f>G634*AO634</f>
        <v>#REF!</v>
      </c>
      <c r="K634" s="12" t="e">
        <f>G634*AP634</f>
        <v>#REF!</v>
      </c>
      <c r="L634" s="12" t="e">
        <f>G634*H634</f>
        <v>#REF!</v>
      </c>
      <c r="M634" s="12" t="e">
        <f>L634*(1+BW634/100)</f>
        <v>#REF!</v>
      </c>
      <c r="N634" s="12">
        <v>3.9019999999999999E-2</v>
      </c>
      <c r="O634" s="12" t="e">
        <f>G634*N634</f>
        <v>#REF!</v>
      </c>
      <c r="P634" s="50" t="s">
        <v>577</v>
      </c>
      <c r="Z634" s="12">
        <f>IF(AQ634="5",BJ634,0)</f>
        <v>0</v>
      </c>
      <c r="AB634" s="12">
        <f>IF(AQ634="1",BH634,0)</f>
        <v>0</v>
      </c>
      <c r="AC634" s="12">
        <f>IF(AQ634="1",BI634,0)</f>
        <v>0</v>
      </c>
      <c r="AD634" s="12" t="e">
        <f>IF(AQ634="7",BH634,0)</f>
        <v>#REF!</v>
      </c>
      <c r="AE634" s="12" t="e">
        <f>IF(AQ634="7",BI634,0)</f>
        <v>#REF!</v>
      </c>
      <c r="AF634" s="12">
        <f>IF(AQ634="2",BH634,0)</f>
        <v>0</v>
      </c>
      <c r="AG634" s="12">
        <f>IF(AQ634="2",BI634,0)</f>
        <v>0</v>
      </c>
      <c r="AH634" s="12">
        <f>IF(AQ634="0",BJ634,0)</f>
        <v>0</v>
      </c>
      <c r="AI634" s="10" t="s">
        <v>1059</v>
      </c>
      <c r="AJ634" s="12">
        <f>IF(AN634=0,L634,0)</f>
        <v>0</v>
      </c>
      <c r="AK634" s="12">
        <f>IF(AN634=12,L634,0)</f>
        <v>0</v>
      </c>
      <c r="AL634" s="12" t="e">
        <f>IF(AN634=21,L634,0)</f>
        <v>#REF!</v>
      </c>
      <c r="AN634" s="12">
        <v>21</v>
      </c>
      <c r="AO634" s="12" t="e">
        <f>H634*0.004836759</f>
        <v>#REF!</v>
      </c>
      <c r="AP634" s="12" t="e">
        <f>H634*(1-0.004836759)</f>
        <v>#REF!</v>
      </c>
      <c r="AQ634" s="49" t="s">
        <v>567</v>
      </c>
      <c r="AV634" s="12" t="e">
        <f>AW634+AX634</f>
        <v>#REF!</v>
      </c>
      <c r="AW634" s="12" t="e">
        <f>G634*AO634</f>
        <v>#REF!</v>
      </c>
      <c r="AX634" s="12" t="e">
        <f>G634*AP634</f>
        <v>#REF!</v>
      </c>
      <c r="AY634" s="49" t="s">
        <v>593</v>
      </c>
      <c r="AZ634" s="49" t="s">
        <v>1091</v>
      </c>
      <c r="BA634" s="10" t="s">
        <v>1062</v>
      </c>
      <c r="BC634" s="12" t="e">
        <f>AW634+AX634</f>
        <v>#REF!</v>
      </c>
      <c r="BD634" s="12" t="e">
        <f>H634/(100-BE634)*100</f>
        <v>#REF!</v>
      </c>
      <c r="BE634" s="12">
        <v>0</v>
      </c>
      <c r="BF634" s="12" t="e">
        <f>O634</f>
        <v>#REF!</v>
      </c>
      <c r="BH634" s="12" t="e">
        <f>G634*AO634</f>
        <v>#REF!</v>
      </c>
      <c r="BI634" s="12" t="e">
        <f>G634*AP634</f>
        <v>#REF!</v>
      </c>
      <c r="BJ634" s="12" t="e">
        <f>G634*H634</f>
        <v>#REF!</v>
      </c>
      <c r="BK634" s="12"/>
      <c r="BL634" s="12">
        <v>734</v>
      </c>
      <c r="BW634" s="12" t="str">
        <f>I634</f>
        <v>21</v>
      </c>
      <c r="BX634" s="3" t="s">
        <v>98</v>
      </c>
    </row>
    <row r="635" spans="1:76">
      <c r="A635" s="1" t="s">
        <v>1112</v>
      </c>
      <c r="B635" s="2" t="s">
        <v>1059</v>
      </c>
      <c r="C635" s="2" t="s">
        <v>414</v>
      </c>
      <c r="D635" s="349" t="s">
        <v>415</v>
      </c>
      <c r="E635" s="342"/>
      <c r="F635" s="2" t="s">
        <v>68</v>
      </c>
      <c r="G635" s="12" t="e">
        <f>#REF!</f>
        <v>#REF!</v>
      </c>
      <c r="H635" s="12" t="e">
        <f>#REF!</f>
        <v>#REF!</v>
      </c>
      <c r="I635" s="49" t="s">
        <v>554</v>
      </c>
      <c r="J635" s="12" t="e">
        <f>G635*AO635</f>
        <v>#REF!</v>
      </c>
      <c r="K635" s="12" t="e">
        <f>G635*AP635</f>
        <v>#REF!</v>
      </c>
      <c r="L635" s="12" t="e">
        <f>G635*H635</f>
        <v>#REF!</v>
      </c>
      <c r="M635" s="12" t="e">
        <f>L635*(1+BW635/100)</f>
        <v>#REF!</v>
      </c>
      <c r="N635" s="12">
        <v>1.6240000000000001E-2</v>
      </c>
      <c r="O635" s="12" t="e">
        <f>G635*N635</f>
        <v>#REF!</v>
      </c>
      <c r="P635" s="50" t="s">
        <v>577</v>
      </c>
      <c r="Z635" s="12">
        <f>IF(AQ635="5",BJ635,0)</f>
        <v>0</v>
      </c>
      <c r="AB635" s="12">
        <f>IF(AQ635="1",BH635,0)</f>
        <v>0</v>
      </c>
      <c r="AC635" s="12">
        <f>IF(AQ635="1",BI635,0)</f>
        <v>0</v>
      </c>
      <c r="AD635" s="12" t="e">
        <f>IF(AQ635="7",BH635,0)</f>
        <v>#REF!</v>
      </c>
      <c r="AE635" s="12" t="e">
        <f>IF(AQ635="7",BI635,0)</f>
        <v>#REF!</v>
      </c>
      <c r="AF635" s="12">
        <f>IF(AQ635="2",BH635,0)</f>
        <v>0</v>
      </c>
      <c r="AG635" s="12">
        <f>IF(AQ635="2",BI635,0)</f>
        <v>0</v>
      </c>
      <c r="AH635" s="12">
        <f>IF(AQ635="0",BJ635,0)</f>
        <v>0</v>
      </c>
      <c r="AI635" s="10" t="s">
        <v>1059</v>
      </c>
      <c r="AJ635" s="12">
        <f>IF(AN635=0,L635,0)</f>
        <v>0</v>
      </c>
      <c r="AK635" s="12">
        <f>IF(AN635=12,L635,0)</f>
        <v>0</v>
      </c>
      <c r="AL635" s="12" t="e">
        <f>IF(AN635=21,L635,0)</f>
        <v>#REF!</v>
      </c>
      <c r="AN635" s="12">
        <v>21</v>
      </c>
      <c r="AO635" s="12" t="e">
        <f>H635*0.917229599</f>
        <v>#REF!</v>
      </c>
      <c r="AP635" s="12" t="e">
        <f>H635*(1-0.917229599)</f>
        <v>#REF!</v>
      </c>
      <c r="AQ635" s="49" t="s">
        <v>567</v>
      </c>
      <c r="AV635" s="12" t="e">
        <f>AW635+AX635</f>
        <v>#REF!</v>
      </c>
      <c r="AW635" s="12" t="e">
        <f>G635*AO635</f>
        <v>#REF!</v>
      </c>
      <c r="AX635" s="12" t="e">
        <f>G635*AP635</f>
        <v>#REF!</v>
      </c>
      <c r="AY635" s="49" t="s">
        <v>593</v>
      </c>
      <c r="AZ635" s="49" t="s">
        <v>1091</v>
      </c>
      <c r="BA635" s="10" t="s">
        <v>1062</v>
      </c>
      <c r="BC635" s="12" t="e">
        <f>AW635+AX635</f>
        <v>#REF!</v>
      </c>
      <c r="BD635" s="12" t="e">
        <f>H635/(100-BE635)*100</f>
        <v>#REF!</v>
      </c>
      <c r="BE635" s="12">
        <v>0</v>
      </c>
      <c r="BF635" s="12" t="e">
        <f>O635</f>
        <v>#REF!</v>
      </c>
      <c r="BH635" s="12" t="e">
        <f>G635*AO635</f>
        <v>#REF!</v>
      </c>
      <c r="BI635" s="12" t="e">
        <f>G635*AP635</f>
        <v>#REF!</v>
      </c>
      <c r="BJ635" s="12" t="e">
        <f>G635*H635</f>
        <v>#REF!</v>
      </c>
      <c r="BK635" s="12"/>
      <c r="BL635" s="12">
        <v>734</v>
      </c>
      <c r="BW635" s="12" t="str">
        <f>I635</f>
        <v>21</v>
      </c>
      <c r="BX635" s="3" t="s">
        <v>415</v>
      </c>
    </row>
    <row r="636" spans="1:76">
      <c r="A636" s="51"/>
      <c r="C636" s="13" t="s">
        <v>117</v>
      </c>
      <c r="D636" s="363" t="s">
        <v>204</v>
      </c>
      <c r="E636" s="364"/>
      <c r="F636" s="364"/>
      <c r="G636" s="364"/>
      <c r="H636" s="364"/>
      <c r="I636" s="364"/>
      <c r="J636" s="364"/>
      <c r="K636" s="364"/>
      <c r="L636" s="364"/>
      <c r="M636" s="364"/>
      <c r="N636" s="364"/>
      <c r="O636" s="364"/>
      <c r="P636" s="365"/>
      <c r="BX636" s="14" t="s">
        <v>204</v>
      </c>
    </row>
    <row r="637" spans="1:76">
      <c r="A637" s="1" t="s">
        <v>1113</v>
      </c>
      <c r="B637" s="2" t="s">
        <v>1059</v>
      </c>
      <c r="C637" s="2" t="s">
        <v>416</v>
      </c>
      <c r="D637" s="349" t="s">
        <v>417</v>
      </c>
      <c r="E637" s="342"/>
      <c r="F637" s="2" t="s">
        <v>68</v>
      </c>
      <c r="G637" s="12" t="e">
        <f>#REF!</f>
        <v>#REF!</v>
      </c>
      <c r="H637" s="12" t="e">
        <f>#REF!</f>
        <v>#REF!</v>
      </c>
      <c r="I637" s="49" t="s">
        <v>554</v>
      </c>
      <c r="J637" s="12" t="e">
        <f>G637*AO637</f>
        <v>#REF!</v>
      </c>
      <c r="K637" s="12" t="e">
        <f>G637*AP637</f>
        <v>#REF!</v>
      </c>
      <c r="L637" s="12" t="e">
        <f>G637*H637</f>
        <v>#REF!</v>
      </c>
      <c r="M637" s="12" t="e">
        <f>L637*(1+BW637/100)</f>
        <v>#REF!</v>
      </c>
      <c r="N637" s="12">
        <v>7.2999999999999996E-4</v>
      </c>
      <c r="O637" s="12" t="e">
        <f>G637*N637</f>
        <v>#REF!</v>
      </c>
      <c r="P637" s="50" t="s">
        <v>577</v>
      </c>
      <c r="Z637" s="12">
        <f>IF(AQ637="5",BJ637,0)</f>
        <v>0</v>
      </c>
      <c r="AB637" s="12">
        <f>IF(AQ637="1",BH637,0)</f>
        <v>0</v>
      </c>
      <c r="AC637" s="12">
        <f>IF(AQ637="1",BI637,0)</f>
        <v>0</v>
      </c>
      <c r="AD637" s="12" t="e">
        <f>IF(AQ637="7",BH637,0)</f>
        <v>#REF!</v>
      </c>
      <c r="AE637" s="12" t="e">
        <f>IF(AQ637="7",BI637,0)</f>
        <v>#REF!</v>
      </c>
      <c r="AF637" s="12">
        <f>IF(AQ637="2",BH637,0)</f>
        <v>0</v>
      </c>
      <c r="AG637" s="12">
        <f>IF(AQ637="2",BI637,0)</f>
        <v>0</v>
      </c>
      <c r="AH637" s="12">
        <f>IF(AQ637="0",BJ637,0)</f>
        <v>0</v>
      </c>
      <c r="AI637" s="10" t="s">
        <v>1059</v>
      </c>
      <c r="AJ637" s="12">
        <f>IF(AN637=0,L637,0)</f>
        <v>0</v>
      </c>
      <c r="AK637" s="12">
        <f>IF(AN637=12,L637,0)</f>
        <v>0</v>
      </c>
      <c r="AL637" s="12" t="e">
        <f>IF(AN637=21,L637,0)</f>
        <v>#REF!</v>
      </c>
      <c r="AN637" s="12">
        <v>21</v>
      </c>
      <c r="AO637" s="12" t="e">
        <f>H637*0.690255754</f>
        <v>#REF!</v>
      </c>
      <c r="AP637" s="12" t="e">
        <f>H637*(1-0.690255754)</f>
        <v>#REF!</v>
      </c>
      <c r="AQ637" s="49" t="s">
        <v>567</v>
      </c>
      <c r="AV637" s="12" t="e">
        <f>AW637+AX637</f>
        <v>#REF!</v>
      </c>
      <c r="AW637" s="12" t="e">
        <f>G637*AO637</f>
        <v>#REF!</v>
      </c>
      <c r="AX637" s="12" t="e">
        <f>G637*AP637</f>
        <v>#REF!</v>
      </c>
      <c r="AY637" s="49" t="s">
        <v>593</v>
      </c>
      <c r="AZ637" s="49" t="s">
        <v>1091</v>
      </c>
      <c r="BA637" s="10" t="s">
        <v>1062</v>
      </c>
      <c r="BC637" s="12" t="e">
        <f>AW637+AX637</f>
        <v>#REF!</v>
      </c>
      <c r="BD637" s="12" t="e">
        <f>H637/(100-BE637)*100</f>
        <v>#REF!</v>
      </c>
      <c r="BE637" s="12">
        <v>0</v>
      </c>
      <c r="BF637" s="12" t="e">
        <f>O637</f>
        <v>#REF!</v>
      </c>
      <c r="BH637" s="12" t="e">
        <f>G637*AO637</f>
        <v>#REF!</v>
      </c>
      <c r="BI637" s="12" t="e">
        <f>G637*AP637</f>
        <v>#REF!</v>
      </c>
      <c r="BJ637" s="12" t="e">
        <f>G637*H637</f>
        <v>#REF!</v>
      </c>
      <c r="BK637" s="12"/>
      <c r="BL637" s="12">
        <v>734</v>
      </c>
      <c r="BW637" s="12" t="str">
        <f>I637</f>
        <v>21</v>
      </c>
      <c r="BX637" s="3" t="s">
        <v>417</v>
      </c>
    </row>
    <row r="638" spans="1:76">
      <c r="A638" s="1" t="s">
        <v>1114</v>
      </c>
      <c r="B638" s="2" t="s">
        <v>1059</v>
      </c>
      <c r="C638" s="2" t="s">
        <v>418</v>
      </c>
      <c r="D638" s="349" t="s">
        <v>419</v>
      </c>
      <c r="E638" s="342"/>
      <c r="F638" s="2" t="s">
        <v>68</v>
      </c>
      <c r="G638" s="12" t="e">
        <f>#REF!</f>
        <v>#REF!</v>
      </c>
      <c r="H638" s="12" t="e">
        <f>#REF!</f>
        <v>#REF!</v>
      </c>
      <c r="I638" s="49" t="s">
        <v>554</v>
      </c>
      <c r="J638" s="12" t="e">
        <f>G638*AO638</f>
        <v>#REF!</v>
      </c>
      <c r="K638" s="12" t="e">
        <f>G638*AP638</f>
        <v>#REF!</v>
      </c>
      <c r="L638" s="12" t="e">
        <f>G638*H638</f>
        <v>#REF!</v>
      </c>
      <c r="M638" s="12" t="e">
        <f>L638*(1+BW638/100)</f>
        <v>#REF!</v>
      </c>
      <c r="N638" s="12">
        <v>2.5699999999999998E-3</v>
      </c>
      <c r="O638" s="12" t="e">
        <f>G638*N638</f>
        <v>#REF!</v>
      </c>
      <c r="P638" s="50" t="s">
        <v>605</v>
      </c>
      <c r="Z638" s="12">
        <f>IF(AQ638="5",BJ638,0)</f>
        <v>0</v>
      </c>
      <c r="AB638" s="12">
        <f>IF(AQ638="1",BH638,0)</f>
        <v>0</v>
      </c>
      <c r="AC638" s="12">
        <f>IF(AQ638="1",BI638,0)</f>
        <v>0</v>
      </c>
      <c r="AD638" s="12" t="e">
        <f>IF(AQ638="7",BH638,0)</f>
        <v>#REF!</v>
      </c>
      <c r="AE638" s="12" t="e">
        <f>IF(AQ638="7",BI638,0)</f>
        <v>#REF!</v>
      </c>
      <c r="AF638" s="12">
        <f>IF(AQ638="2",BH638,0)</f>
        <v>0</v>
      </c>
      <c r="AG638" s="12">
        <f>IF(AQ638="2",BI638,0)</f>
        <v>0</v>
      </c>
      <c r="AH638" s="12">
        <f>IF(AQ638="0",BJ638,0)</f>
        <v>0</v>
      </c>
      <c r="AI638" s="10" t="s">
        <v>1059</v>
      </c>
      <c r="AJ638" s="12">
        <f>IF(AN638=0,L638,0)</f>
        <v>0</v>
      </c>
      <c r="AK638" s="12">
        <f>IF(AN638=12,L638,0)</f>
        <v>0</v>
      </c>
      <c r="AL638" s="12" t="e">
        <f>IF(AN638=21,L638,0)</f>
        <v>#REF!</v>
      </c>
      <c r="AN638" s="12">
        <v>21</v>
      </c>
      <c r="AO638" s="12" t="e">
        <f>H638*0.893467249</f>
        <v>#REF!</v>
      </c>
      <c r="AP638" s="12" t="e">
        <f>H638*(1-0.893467249)</f>
        <v>#REF!</v>
      </c>
      <c r="AQ638" s="49" t="s">
        <v>567</v>
      </c>
      <c r="AV638" s="12" t="e">
        <f>AW638+AX638</f>
        <v>#REF!</v>
      </c>
      <c r="AW638" s="12" t="e">
        <f>G638*AO638</f>
        <v>#REF!</v>
      </c>
      <c r="AX638" s="12" t="e">
        <f>G638*AP638</f>
        <v>#REF!</v>
      </c>
      <c r="AY638" s="49" t="s">
        <v>593</v>
      </c>
      <c r="AZ638" s="49" t="s">
        <v>1091</v>
      </c>
      <c r="BA638" s="10" t="s">
        <v>1062</v>
      </c>
      <c r="BC638" s="12" t="e">
        <f>AW638+AX638</f>
        <v>#REF!</v>
      </c>
      <c r="BD638" s="12" t="e">
        <f>H638/(100-BE638)*100</f>
        <v>#REF!</v>
      </c>
      <c r="BE638" s="12">
        <v>0</v>
      </c>
      <c r="BF638" s="12" t="e">
        <f>O638</f>
        <v>#REF!</v>
      </c>
      <c r="BH638" s="12" t="e">
        <f>G638*AO638</f>
        <v>#REF!</v>
      </c>
      <c r="BI638" s="12" t="e">
        <f>G638*AP638</f>
        <v>#REF!</v>
      </c>
      <c r="BJ638" s="12" t="e">
        <f>G638*H638</f>
        <v>#REF!</v>
      </c>
      <c r="BK638" s="12"/>
      <c r="BL638" s="12">
        <v>734</v>
      </c>
      <c r="BW638" s="12" t="str">
        <f>I638</f>
        <v>21</v>
      </c>
      <c r="BX638" s="3" t="s">
        <v>419</v>
      </c>
    </row>
    <row r="639" spans="1:76">
      <c r="A639" s="1" t="s">
        <v>1115</v>
      </c>
      <c r="B639" s="2" t="s">
        <v>1059</v>
      </c>
      <c r="C639" s="2" t="s">
        <v>420</v>
      </c>
      <c r="D639" s="349" t="s">
        <v>421</v>
      </c>
      <c r="E639" s="342"/>
      <c r="F639" s="2" t="s">
        <v>68</v>
      </c>
      <c r="G639" s="12" t="e">
        <f>#REF!</f>
        <v>#REF!</v>
      </c>
      <c r="H639" s="12" t="e">
        <f>#REF!</f>
        <v>#REF!</v>
      </c>
      <c r="I639" s="49" t="s">
        <v>554</v>
      </c>
      <c r="J639" s="12" t="e">
        <f>G639*AO639</f>
        <v>#REF!</v>
      </c>
      <c r="K639" s="12" t="e">
        <f>G639*AP639</f>
        <v>#REF!</v>
      </c>
      <c r="L639" s="12" t="e">
        <f>G639*H639</f>
        <v>#REF!</v>
      </c>
      <c r="M639" s="12" t="e">
        <f>L639*(1+BW639/100)</f>
        <v>#REF!</v>
      </c>
      <c r="N639" s="12">
        <v>1.6240000000000001E-2</v>
      </c>
      <c r="O639" s="12" t="e">
        <f>G639*N639</f>
        <v>#REF!</v>
      </c>
      <c r="P639" s="50" t="s">
        <v>577</v>
      </c>
      <c r="Z639" s="12">
        <f>IF(AQ639="5",BJ639,0)</f>
        <v>0</v>
      </c>
      <c r="AB639" s="12">
        <f>IF(AQ639="1",BH639,0)</f>
        <v>0</v>
      </c>
      <c r="AC639" s="12">
        <f>IF(AQ639="1",BI639,0)</f>
        <v>0</v>
      </c>
      <c r="AD639" s="12" t="e">
        <f>IF(AQ639="7",BH639,0)</f>
        <v>#REF!</v>
      </c>
      <c r="AE639" s="12" t="e">
        <f>IF(AQ639="7",BI639,0)</f>
        <v>#REF!</v>
      </c>
      <c r="AF639" s="12">
        <f>IF(AQ639="2",BH639,0)</f>
        <v>0</v>
      </c>
      <c r="AG639" s="12">
        <f>IF(AQ639="2",BI639,0)</f>
        <v>0</v>
      </c>
      <c r="AH639" s="12">
        <f>IF(AQ639="0",BJ639,0)</f>
        <v>0</v>
      </c>
      <c r="AI639" s="10" t="s">
        <v>1059</v>
      </c>
      <c r="AJ639" s="12">
        <f>IF(AN639=0,L639,0)</f>
        <v>0</v>
      </c>
      <c r="AK639" s="12">
        <f>IF(AN639=12,L639,0)</f>
        <v>0</v>
      </c>
      <c r="AL639" s="12" t="e">
        <f>IF(AN639=21,L639,0)</f>
        <v>#REF!</v>
      </c>
      <c r="AN639" s="12">
        <v>21</v>
      </c>
      <c r="AO639" s="12" t="e">
        <f>H639*0.93908603</f>
        <v>#REF!</v>
      </c>
      <c r="AP639" s="12" t="e">
        <f>H639*(1-0.93908603)</f>
        <v>#REF!</v>
      </c>
      <c r="AQ639" s="49" t="s">
        <v>567</v>
      </c>
      <c r="AV639" s="12" t="e">
        <f>AW639+AX639</f>
        <v>#REF!</v>
      </c>
      <c r="AW639" s="12" t="e">
        <f>G639*AO639</f>
        <v>#REF!</v>
      </c>
      <c r="AX639" s="12" t="e">
        <f>G639*AP639</f>
        <v>#REF!</v>
      </c>
      <c r="AY639" s="49" t="s">
        <v>593</v>
      </c>
      <c r="AZ639" s="49" t="s">
        <v>1091</v>
      </c>
      <c r="BA639" s="10" t="s">
        <v>1062</v>
      </c>
      <c r="BC639" s="12" t="e">
        <f>AW639+AX639</f>
        <v>#REF!</v>
      </c>
      <c r="BD639" s="12" t="e">
        <f>H639/(100-BE639)*100</f>
        <v>#REF!</v>
      </c>
      <c r="BE639" s="12">
        <v>0</v>
      </c>
      <c r="BF639" s="12" t="e">
        <f>O639</f>
        <v>#REF!</v>
      </c>
      <c r="BH639" s="12" t="e">
        <f>G639*AO639</f>
        <v>#REF!</v>
      </c>
      <c r="BI639" s="12" t="e">
        <f>G639*AP639</f>
        <v>#REF!</v>
      </c>
      <c r="BJ639" s="12" t="e">
        <f>G639*H639</f>
        <v>#REF!</v>
      </c>
      <c r="BK639" s="12"/>
      <c r="BL639" s="12">
        <v>734</v>
      </c>
      <c r="BW639" s="12" t="str">
        <f>I639</f>
        <v>21</v>
      </c>
      <c r="BX639" s="3" t="s">
        <v>421</v>
      </c>
    </row>
    <row r="640" spans="1:76">
      <c r="A640" s="51"/>
      <c r="C640" s="13" t="s">
        <v>117</v>
      </c>
      <c r="D640" s="363" t="s">
        <v>204</v>
      </c>
      <c r="E640" s="364"/>
      <c r="F640" s="364"/>
      <c r="G640" s="364"/>
      <c r="H640" s="364"/>
      <c r="I640" s="364"/>
      <c r="J640" s="364"/>
      <c r="K640" s="364"/>
      <c r="L640" s="364"/>
      <c r="M640" s="364"/>
      <c r="N640" s="364"/>
      <c r="O640" s="364"/>
      <c r="P640" s="365"/>
      <c r="BX640" s="14" t="s">
        <v>204</v>
      </c>
    </row>
    <row r="641" spans="1:76">
      <c r="A641" s="1" t="s">
        <v>1116</v>
      </c>
      <c r="B641" s="2" t="s">
        <v>1059</v>
      </c>
      <c r="C641" s="2" t="s">
        <v>422</v>
      </c>
      <c r="D641" s="349" t="s">
        <v>423</v>
      </c>
      <c r="E641" s="342"/>
      <c r="F641" s="2" t="s">
        <v>68</v>
      </c>
      <c r="G641" s="12" t="e">
        <f>#REF!</f>
        <v>#REF!</v>
      </c>
      <c r="H641" s="12" t="e">
        <f>#REF!</f>
        <v>#REF!</v>
      </c>
      <c r="I641" s="49" t="s">
        <v>554</v>
      </c>
      <c r="J641" s="12" t="e">
        <f t="shared" ref="J641:J649" si="884">G641*AO641</f>
        <v>#REF!</v>
      </c>
      <c r="K641" s="12" t="e">
        <f t="shared" ref="K641:K649" si="885">G641*AP641</f>
        <v>#REF!</v>
      </c>
      <c r="L641" s="12" t="e">
        <f t="shared" ref="L641:L649" si="886">G641*H641</f>
        <v>#REF!</v>
      </c>
      <c r="M641" s="12" t="e">
        <f t="shared" ref="M641:M649" si="887">L641*(1+BW641/100)</f>
        <v>#REF!</v>
      </c>
      <c r="N641" s="12">
        <v>4.6999999999999999E-4</v>
      </c>
      <c r="O641" s="12" t="e">
        <f t="shared" ref="O641:O649" si="888">G641*N641</f>
        <v>#REF!</v>
      </c>
      <c r="P641" s="50" t="s">
        <v>577</v>
      </c>
      <c r="Z641" s="12">
        <f t="shared" ref="Z641:Z649" si="889">IF(AQ641="5",BJ641,0)</f>
        <v>0</v>
      </c>
      <c r="AB641" s="12">
        <f t="shared" ref="AB641:AB649" si="890">IF(AQ641="1",BH641,0)</f>
        <v>0</v>
      </c>
      <c r="AC641" s="12">
        <f t="shared" ref="AC641:AC649" si="891">IF(AQ641="1",BI641,0)</f>
        <v>0</v>
      </c>
      <c r="AD641" s="12" t="e">
        <f t="shared" ref="AD641:AD649" si="892">IF(AQ641="7",BH641,0)</f>
        <v>#REF!</v>
      </c>
      <c r="AE641" s="12" t="e">
        <f t="shared" ref="AE641:AE649" si="893">IF(AQ641="7",BI641,0)</f>
        <v>#REF!</v>
      </c>
      <c r="AF641" s="12">
        <f t="shared" ref="AF641:AF649" si="894">IF(AQ641="2",BH641,0)</f>
        <v>0</v>
      </c>
      <c r="AG641" s="12">
        <f t="shared" ref="AG641:AG649" si="895">IF(AQ641="2",BI641,0)</f>
        <v>0</v>
      </c>
      <c r="AH641" s="12">
        <f t="shared" ref="AH641:AH649" si="896">IF(AQ641="0",BJ641,0)</f>
        <v>0</v>
      </c>
      <c r="AI641" s="10" t="s">
        <v>1059</v>
      </c>
      <c r="AJ641" s="12">
        <f t="shared" ref="AJ641:AJ649" si="897">IF(AN641=0,L641,0)</f>
        <v>0</v>
      </c>
      <c r="AK641" s="12">
        <f t="shared" ref="AK641:AK649" si="898">IF(AN641=12,L641,0)</f>
        <v>0</v>
      </c>
      <c r="AL641" s="12" t="e">
        <f t="shared" ref="AL641:AL649" si="899">IF(AN641=21,L641,0)</f>
        <v>#REF!</v>
      </c>
      <c r="AN641" s="12">
        <v>21</v>
      </c>
      <c r="AO641" s="12" t="e">
        <f>H641*0.903664796</f>
        <v>#REF!</v>
      </c>
      <c r="AP641" s="12" t="e">
        <f>H641*(1-0.903664796)</f>
        <v>#REF!</v>
      </c>
      <c r="AQ641" s="49" t="s">
        <v>567</v>
      </c>
      <c r="AV641" s="12" t="e">
        <f t="shared" ref="AV641:AV649" si="900">AW641+AX641</f>
        <v>#REF!</v>
      </c>
      <c r="AW641" s="12" t="e">
        <f t="shared" ref="AW641:AW649" si="901">G641*AO641</f>
        <v>#REF!</v>
      </c>
      <c r="AX641" s="12" t="e">
        <f t="shared" ref="AX641:AX649" si="902">G641*AP641</f>
        <v>#REF!</v>
      </c>
      <c r="AY641" s="49" t="s">
        <v>593</v>
      </c>
      <c r="AZ641" s="49" t="s">
        <v>1091</v>
      </c>
      <c r="BA641" s="10" t="s">
        <v>1062</v>
      </c>
      <c r="BC641" s="12" t="e">
        <f t="shared" ref="BC641:BC649" si="903">AW641+AX641</f>
        <v>#REF!</v>
      </c>
      <c r="BD641" s="12" t="e">
        <f t="shared" ref="BD641:BD649" si="904">H641/(100-BE641)*100</f>
        <v>#REF!</v>
      </c>
      <c r="BE641" s="12">
        <v>0</v>
      </c>
      <c r="BF641" s="12" t="e">
        <f t="shared" ref="BF641:BF649" si="905">O641</f>
        <v>#REF!</v>
      </c>
      <c r="BH641" s="12" t="e">
        <f t="shared" ref="BH641:BH649" si="906">G641*AO641</f>
        <v>#REF!</v>
      </c>
      <c r="BI641" s="12" t="e">
        <f t="shared" ref="BI641:BI649" si="907">G641*AP641</f>
        <v>#REF!</v>
      </c>
      <c r="BJ641" s="12" t="e">
        <f t="shared" ref="BJ641:BJ649" si="908">G641*H641</f>
        <v>#REF!</v>
      </c>
      <c r="BK641" s="12"/>
      <c r="BL641" s="12">
        <v>734</v>
      </c>
      <c r="BW641" s="12" t="str">
        <f t="shared" ref="BW641:BW649" si="909">I641</f>
        <v>21</v>
      </c>
      <c r="BX641" s="3" t="s">
        <v>423</v>
      </c>
    </row>
    <row r="642" spans="1:76">
      <c r="A642" s="1" t="s">
        <v>1117</v>
      </c>
      <c r="B642" s="2" t="s">
        <v>1059</v>
      </c>
      <c r="C642" s="2" t="s">
        <v>424</v>
      </c>
      <c r="D642" s="349" t="s">
        <v>425</v>
      </c>
      <c r="E642" s="342"/>
      <c r="F642" s="2" t="s">
        <v>68</v>
      </c>
      <c r="G642" s="12" t="e">
        <f>#REF!</f>
        <v>#REF!</v>
      </c>
      <c r="H642" s="12" t="e">
        <f>#REF!</f>
        <v>#REF!</v>
      </c>
      <c r="I642" s="49" t="s">
        <v>554</v>
      </c>
      <c r="J642" s="12" t="e">
        <f t="shared" si="884"/>
        <v>#REF!</v>
      </c>
      <c r="K642" s="12" t="e">
        <f t="shared" si="885"/>
        <v>#REF!</v>
      </c>
      <c r="L642" s="12" t="e">
        <f t="shared" si="886"/>
        <v>#REF!</v>
      </c>
      <c r="M642" s="12" t="e">
        <f t="shared" si="887"/>
        <v>#REF!</v>
      </c>
      <c r="N642" s="12">
        <v>5.1999999999999995E-4</v>
      </c>
      <c r="O642" s="12" t="e">
        <f t="shared" si="888"/>
        <v>#REF!</v>
      </c>
      <c r="P642" s="50" t="s">
        <v>605</v>
      </c>
      <c r="Z642" s="12">
        <f t="shared" si="889"/>
        <v>0</v>
      </c>
      <c r="AB642" s="12">
        <f t="shared" si="890"/>
        <v>0</v>
      </c>
      <c r="AC642" s="12">
        <f t="shared" si="891"/>
        <v>0</v>
      </c>
      <c r="AD642" s="12" t="e">
        <f t="shared" si="892"/>
        <v>#REF!</v>
      </c>
      <c r="AE642" s="12" t="e">
        <f t="shared" si="893"/>
        <v>#REF!</v>
      </c>
      <c r="AF642" s="12">
        <f t="shared" si="894"/>
        <v>0</v>
      </c>
      <c r="AG642" s="12">
        <f t="shared" si="895"/>
        <v>0</v>
      </c>
      <c r="AH642" s="12">
        <f t="shared" si="896"/>
        <v>0</v>
      </c>
      <c r="AI642" s="10" t="s">
        <v>1059</v>
      </c>
      <c r="AJ642" s="12">
        <f t="shared" si="897"/>
        <v>0</v>
      </c>
      <c r="AK642" s="12">
        <f t="shared" si="898"/>
        <v>0</v>
      </c>
      <c r="AL642" s="12" t="e">
        <f t="shared" si="899"/>
        <v>#REF!</v>
      </c>
      <c r="AN642" s="12">
        <v>21</v>
      </c>
      <c r="AO642" s="12" t="e">
        <f>H642*0.869366701</f>
        <v>#REF!</v>
      </c>
      <c r="AP642" s="12" t="e">
        <f>H642*(1-0.869366701)</f>
        <v>#REF!</v>
      </c>
      <c r="AQ642" s="49" t="s">
        <v>567</v>
      </c>
      <c r="AV642" s="12" t="e">
        <f t="shared" si="900"/>
        <v>#REF!</v>
      </c>
      <c r="AW642" s="12" t="e">
        <f t="shared" si="901"/>
        <v>#REF!</v>
      </c>
      <c r="AX642" s="12" t="e">
        <f t="shared" si="902"/>
        <v>#REF!</v>
      </c>
      <c r="AY642" s="49" t="s">
        <v>593</v>
      </c>
      <c r="AZ642" s="49" t="s">
        <v>1091</v>
      </c>
      <c r="BA642" s="10" t="s">
        <v>1062</v>
      </c>
      <c r="BC642" s="12" t="e">
        <f t="shared" si="903"/>
        <v>#REF!</v>
      </c>
      <c r="BD642" s="12" t="e">
        <f t="shared" si="904"/>
        <v>#REF!</v>
      </c>
      <c r="BE642" s="12">
        <v>0</v>
      </c>
      <c r="BF642" s="12" t="e">
        <f t="shared" si="905"/>
        <v>#REF!</v>
      </c>
      <c r="BH642" s="12" t="e">
        <f t="shared" si="906"/>
        <v>#REF!</v>
      </c>
      <c r="BI642" s="12" t="e">
        <f t="shared" si="907"/>
        <v>#REF!</v>
      </c>
      <c r="BJ642" s="12" t="e">
        <f t="shared" si="908"/>
        <v>#REF!</v>
      </c>
      <c r="BK642" s="12"/>
      <c r="BL642" s="12">
        <v>734</v>
      </c>
      <c r="BW642" s="12" t="str">
        <f t="shared" si="909"/>
        <v>21</v>
      </c>
      <c r="BX642" s="3" t="s">
        <v>425</v>
      </c>
    </row>
    <row r="643" spans="1:76">
      <c r="A643" s="1" t="s">
        <v>1118</v>
      </c>
      <c r="B643" s="2" t="s">
        <v>1059</v>
      </c>
      <c r="C643" s="2" t="s">
        <v>426</v>
      </c>
      <c r="D643" s="349" t="s">
        <v>427</v>
      </c>
      <c r="E643" s="342"/>
      <c r="F643" s="2" t="s">
        <v>68</v>
      </c>
      <c r="G643" s="12" t="e">
        <f>#REF!</f>
        <v>#REF!</v>
      </c>
      <c r="H643" s="12" t="e">
        <f>#REF!</f>
        <v>#REF!</v>
      </c>
      <c r="I643" s="49" t="s">
        <v>554</v>
      </c>
      <c r="J643" s="12" t="e">
        <f t="shared" si="884"/>
        <v>#REF!</v>
      </c>
      <c r="K643" s="12" t="e">
        <f t="shared" si="885"/>
        <v>#REF!</v>
      </c>
      <c r="L643" s="12" t="e">
        <f t="shared" si="886"/>
        <v>#REF!</v>
      </c>
      <c r="M643" s="12" t="e">
        <f t="shared" si="887"/>
        <v>#REF!</v>
      </c>
      <c r="N643" s="12">
        <v>9.2000000000000003E-4</v>
      </c>
      <c r="O643" s="12" t="e">
        <f t="shared" si="888"/>
        <v>#REF!</v>
      </c>
      <c r="P643" s="50" t="s">
        <v>605</v>
      </c>
      <c r="Z643" s="12">
        <f t="shared" si="889"/>
        <v>0</v>
      </c>
      <c r="AB643" s="12">
        <f t="shared" si="890"/>
        <v>0</v>
      </c>
      <c r="AC643" s="12">
        <f t="shared" si="891"/>
        <v>0</v>
      </c>
      <c r="AD643" s="12" t="e">
        <f t="shared" si="892"/>
        <v>#REF!</v>
      </c>
      <c r="AE643" s="12" t="e">
        <f t="shared" si="893"/>
        <v>#REF!</v>
      </c>
      <c r="AF643" s="12">
        <f t="shared" si="894"/>
        <v>0</v>
      </c>
      <c r="AG643" s="12">
        <f t="shared" si="895"/>
        <v>0</v>
      </c>
      <c r="AH643" s="12">
        <f t="shared" si="896"/>
        <v>0</v>
      </c>
      <c r="AI643" s="10" t="s">
        <v>1059</v>
      </c>
      <c r="AJ643" s="12">
        <f t="shared" si="897"/>
        <v>0</v>
      </c>
      <c r="AK643" s="12">
        <f t="shared" si="898"/>
        <v>0</v>
      </c>
      <c r="AL643" s="12" t="e">
        <f t="shared" si="899"/>
        <v>#REF!</v>
      </c>
      <c r="AN643" s="12">
        <v>21</v>
      </c>
      <c r="AO643" s="12" t="e">
        <f>H643*0.929993168</f>
        <v>#REF!</v>
      </c>
      <c r="AP643" s="12" t="e">
        <f>H643*(1-0.929993168)</f>
        <v>#REF!</v>
      </c>
      <c r="AQ643" s="49" t="s">
        <v>567</v>
      </c>
      <c r="AV643" s="12" t="e">
        <f t="shared" si="900"/>
        <v>#REF!</v>
      </c>
      <c r="AW643" s="12" t="e">
        <f t="shared" si="901"/>
        <v>#REF!</v>
      </c>
      <c r="AX643" s="12" t="e">
        <f t="shared" si="902"/>
        <v>#REF!</v>
      </c>
      <c r="AY643" s="49" t="s">
        <v>593</v>
      </c>
      <c r="AZ643" s="49" t="s">
        <v>1091</v>
      </c>
      <c r="BA643" s="10" t="s">
        <v>1062</v>
      </c>
      <c r="BC643" s="12" t="e">
        <f t="shared" si="903"/>
        <v>#REF!</v>
      </c>
      <c r="BD643" s="12" t="e">
        <f t="shared" si="904"/>
        <v>#REF!</v>
      </c>
      <c r="BE643" s="12">
        <v>0</v>
      </c>
      <c r="BF643" s="12" t="e">
        <f t="shared" si="905"/>
        <v>#REF!</v>
      </c>
      <c r="BH643" s="12" t="e">
        <f t="shared" si="906"/>
        <v>#REF!</v>
      </c>
      <c r="BI643" s="12" t="e">
        <f t="shared" si="907"/>
        <v>#REF!</v>
      </c>
      <c r="BJ643" s="12" t="e">
        <f t="shared" si="908"/>
        <v>#REF!</v>
      </c>
      <c r="BK643" s="12"/>
      <c r="BL643" s="12">
        <v>734</v>
      </c>
      <c r="BW643" s="12" t="str">
        <f t="shared" si="909"/>
        <v>21</v>
      </c>
      <c r="BX643" s="3" t="s">
        <v>427</v>
      </c>
    </row>
    <row r="644" spans="1:76">
      <c r="A644" s="1" t="s">
        <v>1119</v>
      </c>
      <c r="B644" s="2" t="s">
        <v>1059</v>
      </c>
      <c r="C644" s="2" t="s">
        <v>428</v>
      </c>
      <c r="D644" s="349" t="s">
        <v>429</v>
      </c>
      <c r="E644" s="342"/>
      <c r="F644" s="2" t="s">
        <v>68</v>
      </c>
      <c r="G644" s="12" t="e">
        <f>#REF!</f>
        <v>#REF!</v>
      </c>
      <c r="H644" s="12" t="e">
        <f>#REF!</f>
        <v>#REF!</v>
      </c>
      <c r="I644" s="49" t="s">
        <v>554</v>
      </c>
      <c r="J644" s="12" t="e">
        <f t="shared" si="884"/>
        <v>#REF!</v>
      </c>
      <c r="K644" s="12" t="e">
        <f t="shared" si="885"/>
        <v>#REF!</v>
      </c>
      <c r="L644" s="12" t="e">
        <f t="shared" si="886"/>
        <v>#REF!</v>
      </c>
      <c r="M644" s="12" t="e">
        <f t="shared" si="887"/>
        <v>#REF!</v>
      </c>
      <c r="N644" s="12">
        <v>1.3999999999999999E-4</v>
      </c>
      <c r="O644" s="12" t="e">
        <f t="shared" si="888"/>
        <v>#REF!</v>
      </c>
      <c r="P644" s="50" t="s">
        <v>605</v>
      </c>
      <c r="Z644" s="12">
        <f t="shared" si="889"/>
        <v>0</v>
      </c>
      <c r="AB644" s="12">
        <f t="shared" si="890"/>
        <v>0</v>
      </c>
      <c r="AC644" s="12">
        <f t="shared" si="891"/>
        <v>0</v>
      </c>
      <c r="AD644" s="12" t="e">
        <f t="shared" si="892"/>
        <v>#REF!</v>
      </c>
      <c r="AE644" s="12" t="e">
        <f t="shared" si="893"/>
        <v>#REF!</v>
      </c>
      <c r="AF644" s="12">
        <f t="shared" si="894"/>
        <v>0</v>
      </c>
      <c r="AG644" s="12">
        <f t="shared" si="895"/>
        <v>0</v>
      </c>
      <c r="AH644" s="12">
        <f t="shared" si="896"/>
        <v>0</v>
      </c>
      <c r="AI644" s="10" t="s">
        <v>1059</v>
      </c>
      <c r="AJ644" s="12">
        <f t="shared" si="897"/>
        <v>0</v>
      </c>
      <c r="AK644" s="12">
        <f t="shared" si="898"/>
        <v>0</v>
      </c>
      <c r="AL644" s="12" t="e">
        <f t="shared" si="899"/>
        <v>#REF!</v>
      </c>
      <c r="AN644" s="12">
        <v>21</v>
      </c>
      <c r="AO644" s="12" t="e">
        <f>H644*0.76990099</f>
        <v>#REF!</v>
      </c>
      <c r="AP644" s="12" t="e">
        <f>H644*(1-0.76990099)</f>
        <v>#REF!</v>
      </c>
      <c r="AQ644" s="49" t="s">
        <v>567</v>
      </c>
      <c r="AV644" s="12" t="e">
        <f t="shared" si="900"/>
        <v>#REF!</v>
      </c>
      <c r="AW644" s="12" t="e">
        <f t="shared" si="901"/>
        <v>#REF!</v>
      </c>
      <c r="AX644" s="12" t="e">
        <f t="shared" si="902"/>
        <v>#REF!</v>
      </c>
      <c r="AY644" s="49" t="s">
        <v>593</v>
      </c>
      <c r="AZ644" s="49" t="s">
        <v>1091</v>
      </c>
      <c r="BA644" s="10" t="s">
        <v>1062</v>
      </c>
      <c r="BC644" s="12" t="e">
        <f t="shared" si="903"/>
        <v>#REF!</v>
      </c>
      <c r="BD644" s="12" t="e">
        <f t="shared" si="904"/>
        <v>#REF!</v>
      </c>
      <c r="BE644" s="12">
        <v>0</v>
      </c>
      <c r="BF644" s="12" t="e">
        <f t="shared" si="905"/>
        <v>#REF!</v>
      </c>
      <c r="BH644" s="12" t="e">
        <f t="shared" si="906"/>
        <v>#REF!</v>
      </c>
      <c r="BI644" s="12" t="e">
        <f t="shared" si="907"/>
        <v>#REF!</v>
      </c>
      <c r="BJ644" s="12" t="e">
        <f t="shared" si="908"/>
        <v>#REF!</v>
      </c>
      <c r="BK644" s="12"/>
      <c r="BL644" s="12">
        <v>734</v>
      </c>
      <c r="BW644" s="12" t="str">
        <f t="shared" si="909"/>
        <v>21</v>
      </c>
      <c r="BX644" s="3" t="s">
        <v>429</v>
      </c>
    </row>
    <row r="645" spans="1:76">
      <c r="A645" s="1" t="s">
        <v>1120</v>
      </c>
      <c r="B645" s="2" t="s">
        <v>1059</v>
      </c>
      <c r="C645" s="2" t="s">
        <v>430</v>
      </c>
      <c r="D645" s="349" t="s">
        <v>431</v>
      </c>
      <c r="E645" s="342"/>
      <c r="F645" s="2" t="s">
        <v>68</v>
      </c>
      <c r="G645" s="12" t="e">
        <f>#REF!</f>
        <v>#REF!</v>
      </c>
      <c r="H645" s="12" t="e">
        <f>#REF!</f>
        <v>#REF!</v>
      </c>
      <c r="I645" s="49" t="s">
        <v>554</v>
      </c>
      <c r="J645" s="12" t="e">
        <f t="shared" si="884"/>
        <v>#REF!</v>
      </c>
      <c r="K645" s="12" t="e">
        <f t="shared" si="885"/>
        <v>#REF!</v>
      </c>
      <c r="L645" s="12" t="e">
        <f t="shared" si="886"/>
        <v>#REF!</v>
      </c>
      <c r="M645" s="12" t="e">
        <f t="shared" si="887"/>
        <v>#REF!</v>
      </c>
      <c r="N645" s="12">
        <v>5.0000000000000001E-4</v>
      </c>
      <c r="O645" s="12" t="e">
        <f t="shared" si="888"/>
        <v>#REF!</v>
      </c>
      <c r="P645" s="50" t="s">
        <v>605</v>
      </c>
      <c r="Z645" s="12">
        <f t="shared" si="889"/>
        <v>0</v>
      </c>
      <c r="AB645" s="12">
        <f t="shared" si="890"/>
        <v>0</v>
      </c>
      <c r="AC645" s="12">
        <f t="shared" si="891"/>
        <v>0</v>
      </c>
      <c r="AD645" s="12" t="e">
        <f t="shared" si="892"/>
        <v>#REF!</v>
      </c>
      <c r="AE645" s="12" t="e">
        <f t="shared" si="893"/>
        <v>#REF!</v>
      </c>
      <c r="AF645" s="12">
        <f t="shared" si="894"/>
        <v>0</v>
      </c>
      <c r="AG645" s="12">
        <f t="shared" si="895"/>
        <v>0</v>
      </c>
      <c r="AH645" s="12">
        <f t="shared" si="896"/>
        <v>0</v>
      </c>
      <c r="AI645" s="10" t="s">
        <v>1059</v>
      </c>
      <c r="AJ645" s="12">
        <f t="shared" si="897"/>
        <v>0</v>
      </c>
      <c r="AK645" s="12">
        <f t="shared" si="898"/>
        <v>0</v>
      </c>
      <c r="AL645" s="12" t="e">
        <f t="shared" si="899"/>
        <v>#REF!</v>
      </c>
      <c r="AN645" s="12">
        <v>21</v>
      </c>
      <c r="AO645" s="12" t="e">
        <f>H645*0.872981818</f>
        <v>#REF!</v>
      </c>
      <c r="AP645" s="12" t="e">
        <f>H645*(1-0.872981818)</f>
        <v>#REF!</v>
      </c>
      <c r="AQ645" s="49" t="s">
        <v>567</v>
      </c>
      <c r="AV645" s="12" t="e">
        <f t="shared" si="900"/>
        <v>#REF!</v>
      </c>
      <c r="AW645" s="12" t="e">
        <f t="shared" si="901"/>
        <v>#REF!</v>
      </c>
      <c r="AX645" s="12" t="e">
        <f t="shared" si="902"/>
        <v>#REF!</v>
      </c>
      <c r="AY645" s="49" t="s">
        <v>593</v>
      </c>
      <c r="AZ645" s="49" t="s">
        <v>1091</v>
      </c>
      <c r="BA645" s="10" t="s">
        <v>1062</v>
      </c>
      <c r="BC645" s="12" t="e">
        <f t="shared" si="903"/>
        <v>#REF!</v>
      </c>
      <c r="BD645" s="12" t="e">
        <f t="shared" si="904"/>
        <v>#REF!</v>
      </c>
      <c r="BE645" s="12">
        <v>0</v>
      </c>
      <c r="BF645" s="12" t="e">
        <f t="shared" si="905"/>
        <v>#REF!</v>
      </c>
      <c r="BH645" s="12" t="e">
        <f t="shared" si="906"/>
        <v>#REF!</v>
      </c>
      <c r="BI645" s="12" t="e">
        <f t="shared" si="907"/>
        <v>#REF!</v>
      </c>
      <c r="BJ645" s="12" t="e">
        <f t="shared" si="908"/>
        <v>#REF!</v>
      </c>
      <c r="BK645" s="12"/>
      <c r="BL645" s="12">
        <v>734</v>
      </c>
      <c r="BW645" s="12" t="str">
        <f t="shared" si="909"/>
        <v>21</v>
      </c>
      <c r="BX645" s="3" t="s">
        <v>431</v>
      </c>
    </row>
    <row r="646" spans="1:76">
      <c r="A646" s="1" t="s">
        <v>1121</v>
      </c>
      <c r="B646" s="2" t="s">
        <v>1059</v>
      </c>
      <c r="C646" s="2" t="s">
        <v>432</v>
      </c>
      <c r="D646" s="349" t="s">
        <v>433</v>
      </c>
      <c r="E646" s="342"/>
      <c r="F646" s="2" t="s">
        <v>58</v>
      </c>
      <c r="G646" s="12" t="e">
        <f>#REF!</f>
        <v>#REF!</v>
      </c>
      <c r="H646" s="12" t="e">
        <f>#REF!</f>
        <v>#REF!</v>
      </c>
      <c r="I646" s="49" t="s">
        <v>554</v>
      </c>
      <c r="J646" s="12" t="e">
        <f t="shared" si="884"/>
        <v>#REF!</v>
      </c>
      <c r="K646" s="12" t="e">
        <f t="shared" si="885"/>
        <v>#REF!</v>
      </c>
      <c r="L646" s="12" t="e">
        <f t="shared" si="886"/>
        <v>#REF!</v>
      </c>
      <c r="M646" s="12" t="e">
        <f t="shared" si="887"/>
        <v>#REF!</v>
      </c>
      <c r="N646" s="12">
        <v>1.238E-2</v>
      </c>
      <c r="O646" s="12" t="e">
        <f t="shared" si="888"/>
        <v>#REF!</v>
      </c>
      <c r="P646" s="50" t="s">
        <v>577</v>
      </c>
      <c r="Z646" s="12">
        <f t="shared" si="889"/>
        <v>0</v>
      </c>
      <c r="AB646" s="12">
        <f t="shared" si="890"/>
        <v>0</v>
      </c>
      <c r="AC646" s="12">
        <f t="shared" si="891"/>
        <v>0</v>
      </c>
      <c r="AD646" s="12" t="e">
        <f t="shared" si="892"/>
        <v>#REF!</v>
      </c>
      <c r="AE646" s="12" t="e">
        <f t="shared" si="893"/>
        <v>#REF!</v>
      </c>
      <c r="AF646" s="12">
        <f t="shared" si="894"/>
        <v>0</v>
      </c>
      <c r="AG646" s="12">
        <f t="shared" si="895"/>
        <v>0</v>
      </c>
      <c r="AH646" s="12">
        <f t="shared" si="896"/>
        <v>0</v>
      </c>
      <c r="AI646" s="10" t="s">
        <v>1059</v>
      </c>
      <c r="AJ646" s="12">
        <f t="shared" si="897"/>
        <v>0</v>
      </c>
      <c r="AK646" s="12">
        <f t="shared" si="898"/>
        <v>0</v>
      </c>
      <c r="AL646" s="12" t="e">
        <f t="shared" si="899"/>
        <v>#REF!</v>
      </c>
      <c r="AN646" s="12">
        <v>21</v>
      </c>
      <c r="AO646" s="12" t="e">
        <f>H646*0.91595369</f>
        <v>#REF!</v>
      </c>
      <c r="AP646" s="12" t="e">
        <f>H646*(1-0.91595369)</f>
        <v>#REF!</v>
      </c>
      <c r="AQ646" s="49" t="s">
        <v>567</v>
      </c>
      <c r="AV646" s="12" t="e">
        <f t="shared" si="900"/>
        <v>#REF!</v>
      </c>
      <c r="AW646" s="12" t="e">
        <f t="shared" si="901"/>
        <v>#REF!</v>
      </c>
      <c r="AX646" s="12" t="e">
        <f t="shared" si="902"/>
        <v>#REF!</v>
      </c>
      <c r="AY646" s="49" t="s">
        <v>593</v>
      </c>
      <c r="AZ646" s="49" t="s">
        <v>1091</v>
      </c>
      <c r="BA646" s="10" t="s">
        <v>1062</v>
      </c>
      <c r="BC646" s="12" t="e">
        <f t="shared" si="903"/>
        <v>#REF!</v>
      </c>
      <c r="BD646" s="12" t="e">
        <f t="shared" si="904"/>
        <v>#REF!</v>
      </c>
      <c r="BE646" s="12">
        <v>0</v>
      </c>
      <c r="BF646" s="12" t="e">
        <f t="shared" si="905"/>
        <v>#REF!</v>
      </c>
      <c r="BH646" s="12" t="e">
        <f t="shared" si="906"/>
        <v>#REF!</v>
      </c>
      <c r="BI646" s="12" t="e">
        <f t="shared" si="907"/>
        <v>#REF!</v>
      </c>
      <c r="BJ646" s="12" t="e">
        <f t="shared" si="908"/>
        <v>#REF!</v>
      </c>
      <c r="BK646" s="12"/>
      <c r="BL646" s="12">
        <v>734</v>
      </c>
      <c r="BW646" s="12" t="str">
        <f t="shared" si="909"/>
        <v>21</v>
      </c>
      <c r="BX646" s="3" t="s">
        <v>433</v>
      </c>
    </row>
    <row r="647" spans="1:76">
      <c r="A647" s="1" t="s">
        <v>1122</v>
      </c>
      <c r="B647" s="2" t="s">
        <v>1059</v>
      </c>
      <c r="C647" s="2" t="s">
        <v>434</v>
      </c>
      <c r="D647" s="349" t="s">
        <v>435</v>
      </c>
      <c r="E647" s="342"/>
      <c r="F647" s="2" t="s">
        <v>68</v>
      </c>
      <c r="G647" s="12" t="e">
        <f>#REF!</f>
        <v>#REF!</v>
      </c>
      <c r="H647" s="12" t="e">
        <f>#REF!</f>
        <v>#REF!</v>
      </c>
      <c r="I647" s="49" t="s">
        <v>554</v>
      </c>
      <c r="J647" s="12" t="e">
        <f t="shared" si="884"/>
        <v>#REF!</v>
      </c>
      <c r="K647" s="12" t="e">
        <f t="shared" si="885"/>
        <v>#REF!</v>
      </c>
      <c r="L647" s="12" t="e">
        <f t="shared" si="886"/>
        <v>#REF!</v>
      </c>
      <c r="M647" s="12" t="e">
        <f t="shared" si="887"/>
        <v>#REF!</v>
      </c>
      <c r="N647" s="12">
        <v>1.3999999999999999E-4</v>
      </c>
      <c r="O647" s="12" t="e">
        <f t="shared" si="888"/>
        <v>#REF!</v>
      </c>
      <c r="P647" s="50" t="s">
        <v>577</v>
      </c>
      <c r="Z647" s="12">
        <f t="shared" si="889"/>
        <v>0</v>
      </c>
      <c r="AB647" s="12">
        <f t="shared" si="890"/>
        <v>0</v>
      </c>
      <c r="AC647" s="12">
        <f t="shared" si="891"/>
        <v>0</v>
      </c>
      <c r="AD647" s="12" t="e">
        <f t="shared" si="892"/>
        <v>#REF!</v>
      </c>
      <c r="AE647" s="12" t="e">
        <f t="shared" si="893"/>
        <v>#REF!</v>
      </c>
      <c r="AF647" s="12">
        <f t="shared" si="894"/>
        <v>0</v>
      </c>
      <c r="AG647" s="12">
        <f t="shared" si="895"/>
        <v>0</v>
      </c>
      <c r="AH647" s="12">
        <f t="shared" si="896"/>
        <v>0</v>
      </c>
      <c r="AI647" s="10" t="s">
        <v>1059</v>
      </c>
      <c r="AJ647" s="12">
        <f t="shared" si="897"/>
        <v>0</v>
      </c>
      <c r="AK647" s="12">
        <f t="shared" si="898"/>
        <v>0</v>
      </c>
      <c r="AL647" s="12" t="e">
        <f t="shared" si="899"/>
        <v>#REF!</v>
      </c>
      <c r="AN647" s="12">
        <v>21</v>
      </c>
      <c r="AO647" s="12" t="e">
        <f>H647*0.69147929</f>
        <v>#REF!</v>
      </c>
      <c r="AP647" s="12" t="e">
        <f>H647*(1-0.69147929)</f>
        <v>#REF!</v>
      </c>
      <c r="AQ647" s="49" t="s">
        <v>567</v>
      </c>
      <c r="AV647" s="12" t="e">
        <f t="shared" si="900"/>
        <v>#REF!</v>
      </c>
      <c r="AW647" s="12" t="e">
        <f t="shared" si="901"/>
        <v>#REF!</v>
      </c>
      <c r="AX647" s="12" t="e">
        <f t="shared" si="902"/>
        <v>#REF!</v>
      </c>
      <c r="AY647" s="49" t="s">
        <v>593</v>
      </c>
      <c r="AZ647" s="49" t="s">
        <v>1091</v>
      </c>
      <c r="BA647" s="10" t="s">
        <v>1062</v>
      </c>
      <c r="BC647" s="12" t="e">
        <f t="shared" si="903"/>
        <v>#REF!</v>
      </c>
      <c r="BD647" s="12" t="e">
        <f t="shared" si="904"/>
        <v>#REF!</v>
      </c>
      <c r="BE647" s="12">
        <v>0</v>
      </c>
      <c r="BF647" s="12" t="e">
        <f t="shared" si="905"/>
        <v>#REF!</v>
      </c>
      <c r="BH647" s="12" t="e">
        <f t="shared" si="906"/>
        <v>#REF!</v>
      </c>
      <c r="BI647" s="12" t="e">
        <f t="shared" si="907"/>
        <v>#REF!</v>
      </c>
      <c r="BJ647" s="12" t="e">
        <f t="shared" si="908"/>
        <v>#REF!</v>
      </c>
      <c r="BK647" s="12"/>
      <c r="BL647" s="12">
        <v>734</v>
      </c>
      <c r="BW647" s="12" t="str">
        <f t="shared" si="909"/>
        <v>21</v>
      </c>
      <c r="BX647" s="3" t="s">
        <v>435</v>
      </c>
    </row>
    <row r="648" spans="1:76">
      <c r="A648" s="1" t="s">
        <v>1123</v>
      </c>
      <c r="B648" s="2" t="s">
        <v>1059</v>
      </c>
      <c r="C648" s="2" t="s">
        <v>436</v>
      </c>
      <c r="D648" s="349" t="s">
        <v>437</v>
      </c>
      <c r="E648" s="342"/>
      <c r="F648" s="2" t="s">
        <v>68</v>
      </c>
      <c r="G648" s="12" t="e">
        <f>#REF!</f>
        <v>#REF!</v>
      </c>
      <c r="H648" s="12" t="e">
        <f>#REF!</f>
        <v>#REF!</v>
      </c>
      <c r="I648" s="49" t="s">
        <v>554</v>
      </c>
      <c r="J648" s="12" t="e">
        <f t="shared" si="884"/>
        <v>#REF!</v>
      </c>
      <c r="K648" s="12" t="e">
        <f t="shared" si="885"/>
        <v>#REF!</v>
      </c>
      <c r="L648" s="12" t="e">
        <f t="shared" si="886"/>
        <v>#REF!</v>
      </c>
      <c r="M648" s="12" t="e">
        <f t="shared" si="887"/>
        <v>#REF!</v>
      </c>
      <c r="N648" s="12">
        <v>2.9999999999999997E-4</v>
      </c>
      <c r="O648" s="12" t="e">
        <f t="shared" si="888"/>
        <v>#REF!</v>
      </c>
      <c r="P648" s="50" t="s">
        <v>605</v>
      </c>
      <c r="Z648" s="12">
        <f t="shared" si="889"/>
        <v>0</v>
      </c>
      <c r="AB648" s="12">
        <f t="shared" si="890"/>
        <v>0</v>
      </c>
      <c r="AC648" s="12">
        <f t="shared" si="891"/>
        <v>0</v>
      </c>
      <c r="AD648" s="12" t="e">
        <f t="shared" si="892"/>
        <v>#REF!</v>
      </c>
      <c r="AE648" s="12" t="e">
        <f t="shared" si="893"/>
        <v>#REF!</v>
      </c>
      <c r="AF648" s="12">
        <f t="shared" si="894"/>
        <v>0</v>
      </c>
      <c r="AG648" s="12">
        <f t="shared" si="895"/>
        <v>0</v>
      </c>
      <c r="AH648" s="12">
        <f t="shared" si="896"/>
        <v>0</v>
      </c>
      <c r="AI648" s="10" t="s">
        <v>1059</v>
      </c>
      <c r="AJ648" s="12">
        <f t="shared" si="897"/>
        <v>0</v>
      </c>
      <c r="AK648" s="12">
        <f t="shared" si="898"/>
        <v>0</v>
      </c>
      <c r="AL648" s="12" t="e">
        <f t="shared" si="899"/>
        <v>#REF!</v>
      </c>
      <c r="AN648" s="12">
        <v>21</v>
      </c>
      <c r="AO648" s="12" t="e">
        <f>H648*0.796243845</f>
        <v>#REF!</v>
      </c>
      <c r="AP648" s="12" t="e">
        <f>H648*(1-0.796243845)</f>
        <v>#REF!</v>
      </c>
      <c r="AQ648" s="49" t="s">
        <v>567</v>
      </c>
      <c r="AV648" s="12" t="e">
        <f t="shared" si="900"/>
        <v>#REF!</v>
      </c>
      <c r="AW648" s="12" t="e">
        <f t="shared" si="901"/>
        <v>#REF!</v>
      </c>
      <c r="AX648" s="12" t="e">
        <f t="shared" si="902"/>
        <v>#REF!</v>
      </c>
      <c r="AY648" s="49" t="s">
        <v>593</v>
      </c>
      <c r="AZ648" s="49" t="s">
        <v>1091</v>
      </c>
      <c r="BA648" s="10" t="s">
        <v>1062</v>
      </c>
      <c r="BC648" s="12" t="e">
        <f t="shared" si="903"/>
        <v>#REF!</v>
      </c>
      <c r="BD648" s="12" t="e">
        <f t="shared" si="904"/>
        <v>#REF!</v>
      </c>
      <c r="BE648" s="12">
        <v>0</v>
      </c>
      <c r="BF648" s="12" t="e">
        <f t="shared" si="905"/>
        <v>#REF!</v>
      </c>
      <c r="BH648" s="12" t="e">
        <f t="shared" si="906"/>
        <v>#REF!</v>
      </c>
      <c r="BI648" s="12" t="e">
        <f t="shared" si="907"/>
        <v>#REF!</v>
      </c>
      <c r="BJ648" s="12" t="e">
        <f t="shared" si="908"/>
        <v>#REF!</v>
      </c>
      <c r="BK648" s="12"/>
      <c r="BL648" s="12">
        <v>734</v>
      </c>
      <c r="BW648" s="12" t="str">
        <f t="shared" si="909"/>
        <v>21</v>
      </c>
      <c r="BX648" s="3" t="s">
        <v>437</v>
      </c>
    </row>
    <row r="649" spans="1:76">
      <c r="A649" s="1" t="s">
        <v>1124</v>
      </c>
      <c r="B649" s="2" t="s">
        <v>1059</v>
      </c>
      <c r="C649" s="2" t="s">
        <v>438</v>
      </c>
      <c r="D649" s="349" t="s">
        <v>439</v>
      </c>
      <c r="E649" s="342"/>
      <c r="F649" s="2" t="s">
        <v>68</v>
      </c>
      <c r="G649" s="12" t="e">
        <f>#REF!</f>
        <v>#REF!</v>
      </c>
      <c r="H649" s="12" t="e">
        <f>#REF!</f>
        <v>#REF!</v>
      </c>
      <c r="I649" s="49" t="s">
        <v>554</v>
      </c>
      <c r="J649" s="12" t="e">
        <f t="shared" si="884"/>
        <v>#REF!</v>
      </c>
      <c r="K649" s="12" t="e">
        <f t="shared" si="885"/>
        <v>#REF!</v>
      </c>
      <c r="L649" s="12" t="e">
        <f t="shared" si="886"/>
        <v>#REF!</v>
      </c>
      <c r="M649" s="12" t="e">
        <f t="shared" si="887"/>
        <v>#REF!</v>
      </c>
      <c r="N649" s="12">
        <v>1.0399999999999999E-3</v>
      </c>
      <c r="O649" s="12" t="e">
        <f t="shared" si="888"/>
        <v>#REF!</v>
      </c>
      <c r="P649" s="50" t="s">
        <v>605</v>
      </c>
      <c r="Z649" s="12">
        <f t="shared" si="889"/>
        <v>0</v>
      </c>
      <c r="AB649" s="12">
        <f t="shared" si="890"/>
        <v>0</v>
      </c>
      <c r="AC649" s="12">
        <f t="shared" si="891"/>
        <v>0</v>
      </c>
      <c r="AD649" s="12" t="e">
        <f t="shared" si="892"/>
        <v>#REF!</v>
      </c>
      <c r="AE649" s="12" t="e">
        <f t="shared" si="893"/>
        <v>#REF!</v>
      </c>
      <c r="AF649" s="12">
        <f t="shared" si="894"/>
        <v>0</v>
      </c>
      <c r="AG649" s="12">
        <f t="shared" si="895"/>
        <v>0</v>
      </c>
      <c r="AH649" s="12">
        <f t="shared" si="896"/>
        <v>0</v>
      </c>
      <c r="AI649" s="10" t="s">
        <v>1059</v>
      </c>
      <c r="AJ649" s="12">
        <f t="shared" si="897"/>
        <v>0</v>
      </c>
      <c r="AK649" s="12">
        <f t="shared" si="898"/>
        <v>0</v>
      </c>
      <c r="AL649" s="12" t="e">
        <f t="shared" si="899"/>
        <v>#REF!</v>
      </c>
      <c r="AN649" s="12">
        <v>21</v>
      </c>
      <c r="AO649" s="12" t="e">
        <f>H649*0.893386019</f>
        <v>#REF!</v>
      </c>
      <c r="AP649" s="12" t="e">
        <f>H649*(1-0.893386019)</f>
        <v>#REF!</v>
      </c>
      <c r="AQ649" s="49" t="s">
        <v>567</v>
      </c>
      <c r="AV649" s="12" t="e">
        <f t="shared" si="900"/>
        <v>#REF!</v>
      </c>
      <c r="AW649" s="12" t="e">
        <f t="shared" si="901"/>
        <v>#REF!</v>
      </c>
      <c r="AX649" s="12" t="e">
        <f t="shared" si="902"/>
        <v>#REF!</v>
      </c>
      <c r="AY649" s="49" t="s">
        <v>593</v>
      </c>
      <c r="AZ649" s="49" t="s">
        <v>1091</v>
      </c>
      <c r="BA649" s="10" t="s">
        <v>1062</v>
      </c>
      <c r="BC649" s="12" t="e">
        <f t="shared" si="903"/>
        <v>#REF!</v>
      </c>
      <c r="BD649" s="12" t="e">
        <f t="shared" si="904"/>
        <v>#REF!</v>
      </c>
      <c r="BE649" s="12">
        <v>0</v>
      </c>
      <c r="BF649" s="12" t="e">
        <f t="shared" si="905"/>
        <v>#REF!</v>
      </c>
      <c r="BH649" s="12" t="e">
        <f t="shared" si="906"/>
        <v>#REF!</v>
      </c>
      <c r="BI649" s="12" t="e">
        <f t="shared" si="907"/>
        <v>#REF!</v>
      </c>
      <c r="BJ649" s="12" t="e">
        <f t="shared" si="908"/>
        <v>#REF!</v>
      </c>
      <c r="BK649" s="12"/>
      <c r="BL649" s="12">
        <v>734</v>
      </c>
      <c r="BW649" s="12" t="str">
        <f t="shared" si="909"/>
        <v>21</v>
      </c>
      <c r="BX649" s="3" t="s">
        <v>439</v>
      </c>
    </row>
    <row r="650" spans="1:76">
      <c r="A650" s="46" t="s">
        <v>21</v>
      </c>
      <c r="B650" s="9" t="s">
        <v>1059</v>
      </c>
      <c r="C650" s="9" t="s">
        <v>101</v>
      </c>
      <c r="D650" s="359" t="s">
        <v>102</v>
      </c>
      <c r="E650" s="360"/>
      <c r="F650" s="47" t="s">
        <v>20</v>
      </c>
      <c r="G650" s="47" t="s">
        <v>20</v>
      </c>
      <c r="H650" s="47" t="s">
        <v>20</v>
      </c>
      <c r="I650" s="47" t="s">
        <v>20</v>
      </c>
      <c r="J650" s="11" t="e">
        <f>SUM(J651:J652)</f>
        <v>#REF!</v>
      </c>
      <c r="K650" s="11" t="e">
        <f>SUM(K651:K652)</f>
        <v>#REF!</v>
      </c>
      <c r="L650" s="11" t="e">
        <f>SUM(L651:L652)</f>
        <v>#REF!</v>
      </c>
      <c r="M650" s="11" t="e">
        <f>SUM(M651:M652)</f>
        <v>#REF!</v>
      </c>
      <c r="N650" s="10" t="s">
        <v>21</v>
      </c>
      <c r="O650" s="11" t="e">
        <f>SUM(O651:O652)</f>
        <v>#REF!</v>
      </c>
      <c r="P650" s="48" t="s">
        <v>21</v>
      </c>
      <c r="AI650" s="10" t="s">
        <v>1059</v>
      </c>
      <c r="AS650" s="11">
        <f>SUM(AJ651:AJ652)</f>
        <v>0</v>
      </c>
      <c r="AT650" s="11">
        <f>SUM(AK651:AK652)</f>
        <v>0</v>
      </c>
      <c r="AU650" s="11" t="e">
        <f>SUM(AL651:AL652)</f>
        <v>#REF!</v>
      </c>
    </row>
    <row r="651" spans="1:76">
      <c r="A651" s="1" t="s">
        <v>1125</v>
      </c>
      <c r="B651" s="2" t="s">
        <v>1059</v>
      </c>
      <c r="C651" s="2" t="s">
        <v>440</v>
      </c>
      <c r="D651" s="349" t="s">
        <v>441</v>
      </c>
      <c r="E651" s="342"/>
      <c r="F651" s="2" t="s">
        <v>105</v>
      </c>
      <c r="G651" s="12" t="e">
        <f>#REF!</f>
        <v>#REF!</v>
      </c>
      <c r="H651" s="12" t="e">
        <f>#REF!</f>
        <v>#REF!</v>
      </c>
      <c r="I651" s="49" t="s">
        <v>554</v>
      </c>
      <c r="J651" s="12" t="e">
        <f>G651*AO651</f>
        <v>#REF!</v>
      </c>
      <c r="K651" s="12" t="e">
        <f>G651*AP651</f>
        <v>#REF!</v>
      </c>
      <c r="L651" s="12" t="e">
        <f>G651*H651</f>
        <v>#REF!</v>
      </c>
      <c r="M651" s="12" t="e">
        <f>L651*(1+BW651/100)</f>
        <v>#REF!</v>
      </c>
      <c r="N651" s="12">
        <v>1.0499999999999999E-3</v>
      </c>
      <c r="O651" s="12" t="e">
        <f>G651*N651</f>
        <v>#REF!</v>
      </c>
      <c r="P651" s="50" t="s">
        <v>577</v>
      </c>
      <c r="Z651" s="12">
        <f>IF(AQ651="5",BJ651,0)</f>
        <v>0</v>
      </c>
      <c r="AB651" s="12">
        <f>IF(AQ651="1",BH651,0)</f>
        <v>0</v>
      </c>
      <c r="AC651" s="12">
        <f>IF(AQ651="1",BI651,0)</f>
        <v>0</v>
      </c>
      <c r="AD651" s="12" t="e">
        <f>IF(AQ651="7",BH651,0)</f>
        <v>#REF!</v>
      </c>
      <c r="AE651" s="12" t="e">
        <f>IF(AQ651="7",BI651,0)</f>
        <v>#REF!</v>
      </c>
      <c r="AF651" s="12">
        <f>IF(AQ651="2",BH651,0)</f>
        <v>0</v>
      </c>
      <c r="AG651" s="12">
        <f>IF(AQ651="2",BI651,0)</f>
        <v>0</v>
      </c>
      <c r="AH651" s="12">
        <f>IF(AQ651="0",BJ651,0)</f>
        <v>0</v>
      </c>
      <c r="AI651" s="10" t="s">
        <v>1059</v>
      </c>
      <c r="AJ651" s="12">
        <f>IF(AN651=0,L651,0)</f>
        <v>0</v>
      </c>
      <c r="AK651" s="12">
        <f>IF(AN651=12,L651,0)</f>
        <v>0</v>
      </c>
      <c r="AL651" s="12" t="e">
        <f>IF(AN651=21,L651,0)</f>
        <v>#REF!</v>
      </c>
      <c r="AN651" s="12">
        <v>21</v>
      </c>
      <c r="AO651" s="12" t="e">
        <f>H651*0.15238806</f>
        <v>#REF!</v>
      </c>
      <c r="AP651" s="12" t="e">
        <f>H651*(1-0.15238806)</f>
        <v>#REF!</v>
      </c>
      <c r="AQ651" s="49" t="s">
        <v>567</v>
      </c>
      <c r="AV651" s="12" t="e">
        <f>AW651+AX651</f>
        <v>#REF!</v>
      </c>
      <c r="AW651" s="12" t="e">
        <f>G651*AO651</f>
        <v>#REF!</v>
      </c>
      <c r="AX651" s="12" t="e">
        <f>G651*AP651</f>
        <v>#REF!</v>
      </c>
      <c r="AY651" s="49" t="s">
        <v>596</v>
      </c>
      <c r="AZ651" s="49" t="s">
        <v>1126</v>
      </c>
      <c r="BA651" s="10" t="s">
        <v>1062</v>
      </c>
      <c r="BC651" s="12" t="e">
        <f>AW651+AX651</f>
        <v>#REF!</v>
      </c>
      <c r="BD651" s="12" t="e">
        <f>H651/(100-BE651)*100</f>
        <v>#REF!</v>
      </c>
      <c r="BE651" s="12">
        <v>0</v>
      </c>
      <c r="BF651" s="12" t="e">
        <f>O651</f>
        <v>#REF!</v>
      </c>
      <c r="BH651" s="12" t="e">
        <f>G651*AO651</f>
        <v>#REF!</v>
      </c>
      <c r="BI651" s="12" t="e">
        <f>G651*AP651</f>
        <v>#REF!</v>
      </c>
      <c r="BJ651" s="12" t="e">
        <f>G651*H651</f>
        <v>#REF!</v>
      </c>
      <c r="BK651" s="12"/>
      <c r="BL651" s="12">
        <v>767</v>
      </c>
      <c r="BW651" s="12" t="str">
        <f>I651</f>
        <v>21</v>
      </c>
      <c r="BX651" s="3" t="s">
        <v>441</v>
      </c>
    </row>
    <row r="652" spans="1:76">
      <c r="A652" s="4" t="s">
        <v>1127</v>
      </c>
      <c r="B652" s="5" t="s">
        <v>1059</v>
      </c>
      <c r="C652" s="5" t="s">
        <v>442</v>
      </c>
      <c r="D652" s="361" t="s">
        <v>443</v>
      </c>
      <c r="E652" s="343"/>
      <c r="F652" s="5" t="s">
        <v>105</v>
      </c>
      <c r="G652" s="15" t="e">
        <f>#REF!</f>
        <v>#REF!</v>
      </c>
      <c r="H652" s="15" t="e">
        <f>#REF!</f>
        <v>#REF!</v>
      </c>
      <c r="I652" s="52" t="s">
        <v>554</v>
      </c>
      <c r="J652" s="15" t="e">
        <f>G652*AO652</f>
        <v>#REF!</v>
      </c>
      <c r="K652" s="15" t="e">
        <f>G652*AP652</f>
        <v>#REF!</v>
      </c>
      <c r="L652" s="15" t="e">
        <f>G652*H652</f>
        <v>#REF!</v>
      </c>
      <c r="M652" s="15" t="e">
        <f>L652*(1+BW652/100)</f>
        <v>#REF!</v>
      </c>
      <c r="N652" s="15">
        <v>1.06E-3</v>
      </c>
      <c r="O652" s="15" t="e">
        <f>G652*N652</f>
        <v>#REF!</v>
      </c>
      <c r="P652" s="53" t="s">
        <v>577</v>
      </c>
      <c r="Z652" s="12">
        <f>IF(AQ652="5",BJ652,0)</f>
        <v>0</v>
      </c>
      <c r="AB652" s="12">
        <f>IF(AQ652="1",BH652,0)</f>
        <v>0</v>
      </c>
      <c r="AC652" s="12">
        <f>IF(AQ652="1",BI652,0)</f>
        <v>0</v>
      </c>
      <c r="AD652" s="12" t="e">
        <f>IF(AQ652="7",BH652,0)</f>
        <v>#REF!</v>
      </c>
      <c r="AE652" s="12" t="e">
        <f>IF(AQ652="7",BI652,0)</f>
        <v>#REF!</v>
      </c>
      <c r="AF652" s="12">
        <f>IF(AQ652="2",BH652,0)</f>
        <v>0</v>
      </c>
      <c r="AG652" s="12">
        <f>IF(AQ652="2",BI652,0)</f>
        <v>0</v>
      </c>
      <c r="AH652" s="12">
        <f>IF(AQ652="0",BJ652,0)</f>
        <v>0</v>
      </c>
      <c r="AI652" s="10" t="s">
        <v>1059</v>
      </c>
      <c r="AJ652" s="12">
        <f>IF(AN652=0,L652,0)</f>
        <v>0</v>
      </c>
      <c r="AK652" s="12">
        <f>IF(AN652=12,L652,0)</f>
        <v>0</v>
      </c>
      <c r="AL652" s="12" t="e">
        <f>IF(AN652=21,L652,0)</f>
        <v>#REF!</v>
      </c>
      <c r="AN652" s="12">
        <v>21</v>
      </c>
      <c r="AO652" s="12" t="e">
        <f>H652*0.303333333</f>
        <v>#REF!</v>
      </c>
      <c r="AP652" s="12" t="e">
        <f>H652*(1-0.303333333)</f>
        <v>#REF!</v>
      </c>
      <c r="AQ652" s="49" t="s">
        <v>567</v>
      </c>
      <c r="AV652" s="12" t="e">
        <f>AW652+AX652</f>
        <v>#REF!</v>
      </c>
      <c r="AW652" s="12" t="e">
        <f>G652*AO652</f>
        <v>#REF!</v>
      </c>
      <c r="AX652" s="12" t="e">
        <f>G652*AP652</f>
        <v>#REF!</v>
      </c>
      <c r="AY652" s="49" t="s">
        <v>596</v>
      </c>
      <c r="AZ652" s="49" t="s">
        <v>1126</v>
      </c>
      <c r="BA652" s="10" t="s">
        <v>1062</v>
      </c>
      <c r="BC652" s="12" t="e">
        <f>AW652+AX652</f>
        <v>#REF!</v>
      </c>
      <c r="BD652" s="12" t="e">
        <f>H652/(100-BE652)*100</f>
        <v>#REF!</v>
      </c>
      <c r="BE652" s="12">
        <v>0</v>
      </c>
      <c r="BF652" s="12" t="e">
        <f>O652</f>
        <v>#REF!</v>
      </c>
      <c r="BH652" s="12" t="e">
        <f>G652*AO652</f>
        <v>#REF!</v>
      </c>
      <c r="BI652" s="12" t="e">
        <f>G652*AP652</f>
        <v>#REF!</v>
      </c>
      <c r="BJ652" s="12" t="e">
        <f>G652*H652</f>
        <v>#REF!</v>
      </c>
      <c r="BK652" s="12"/>
      <c r="BL652" s="12">
        <v>767</v>
      </c>
      <c r="BW652" s="12" t="str">
        <f>I652</f>
        <v>21</v>
      </c>
      <c r="BX652" s="3" t="s">
        <v>443</v>
      </c>
    </row>
    <row r="653" spans="1:76">
      <c r="J653" s="362" t="s">
        <v>459</v>
      </c>
      <c r="K653" s="362"/>
      <c r="L653" s="54" t="e">
        <f>L14+L17+L21+L23+L26+L29+L31+L33+L43+L48+L51+L54+L63+L92+L94+L97+L105+L130+L133+L142+L146+L152+L154+L156+L159+L187+L194+L202+L207+L217+L219+L237+L239+L247+L259+L275+L279+L289+L291+L307+L309+L317+L329+L345+L349+L352+L362+L364+L380+L382+L390+L402+L418+L422+L425+L435+L437+L453+L455+L463+L475+L491+L495+L498+L508+L510+L526+L528+L536+L548+L564+L568+L571+L581+L583+L603+L605+L615+L632+L650</f>
        <v>#REF!</v>
      </c>
      <c r="M653" s="54" t="e">
        <f>M14+M17+M21+M23+M26+M29+M31+M33+M43+M48+M51+M54+M63+M92+M94+M97+M105+M130+M133+M142+M146+M152+M154+M156+M159+M187+M194+M202+M207+M217+M219+M237+M239+M247+M259+M275+M279+M289+M291+M307+M309+M317+M329+M345+M349+M352+M362+M364+M380+M382+M390+M402+M418+M422+M425+M435+M437+M453+M455+M463+M475+M491+M495+M498+M508+M510+M526+M528+M536+M548+M564+M568+M571+M581+M583+M603+M605+M615+M632+M650</f>
        <v>#REF!</v>
      </c>
    </row>
    <row r="654" spans="1:76">
      <c r="A654" s="55" t="s">
        <v>503</v>
      </c>
    </row>
    <row r="655" spans="1:76" ht="12.75" customHeight="1">
      <c r="A655" s="349" t="s">
        <v>21</v>
      </c>
      <c r="B655" s="342"/>
      <c r="C655" s="342"/>
      <c r="D655" s="342"/>
      <c r="E655" s="342"/>
      <c r="F655" s="342"/>
      <c r="G655" s="342"/>
      <c r="H655" s="342"/>
      <c r="I655" s="342"/>
      <c r="J655" s="342"/>
      <c r="K655" s="342"/>
      <c r="L655" s="342"/>
      <c r="M655" s="342"/>
      <c r="N655" s="342"/>
      <c r="O655" s="342"/>
      <c r="P655" s="342"/>
    </row>
  </sheetData>
  <mergeCells count="672">
    <mergeCell ref="A1:P1"/>
    <mergeCell ref="A2:C3"/>
    <mergeCell ref="A4:C5"/>
    <mergeCell ref="A6:C7"/>
    <mergeCell ref="A8:C9"/>
    <mergeCell ref="F2:G3"/>
    <mergeCell ref="F4:G5"/>
    <mergeCell ref="F6:G7"/>
    <mergeCell ref="F8:G9"/>
    <mergeCell ref="I2:I3"/>
    <mergeCell ref="I4:I5"/>
    <mergeCell ref="I6:I7"/>
    <mergeCell ref="I8:I9"/>
    <mergeCell ref="D2:E3"/>
    <mergeCell ref="D4:E5"/>
    <mergeCell ref="D6:E7"/>
    <mergeCell ref="D11:E11"/>
    <mergeCell ref="J10:L10"/>
    <mergeCell ref="N10:O10"/>
    <mergeCell ref="D12:E12"/>
    <mergeCell ref="D13:E13"/>
    <mergeCell ref="J2:P3"/>
    <mergeCell ref="J4:P5"/>
    <mergeCell ref="J6:P7"/>
    <mergeCell ref="J8:P9"/>
    <mergeCell ref="D10:E10"/>
    <mergeCell ref="D8:E9"/>
    <mergeCell ref="H2:H3"/>
    <mergeCell ref="H4:H5"/>
    <mergeCell ref="H6:H7"/>
    <mergeCell ref="H8:H9"/>
    <mergeCell ref="D19:E19"/>
    <mergeCell ref="D20:E20"/>
    <mergeCell ref="D21:E21"/>
    <mergeCell ref="D22:E22"/>
    <mergeCell ref="D23:E23"/>
    <mergeCell ref="D14:E14"/>
    <mergeCell ref="D15:E15"/>
    <mergeCell ref="D16:E16"/>
    <mergeCell ref="D17:E17"/>
    <mergeCell ref="D18:E18"/>
    <mergeCell ref="D29:E29"/>
    <mergeCell ref="D30:E30"/>
    <mergeCell ref="D31:E31"/>
    <mergeCell ref="D32:E32"/>
    <mergeCell ref="D33:E33"/>
    <mergeCell ref="D24:E24"/>
    <mergeCell ref="D25:E25"/>
    <mergeCell ref="D26:E26"/>
    <mergeCell ref="D27:E27"/>
    <mergeCell ref="D28:E28"/>
    <mergeCell ref="D39:E39"/>
    <mergeCell ref="D40:E40"/>
    <mergeCell ref="D41:E41"/>
    <mergeCell ref="D42:E42"/>
    <mergeCell ref="D43:E43"/>
    <mergeCell ref="D34:E34"/>
    <mergeCell ref="D35:E35"/>
    <mergeCell ref="D36:E36"/>
    <mergeCell ref="D37:E37"/>
    <mergeCell ref="D38:E38"/>
    <mergeCell ref="D49:E49"/>
    <mergeCell ref="D50:E50"/>
    <mergeCell ref="D51:E51"/>
    <mergeCell ref="D52:E52"/>
    <mergeCell ref="D53:E53"/>
    <mergeCell ref="D44:E44"/>
    <mergeCell ref="D45:E45"/>
    <mergeCell ref="D46:E46"/>
    <mergeCell ref="D47:E47"/>
    <mergeCell ref="D48:E48"/>
    <mergeCell ref="D59:P59"/>
    <mergeCell ref="D60:E60"/>
    <mergeCell ref="D61:E61"/>
    <mergeCell ref="D62:E62"/>
    <mergeCell ref="D63:E63"/>
    <mergeCell ref="D54:E54"/>
    <mergeCell ref="D55:E55"/>
    <mergeCell ref="D56:E56"/>
    <mergeCell ref="D57:E57"/>
    <mergeCell ref="D58:E58"/>
    <mergeCell ref="D69:E69"/>
    <mergeCell ref="D70:E70"/>
    <mergeCell ref="D71:P71"/>
    <mergeCell ref="D72:E72"/>
    <mergeCell ref="D73:P73"/>
    <mergeCell ref="D64:E64"/>
    <mergeCell ref="D65:E65"/>
    <mergeCell ref="D66:E66"/>
    <mergeCell ref="D67:E67"/>
    <mergeCell ref="D68:E68"/>
    <mergeCell ref="D79:E79"/>
    <mergeCell ref="D80:E80"/>
    <mergeCell ref="D81:P81"/>
    <mergeCell ref="D82:E82"/>
    <mergeCell ref="D83:E83"/>
    <mergeCell ref="D74:E74"/>
    <mergeCell ref="D75:P75"/>
    <mergeCell ref="D76:E76"/>
    <mergeCell ref="D77:P77"/>
    <mergeCell ref="D78:E78"/>
    <mergeCell ref="D89:E89"/>
    <mergeCell ref="D90:E90"/>
    <mergeCell ref="D91:P91"/>
    <mergeCell ref="D92:E92"/>
    <mergeCell ref="D93:E93"/>
    <mergeCell ref="D84:E84"/>
    <mergeCell ref="D85:E85"/>
    <mergeCell ref="D86:E86"/>
    <mergeCell ref="D87:E87"/>
    <mergeCell ref="D88:E88"/>
    <mergeCell ref="D99:E99"/>
    <mergeCell ref="D100:E100"/>
    <mergeCell ref="D101:E101"/>
    <mergeCell ref="D102:E102"/>
    <mergeCell ref="D103:E103"/>
    <mergeCell ref="D94:E94"/>
    <mergeCell ref="D95:E95"/>
    <mergeCell ref="D96:E96"/>
    <mergeCell ref="D97:E97"/>
    <mergeCell ref="D98:E98"/>
    <mergeCell ref="D109:E109"/>
    <mergeCell ref="D110:P110"/>
    <mergeCell ref="D111:E111"/>
    <mergeCell ref="D112:P112"/>
    <mergeCell ref="D113:E113"/>
    <mergeCell ref="D104:P104"/>
    <mergeCell ref="D105:E105"/>
    <mergeCell ref="D106:E106"/>
    <mergeCell ref="D107:E107"/>
    <mergeCell ref="D108:P108"/>
    <mergeCell ref="D119:E119"/>
    <mergeCell ref="D120:E120"/>
    <mergeCell ref="D121:E121"/>
    <mergeCell ref="D122:E122"/>
    <mergeCell ref="D123:E123"/>
    <mergeCell ref="D114:E114"/>
    <mergeCell ref="D115:E115"/>
    <mergeCell ref="D116:E116"/>
    <mergeCell ref="D117:E117"/>
    <mergeCell ref="D118:E118"/>
    <mergeCell ref="D129:E129"/>
    <mergeCell ref="D130:E130"/>
    <mergeCell ref="D131:E131"/>
    <mergeCell ref="D132:E132"/>
    <mergeCell ref="D133:E133"/>
    <mergeCell ref="D124:P124"/>
    <mergeCell ref="D125:E125"/>
    <mergeCell ref="D126:E126"/>
    <mergeCell ref="D127:E127"/>
    <mergeCell ref="D128:E128"/>
    <mergeCell ref="D139:P139"/>
    <mergeCell ref="D140:E140"/>
    <mergeCell ref="D141:E141"/>
    <mergeCell ref="D142:E142"/>
    <mergeCell ref="D143:E143"/>
    <mergeCell ref="D134:E134"/>
    <mergeCell ref="D135:P135"/>
    <mergeCell ref="D136:E136"/>
    <mergeCell ref="D137:P137"/>
    <mergeCell ref="D138:E138"/>
    <mergeCell ref="D149:E149"/>
    <mergeCell ref="D150:P150"/>
    <mergeCell ref="D151:E151"/>
    <mergeCell ref="D152:E152"/>
    <mergeCell ref="D153:E153"/>
    <mergeCell ref="D144:P144"/>
    <mergeCell ref="D145:E145"/>
    <mergeCell ref="D146:E146"/>
    <mergeCell ref="D147:E147"/>
    <mergeCell ref="D148:P148"/>
    <mergeCell ref="D159:E159"/>
    <mergeCell ref="D160:E160"/>
    <mergeCell ref="D161:E161"/>
    <mergeCell ref="D162:E162"/>
    <mergeCell ref="D163:P163"/>
    <mergeCell ref="D154:E154"/>
    <mergeCell ref="D155:E155"/>
    <mergeCell ref="D156:E156"/>
    <mergeCell ref="D157:E157"/>
    <mergeCell ref="D158:P158"/>
    <mergeCell ref="D169:P169"/>
    <mergeCell ref="D170:E170"/>
    <mergeCell ref="D171:P171"/>
    <mergeCell ref="D172:E172"/>
    <mergeCell ref="D173:P173"/>
    <mergeCell ref="D164:E164"/>
    <mergeCell ref="D165:P165"/>
    <mergeCell ref="D166:E166"/>
    <mergeCell ref="D167:P167"/>
    <mergeCell ref="D168:E168"/>
    <mergeCell ref="D179:P179"/>
    <mergeCell ref="D180:E180"/>
    <mergeCell ref="D181:P181"/>
    <mergeCell ref="D182:E182"/>
    <mergeCell ref="D183:E183"/>
    <mergeCell ref="D174:E174"/>
    <mergeCell ref="D175:P175"/>
    <mergeCell ref="D176:E176"/>
    <mergeCell ref="D177:P177"/>
    <mergeCell ref="D178:E178"/>
    <mergeCell ref="D189:P189"/>
    <mergeCell ref="D190:E190"/>
    <mergeCell ref="D191:P191"/>
    <mergeCell ref="D192:E192"/>
    <mergeCell ref="D193:P193"/>
    <mergeCell ref="D184:P184"/>
    <mergeCell ref="D185:E185"/>
    <mergeCell ref="D186:P186"/>
    <mergeCell ref="D187:E187"/>
    <mergeCell ref="D188:E188"/>
    <mergeCell ref="D199:E199"/>
    <mergeCell ref="D200:E200"/>
    <mergeCell ref="D201:E201"/>
    <mergeCell ref="D202:E202"/>
    <mergeCell ref="D203:E203"/>
    <mergeCell ref="D194:E194"/>
    <mergeCell ref="D195:E195"/>
    <mergeCell ref="D196:P196"/>
    <mergeCell ref="D197:E197"/>
    <mergeCell ref="D198:P198"/>
    <mergeCell ref="D209:E209"/>
    <mergeCell ref="D210:E210"/>
    <mergeCell ref="D211:E211"/>
    <mergeCell ref="D212:E212"/>
    <mergeCell ref="D213:E213"/>
    <mergeCell ref="D204:E204"/>
    <mergeCell ref="D205:P205"/>
    <mergeCell ref="D206:E206"/>
    <mergeCell ref="D207:E207"/>
    <mergeCell ref="D208:E208"/>
    <mergeCell ref="D219:E219"/>
    <mergeCell ref="D220:E220"/>
    <mergeCell ref="D221:E221"/>
    <mergeCell ref="D222:E222"/>
    <mergeCell ref="D223:E223"/>
    <mergeCell ref="D214:E214"/>
    <mergeCell ref="D215:E215"/>
    <mergeCell ref="D216:E216"/>
    <mergeCell ref="D217:E217"/>
    <mergeCell ref="D218:E218"/>
    <mergeCell ref="D229:E229"/>
    <mergeCell ref="D230:E230"/>
    <mergeCell ref="D231:E231"/>
    <mergeCell ref="D232:E232"/>
    <mergeCell ref="D233:E233"/>
    <mergeCell ref="D224:E224"/>
    <mergeCell ref="D225:P225"/>
    <mergeCell ref="D226:E226"/>
    <mergeCell ref="D227:E227"/>
    <mergeCell ref="D228:E228"/>
    <mergeCell ref="D239:E239"/>
    <mergeCell ref="D240:E240"/>
    <mergeCell ref="D241:E241"/>
    <mergeCell ref="D242:E242"/>
    <mergeCell ref="D243:E243"/>
    <mergeCell ref="D234:E234"/>
    <mergeCell ref="D235:P235"/>
    <mergeCell ref="D236:E236"/>
    <mergeCell ref="D237:E237"/>
    <mergeCell ref="D238:E238"/>
    <mergeCell ref="D249:E249"/>
    <mergeCell ref="D250:E250"/>
    <mergeCell ref="D251:E251"/>
    <mergeCell ref="D252:E252"/>
    <mergeCell ref="D253:E253"/>
    <mergeCell ref="D244:E244"/>
    <mergeCell ref="D245:E245"/>
    <mergeCell ref="D246:E246"/>
    <mergeCell ref="D247:E247"/>
    <mergeCell ref="D248:E248"/>
    <mergeCell ref="D259:E259"/>
    <mergeCell ref="D260:E260"/>
    <mergeCell ref="D261:E261"/>
    <mergeCell ref="D262:E262"/>
    <mergeCell ref="D263:E263"/>
    <mergeCell ref="D254:E254"/>
    <mergeCell ref="D255:E255"/>
    <mergeCell ref="D256:E256"/>
    <mergeCell ref="D257:E257"/>
    <mergeCell ref="D258:E258"/>
    <mergeCell ref="D269:E269"/>
    <mergeCell ref="D270:E270"/>
    <mergeCell ref="D271:E271"/>
    <mergeCell ref="D272:E272"/>
    <mergeCell ref="D273:E273"/>
    <mergeCell ref="D264:E264"/>
    <mergeCell ref="D265:E265"/>
    <mergeCell ref="D266:E266"/>
    <mergeCell ref="D267:E267"/>
    <mergeCell ref="D268:E268"/>
    <mergeCell ref="D279:E279"/>
    <mergeCell ref="D280:E280"/>
    <mergeCell ref="D281:E281"/>
    <mergeCell ref="D282:E282"/>
    <mergeCell ref="D283:E283"/>
    <mergeCell ref="D274:E274"/>
    <mergeCell ref="D275:E275"/>
    <mergeCell ref="D276:E276"/>
    <mergeCell ref="D277:E277"/>
    <mergeCell ref="D278:E278"/>
    <mergeCell ref="D289:E289"/>
    <mergeCell ref="D290:E290"/>
    <mergeCell ref="D291:E291"/>
    <mergeCell ref="D292:E292"/>
    <mergeCell ref="D293:E293"/>
    <mergeCell ref="D284:E284"/>
    <mergeCell ref="D285:E285"/>
    <mergeCell ref="D286:E286"/>
    <mergeCell ref="D287:E287"/>
    <mergeCell ref="D288:E288"/>
    <mergeCell ref="D299:E299"/>
    <mergeCell ref="D300:E300"/>
    <mergeCell ref="D301:E301"/>
    <mergeCell ref="D302:E302"/>
    <mergeCell ref="D303:E303"/>
    <mergeCell ref="D294:E294"/>
    <mergeCell ref="D295:E295"/>
    <mergeCell ref="D296:E296"/>
    <mergeCell ref="D297:P297"/>
    <mergeCell ref="D298:E298"/>
    <mergeCell ref="D309:E309"/>
    <mergeCell ref="D310:E310"/>
    <mergeCell ref="D311:E311"/>
    <mergeCell ref="D312:E312"/>
    <mergeCell ref="D313:E313"/>
    <mergeCell ref="D304:E304"/>
    <mergeCell ref="D305:E305"/>
    <mergeCell ref="D306:E306"/>
    <mergeCell ref="D307:E307"/>
    <mergeCell ref="D308:E308"/>
    <mergeCell ref="D319:E319"/>
    <mergeCell ref="D320:E320"/>
    <mergeCell ref="D321:E321"/>
    <mergeCell ref="D322:E322"/>
    <mergeCell ref="D323:E323"/>
    <mergeCell ref="D314:E314"/>
    <mergeCell ref="D315:E315"/>
    <mergeCell ref="D316:E316"/>
    <mergeCell ref="D317:E317"/>
    <mergeCell ref="D318:E318"/>
    <mergeCell ref="D329:E329"/>
    <mergeCell ref="D330:E330"/>
    <mergeCell ref="D331:E331"/>
    <mergeCell ref="D332:E332"/>
    <mergeCell ref="D333:E333"/>
    <mergeCell ref="D324:E324"/>
    <mergeCell ref="D325:E325"/>
    <mergeCell ref="D326:E326"/>
    <mergeCell ref="D327:E327"/>
    <mergeCell ref="D328:E328"/>
    <mergeCell ref="D339:E339"/>
    <mergeCell ref="D340:E340"/>
    <mergeCell ref="D341:E341"/>
    <mergeCell ref="D342:E342"/>
    <mergeCell ref="D343:E343"/>
    <mergeCell ref="D334:E334"/>
    <mergeCell ref="D335:E335"/>
    <mergeCell ref="D336:E336"/>
    <mergeCell ref="D337:E337"/>
    <mergeCell ref="D338:E338"/>
    <mergeCell ref="D349:E349"/>
    <mergeCell ref="D350:E350"/>
    <mergeCell ref="D351:E351"/>
    <mergeCell ref="D352:E352"/>
    <mergeCell ref="D353:E353"/>
    <mergeCell ref="D344:E344"/>
    <mergeCell ref="D345:E345"/>
    <mergeCell ref="D346:E346"/>
    <mergeCell ref="D347:E347"/>
    <mergeCell ref="D348:E348"/>
    <mergeCell ref="D359:E359"/>
    <mergeCell ref="D360:E360"/>
    <mergeCell ref="D361:E361"/>
    <mergeCell ref="D362:E362"/>
    <mergeCell ref="D363:E363"/>
    <mergeCell ref="D354:E354"/>
    <mergeCell ref="D355:E355"/>
    <mergeCell ref="D356:E356"/>
    <mergeCell ref="D357:E357"/>
    <mergeCell ref="D358:E358"/>
    <mergeCell ref="D369:E369"/>
    <mergeCell ref="D370:P370"/>
    <mergeCell ref="D371:E371"/>
    <mergeCell ref="D372:E372"/>
    <mergeCell ref="D373:E373"/>
    <mergeCell ref="D364:E364"/>
    <mergeCell ref="D365:E365"/>
    <mergeCell ref="D366:E366"/>
    <mergeCell ref="D367:E367"/>
    <mergeCell ref="D368:E368"/>
    <mergeCell ref="D379:E379"/>
    <mergeCell ref="D380:E380"/>
    <mergeCell ref="D381:E381"/>
    <mergeCell ref="D382:E382"/>
    <mergeCell ref="D383:E383"/>
    <mergeCell ref="D374:E374"/>
    <mergeCell ref="D375:E375"/>
    <mergeCell ref="D376:E376"/>
    <mergeCell ref="D377:E377"/>
    <mergeCell ref="D378:E378"/>
    <mergeCell ref="D389:E389"/>
    <mergeCell ref="D390:E390"/>
    <mergeCell ref="D391:E391"/>
    <mergeCell ref="D392:E392"/>
    <mergeCell ref="D393:E393"/>
    <mergeCell ref="D384:E384"/>
    <mergeCell ref="D385:E385"/>
    <mergeCell ref="D386:E386"/>
    <mergeCell ref="D387:E387"/>
    <mergeCell ref="D388:E388"/>
    <mergeCell ref="D399:E399"/>
    <mergeCell ref="D400:E400"/>
    <mergeCell ref="D401:E401"/>
    <mergeCell ref="D402:E402"/>
    <mergeCell ref="D403:E403"/>
    <mergeCell ref="D394:E394"/>
    <mergeCell ref="D395:E395"/>
    <mergeCell ref="D396:E396"/>
    <mergeCell ref="D397:E397"/>
    <mergeCell ref="D398:E398"/>
    <mergeCell ref="D409:E409"/>
    <mergeCell ref="D410:E410"/>
    <mergeCell ref="D411:E411"/>
    <mergeCell ref="D412:E412"/>
    <mergeCell ref="D413:E413"/>
    <mergeCell ref="D404:E404"/>
    <mergeCell ref="D405:E405"/>
    <mergeCell ref="D406:E406"/>
    <mergeCell ref="D407:E407"/>
    <mergeCell ref="D408:E408"/>
    <mergeCell ref="D419:E419"/>
    <mergeCell ref="D420:E420"/>
    <mergeCell ref="D421:E421"/>
    <mergeCell ref="D422:E422"/>
    <mergeCell ref="D423:E423"/>
    <mergeCell ref="D414:E414"/>
    <mergeCell ref="D415:E415"/>
    <mergeCell ref="D416:E416"/>
    <mergeCell ref="D417:E417"/>
    <mergeCell ref="D418:E418"/>
    <mergeCell ref="D429:E429"/>
    <mergeCell ref="D430:E430"/>
    <mergeCell ref="D431:E431"/>
    <mergeCell ref="D432:E432"/>
    <mergeCell ref="D433:E433"/>
    <mergeCell ref="D424:E424"/>
    <mergeCell ref="D425:E425"/>
    <mergeCell ref="D426:E426"/>
    <mergeCell ref="D427:E427"/>
    <mergeCell ref="D428:E428"/>
    <mergeCell ref="D439:E439"/>
    <mergeCell ref="D440:E440"/>
    <mergeCell ref="D441:E441"/>
    <mergeCell ref="D442:E442"/>
    <mergeCell ref="D443:P443"/>
    <mergeCell ref="D434:E434"/>
    <mergeCell ref="D435:E435"/>
    <mergeCell ref="D436:E436"/>
    <mergeCell ref="D437:E437"/>
    <mergeCell ref="D438:E438"/>
    <mergeCell ref="D449:E449"/>
    <mergeCell ref="D450:E450"/>
    <mergeCell ref="D451:E451"/>
    <mergeCell ref="D452:E452"/>
    <mergeCell ref="D453:E453"/>
    <mergeCell ref="D444:E444"/>
    <mergeCell ref="D445:E445"/>
    <mergeCell ref="D446:E446"/>
    <mergeCell ref="D447:E447"/>
    <mergeCell ref="D448:E448"/>
    <mergeCell ref="D459:E459"/>
    <mergeCell ref="D460:E460"/>
    <mergeCell ref="D461:E461"/>
    <mergeCell ref="D462:E462"/>
    <mergeCell ref="D463:E463"/>
    <mergeCell ref="D454:E454"/>
    <mergeCell ref="D455:E455"/>
    <mergeCell ref="D456:E456"/>
    <mergeCell ref="D457:E457"/>
    <mergeCell ref="D458:E458"/>
    <mergeCell ref="D469:E469"/>
    <mergeCell ref="D470:E470"/>
    <mergeCell ref="D471:E471"/>
    <mergeCell ref="D472:E472"/>
    <mergeCell ref="D473:E473"/>
    <mergeCell ref="D464:E464"/>
    <mergeCell ref="D465:E465"/>
    <mergeCell ref="D466:E466"/>
    <mergeCell ref="D467:E467"/>
    <mergeCell ref="D468:E468"/>
    <mergeCell ref="D479:E479"/>
    <mergeCell ref="D480:E480"/>
    <mergeCell ref="D481:E481"/>
    <mergeCell ref="D482:E482"/>
    <mergeCell ref="D483:E483"/>
    <mergeCell ref="D474:E474"/>
    <mergeCell ref="D475:E475"/>
    <mergeCell ref="D476:E476"/>
    <mergeCell ref="D477:E477"/>
    <mergeCell ref="D478:E478"/>
    <mergeCell ref="D489:E489"/>
    <mergeCell ref="D490:E490"/>
    <mergeCell ref="D491:E491"/>
    <mergeCell ref="D492:E492"/>
    <mergeCell ref="D493:E493"/>
    <mergeCell ref="D484:E484"/>
    <mergeCell ref="D485:E485"/>
    <mergeCell ref="D486:E486"/>
    <mergeCell ref="D487:E487"/>
    <mergeCell ref="D488:E488"/>
    <mergeCell ref="D499:E499"/>
    <mergeCell ref="D500:E500"/>
    <mergeCell ref="D501:E501"/>
    <mergeCell ref="D502:E502"/>
    <mergeCell ref="D503:E503"/>
    <mergeCell ref="D494:E494"/>
    <mergeCell ref="D495:E495"/>
    <mergeCell ref="D496:E496"/>
    <mergeCell ref="D497:E497"/>
    <mergeCell ref="D498:E498"/>
    <mergeCell ref="D509:E509"/>
    <mergeCell ref="D510:E510"/>
    <mergeCell ref="D511:E511"/>
    <mergeCell ref="D512:E512"/>
    <mergeCell ref="D513:E513"/>
    <mergeCell ref="D504:E504"/>
    <mergeCell ref="D505:E505"/>
    <mergeCell ref="D506:E506"/>
    <mergeCell ref="D507:E507"/>
    <mergeCell ref="D508:E508"/>
    <mergeCell ref="D519:E519"/>
    <mergeCell ref="D520:E520"/>
    <mergeCell ref="D521:E521"/>
    <mergeCell ref="D522:E522"/>
    <mergeCell ref="D523:E523"/>
    <mergeCell ref="D514:E514"/>
    <mergeCell ref="D515:E515"/>
    <mergeCell ref="D516:P516"/>
    <mergeCell ref="D517:E517"/>
    <mergeCell ref="D518:E518"/>
    <mergeCell ref="D529:E529"/>
    <mergeCell ref="D530:E530"/>
    <mergeCell ref="D531:E531"/>
    <mergeCell ref="D532:E532"/>
    <mergeCell ref="D533:E533"/>
    <mergeCell ref="D524:E524"/>
    <mergeCell ref="D525:E525"/>
    <mergeCell ref="D526:E526"/>
    <mergeCell ref="D527:E527"/>
    <mergeCell ref="D528:E528"/>
    <mergeCell ref="D539:E539"/>
    <mergeCell ref="D540:E540"/>
    <mergeCell ref="D541:E541"/>
    <mergeCell ref="D542:E542"/>
    <mergeCell ref="D543:E543"/>
    <mergeCell ref="D534:E534"/>
    <mergeCell ref="D535:E535"/>
    <mergeCell ref="D536:E536"/>
    <mergeCell ref="D537:E537"/>
    <mergeCell ref="D538:E538"/>
    <mergeCell ref="D549:E549"/>
    <mergeCell ref="D550:E550"/>
    <mergeCell ref="D551:E551"/>
    <mergeCell ref="D552:E552"/>
    <mergeCell ref="D553:E553"/>
    <mergeCell ref="D544:E544"/>
    <mergeCell ref="D545:E545"/>
    <mergeCell ref="D546:E546"/>
    <mergeCell ref="D547:E547"/>
    <mergeCell ref="D548:E548"/>
    <mergeCell ref="D559:E559"/>
    <mergeCell ref="D560:E560"/>
    <mergeCell ref="D561:E561"/>
    <mergeCell ref="D562:E562"/>
    <mergeCell ref="D563:E563"/>
    <mergeCell ref="D554:E554"/>
    <mergeCell ref="D555:E555"/>
    <mergeCell ref="D556:E556"/>
    <mergeCell ref="D557:E557"/>
    <mergeCell ref="D558:E558"/>
    <mergeCell ref="D569:E569"/>
    <mergeCell ref="D570:E570"/>
    <mergeCell ref="D571:E571"/>
    <mergeCell ref="D572:E572"/>
    <mergeCell ref="D573:E573"/>
    <mergeCell ref="D564:E564"/>
    <mergeCell ref="D565:E565"/>
    <mergeCell ref="D566:E566"/>
    <mergeCell ref="D567:E567"/>
    <mergeCell ref="D568:E568"/>
    <mergeCell ref="D579:E579"/>
    <mergeCell ref="D580:E580"/>
    <mergeCell ref="D581:E581"/>
    <mergeCell ref="D582:E582"/>
    <mergeCell ref="D583:E583"/>
    <mergeCell ref="D574:E574"/>
    <mergeCell ref="D575:E575"/>
    <mergeCell ref="D576:E576"/>
    <mergeCell ref="D577:E577"/>
    <mergeCell ref="D578:E578"/>
    <mergeCell ref="D589:E589"/>
    <mergeCell ref="D590:P590"/>
    <mergeCell ref="D591:E591"/>
    <mergeCell ref="D592:P592"/>
    <mergeCell ref="D593:E593"/>
    <mergeCell ref="D584:E584"/>
    <mergeCell ref="D585:E585"/>
    <mergeCell ref="D586:E586"/>
    <mergeCell ref="D587:E587"/>
    <mergeCell ref="D588:E588"/>
    <mergeCell ref="D599:E599"/>
    <mergeCell ref="D600:E600"/>
    <mergeCell ref="D601:E601"/>
    <mergeCell ref="D602:E602"/>
    <mergeCell ref="D603:E603"/>
    <mergeCell ref="D594:P594"/>
    <mergeCell ref="D595:E595"/>
    <mergeCell ref="D596:E596"/>
    <mergeCell ref="D597:E597"/>
    <mergeCell ref="D598:E598"/>
    <mergeCell ref="D609:P609"/>
    <mergeCell ref="D610:E610"/>
    <mergeCell ref="D611:E611"/>
    <mergeCell ref="D612:E612"/>
    <mergeCell ref="D613:P613"/>
    <mergeCell ref="D604:E604"/>
    <mergeCell ref="D605:E605"/>
    <mergeCell ref="D606:E606"/>
    <mergeCell ref="D607:E607"/>
    <mergeCell ref="D608:E608"/>
    <mergeCell ref="D619:E619"/>
    <mergeCell ref="D620:E620"/>
    <mergeCell ref="D621:E621"/>
    <mergeCell ref="D622:P622"/>
    <mergeCell ref="D623:E623"/>
    <mergeCell ref="D614:E614"/>
    <mergeCell ref="D615:E615"/>
    <mergeCell ref="D616:E616"/>
    <mergeCell ref="D617:E617"/>
    <mergeCell ref="D618:E618"/>
    <mergeCell ref="D629:P629"/>
    <mergeCell ref="D630:E630"/>
    <mergeCell ref="D631:P631"/>
    <mergeCell ref="D632:E632"/>
    <mergeCell ref="D633:E633"/>
    <mergeCell ref="D624:P624"/>
    <mergeCell ref="D625:E625"/>
    <mergeCell ref="D626:E626"/>
    <mergeCell ref="D627:P627"/>
    <mergeCell ref="D628:E628"/>
    <mergeCell ref="D639:E639"/>
    <mergeCell ref="D640:P640"/>
    <mergeCell ref="D641:E641"/>
    <mergeCell ref="D642:E642"/>
    <mergeCell ref="D643:E643"/>
    <mergeCell ref="D634:E634"/>
    <mergeCell ref="D635:E635"/>
    <mergeCell ref="D636:P636"/>
    <mergeCell ref="D637:E637"/>
    <mergeCell ref="D638:E638"/>
    <mergeCell ref="A655:P655"/>
    <mergeCell ref="D649:E649"/>
    <mergeCell ref="D650:E650"/>
    <mergeCell ref="D651:E651"/>
    <mergeCell ref="D652:E652"/>
    <mergeCell ref="J653:K653"/>
    <mergeCell ref="D644:E644"/>
    <mergeCell ref="D645:E645"/>
    <mergeCell ref="D646:E646"/>
    <mergeCell ref="D647:E647"/>
    <mergeCell ref="D648:E648"/>
  </mergeCells>
  <pageMargins left="0.393999993801117" right="0.393999993801117" top="0.59100002050399802" bottom="0.59100002050399802"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Rekapitulace</vt:lpstr>
      <vt:lpstr>Krycí list rozpočtu</vt:lpstr>
      <vt:lpstr>Slepý stavební rozpočet</vt:lpstr>
      <vt:lpstr>MaR</vt:lpstr>
      <vt:lpstr>VORN</vt:lpstr>
      <vt:lpstr>Stavební rozpočet</vt:lpstr>
      <vt:lpstr>MaR!Názvy_tisku</vt:lpstr>
      <vt:lpstr>MaR!Oblast_tisku</vt:lpstr>
      <vt:lpstr>vorn_sum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Marek Hrbotický</cp:lastModifiedBy>
  <dcterms:created xsi:type="dcterms:W3CDTF">2021-06-10T20:06:38Z</dcterms:created>
  <dcterms:modified xsi:type="dcterms:W3CDTF">2025-01-30T08:58:36Z</dcterms:modified>
</cp:coreProperties>
</file>