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SOBNÍ\SICK DAY a Náhradní volno\"/>
    </mc:Choice>
  </mc:AlternateContent>
  <bookViews>
    <workbookView xWindow="288" yWindow="516" windowWidth="21756" windowHeight="9744"/>
  </bookViews>
  <sheets>
    <sheet name="Rozpočet - podskupiny" sheetId="1" r:id="rId1"/>
    <sheet name="Stavební rozpočet" sheetId="2" r:id="rId2"/>
  </sheets>
  <externalReferences>
    <externalReference r:id="rId3"/>
  </externalReferences>
  <definedNames>
    <definedName name="_xlnm.Print_Titles" localSheetId="1">'Stavební rozpočet'!$10:$12</definedName>
  </definedNames>
  <calcPr calcId="162913"/>
</workbook>
</file>

<file path=xl/calcChain.xml><?xml version="1.0" encoding="utf-8"?>
<calcChain xmlns="http://schemas.openxmlformats.org/spreadsheetml/2006/main">
  <c r="H6" i="1" l="1"/>
  <c r="C8" i="1" l="1"/>
  <c r="C4" i="1"/>
  <c r="BU248" i="2" l="1"/>
  <c r="BS248" i="2"/>
  <c r="BH248" i="2"/>
  <c r="BB248" i="2"/>
  <c r="AN248" i="2"/>
  <c r="AV248" i="2" s="1"/>
  <c r="AM248" i="2"/>
  <c r="BF248" i="2" s="1"/>
  <c r="AI248" i="2"/>
  <c r="AH248" i="2"/>
  <c r="AF248" i="2"/>
  <c r="AE248" i="2"/>
  <c r="AD248" i="2"/>
  <c r="AC248" i="2"/>
  <c r="AB248" i="2"/>
  <c r="AA248" i="2"/>
  <c r="Z248" i="2"/>
  <c r="X248" i="2"/>
  <c r="M248" i="2"/>
  <c r="K248" i="2"/>
  <c r="AJ248" i="2" s="1"/>
  <c r="BU247" i="2"/>
  <c r="BS247" i="2"/>
  <c r="BH247" i="2"/>
  <c r="BB247" i="2"/>
  <c r="AN247" i="2"/>
  <c r="AV247" i="2" s="1"/>
  <c r="AM247" i="2"/>
  <c r="AU247" i="2" s="1"/>
  <c r="AI247" i="2"/>
  <c r="AH247" i="2"/>
  <c r="AF247" i="2"/>
  <c r="AE247" i="2"/>
  <c r="AD247" i="2"/>
  <c r="AC247" i="2"/>
  <c r="AB247" i="2"/>
  <c r="AA247" i="2"/>
  <c r="Z247" i="2"/>
  <c r="X247" i="2"/>
  <c r="M247" i="2"/>
  <c r="K247" i="2"/>
  <c r="BU242" i="2"/>
  <c r="BH242" i="2"/>
  <c r="BB242" i="2"/>
  <c r="AN242" i="2"/>
  <c r="AV242" i="2" s="1"/>
  <c r="AM242" i="2"/>
  <c r="AU242" i="2" s="1"/>
  <c r="AI242" i="2"/>
  <c r="AR241" i="2" s="1"/>
  <c r="AH242" i="2"/>
  <c r="AQ241" i="2" s="1"/>
  <c r="AF242" i="2"/>
  <c r="AE242" i="2"/>
  <c r="AD242" i="2"/>
  <c r="AC242" i="2"/>
  <c r="AB242" i="2"/>
  <c r="X242" i="2"/>
  <c r="M242" i="2"/>
  <c r="BD242" i="2" s="1"/>
  <c r="K242" i="2"/>
  <c r="AJ242" i="2" s="1"/>
  <c r="AS241" i="2" s="1"/>
  <c r="BU240" i="2"/>
  <c r="BH240" i="2"/>
  <c r="X240" i="2" s="1"/>
  <c r="BB240" i="2"/>
  <c r="AN240" i="2"/>
  <c r="BG240" i="2" s="1"/>
  <c r="AM240" i="2"/>
  <c r="BF240" i="2" s="1"/>
  <c r="AI240" i="2"/>
  <c r="AH240" i="2"/>
  <c r="AF240" i="2"/>
  <c r="AE240" i="2"/>
  <c r="AD240" i="2"/>
  <c r="AC240" i="2"/>
  <c r="AB240" i="2"/>
  <c r="AA240" i="2"/>
  <c r="Z240" i="2"/>
  <c r="M240" i="2"/>
  <c r="BD240" i="2" s="1"/>
  <c r="K240" i="2"/>
  <c r="AJ240" i="2" s="1"/>
  <c r="BU237" i="2"/>
  <c r="BH237" i="2"/>
  <c r="BB237" i="2"/>
  <c r="AN237" i="2"/>
  <c r="AV237" i="2" s="1"/>
  <c r="AM237" i="2"/>
  <c r="BF237" i="2" s="1"/>
  <c r="AB237" i="2" s="1"/>
  <c r="AI237" i="2"/>
  <c r="AH237" i="2"/>
  <c r="AF237" i="2"/>
  <c r="AE237" i="2"/>
  <c r="AD237" i="2"/>
  <c r="AA237" i="2"/>
  <c r="Z237" i="2"/>
  <c r="X237" i="2"/>
  <c r="M237" i="2"/>
  <c r="BD237" i="2" s="1"/>
  <c r="K237" i="2"/>
  <c r="BU234" i="2"/>
  <c r="BH234" i="2"/>
  <c r="BB234" i="2"/>
  <c r="AN234" i="2"/>
  <c r="BG234" i="2" s="1"/>
  <c r="AC234" i="2" s="1"/>
  <c r="AM234" i="2"/>
  <c r="BF234" i="2" s="1"/>
  <c r="AB234" i="2" s="1"/>
  <c r="AI234" i="2"/>
  <c r="AH234" i="2"/>
  <c r="AF234" i="2"/>
  <c r="AE234" i="2"/>
  <c r="AD234" i="2"/>
  <c r="AA234" i="2"/>
  <c r="Z234" i="2"/>
  <c r="X234" i="2"/>
  <c r="M234" i="2"/>
  <c r="BD234" i="2" s="1"/>
  <c r="K234" i="2"/>
  <c r="AJ234" i="2" s="1"/>
  <c r="BU232" i="2"/>
  <c r="BH232" i="2"/>
  <c r="BB232" i="2"/>
  <c r="AN232" i="2"/>
  <c r="AV232" i="2" s="1"/>
  <c r="AM232" i="2"/>
  <c r="BF232" i="2" s="1"/>
  <c r="AB232" i="2" s="1"/>
  <c r="AI232" i="2"/>
  <c r="AH232" i="2"/>
  <c r="AF232" i="2"/>
  <c r="AE232" i="2"/>
  <c r="AD232" i="2"/>
  <c r="AA232" i="2"/>
  <c r="Z232" i="2"/>
  <c r="X232" i="2"/>
  <c r="M232" i="2"/>
  <c r="BD232" i="2" s="1"/>
  <c r="K232" i="2"/>
  <c r="BU229" i="2"/>
  <c r="BH229" i="2"/>
  <c r="BB229" i="2"/>
  <c r="AN229" i="2"/>
  <c r="BG229" i="2" s="1"/>
  <c r="AC229" i="2" s="1"/>
  <c r="AM229" i="2"/>
  <c r="BF229" i="2" s="1"/>
  <c r="AB229" i="2" s="1"/>
  <c r="AI229" i="2"/>
  <c r="AH229" i="2"/>
  <c r="AF229" i="2"/>
  <c r="AE229" i="2"/>
  <c r="AD229" i="2"/>
  <c r="AA229" i="2"/>
  <c r="Z229" i="2"/>
  <c r="X229" i="2"/>
  <c r="M229" i="2"/>
  <c r="BD229" i="2" s="1"/>
  <c r="K229" i="2"/>
  <c r="AJ229" i="2" s="1"/>
  <c r="BU226" i="2"/>
  <c r="BH226" i="2"/>
  <c r="BB226" i="2"/>
  <c r="AN226" i="2"/>
  <c r="AM226" i="2"/>
  <c r="AU226" i="2" s="1"/>
  <c r="AI226" i="2"/>
  <c r="AH226" i="2"/>
  <c r="AF226" i="2"/>
  <c r="AE226" i="2"/>
  <c r="AD226" i="2"/>
  <c r="AA226" i="2"/>
  <c r="Z226" i="2"/>
  <c r="X226" i="2"/>
  <c r="M226" i="2"/>
  <c r="BD226" i="2" s="1"/>
  <c r="K226" i="2"/>
  <c r="AJ226" i="2" s="1"/>
  <c r="BU224" i="2"/>
  <c r="BH224" i="2"/>
  <c r="BB224" i="2"/>
  <c r="AN224" i="2"/>
  <c r="BG224" i="2" s="1"/>
  <c r="AC224" i="2" s="1"/>
  <c r="AM224" i="2"/>
  <c r="BF224" i="2" s="1"/>
  <c r="AB224" i="2" s="1"/>
  <c r="AI224" i="2"/>
  <c r="AH224" i="2"/>
  <c r="AF224" i="2"/>
  <c r="AE224" i="2"/>
  <c r="AD224" i="2"/>
  <c r="AA224" i="2"/>
  <c r="Z224" i="2"/>
  <c r="X224" i="2"/>
  <c r="M224" i="2"/>
  <c r="BD224" i="2" s="1"/>
  <c r="K224" i="2"/>
  <c r="BU222" i="2"/>
  <c r="BH222" i="2"/>
  <c r="X222" i="2" s="1"/>
  <c r="BB222" i="2"/>
  <c r="AN222" i="2"/>
  <c r="AM222" i="2"/>
  <c r="AU222" i="2" s="1"/>
  <c r="AI222" i="2"/>
  <c r="AH222" i="2"/>
  <c r="AF222" i="2"/>
  <c r="AE222" i="2"/>
  <c r="AD222" i="2"/>
  <c r="AC222" i="2"/>
  <c r="AB222" i="2"/>
  <c r="AA222" i="2"/>
  <c r="Z222" i="2"/>
  <c r="M222" i="2"/>
  <c r="BD222" i="2" s="1"/>
  <c r="K222" i="2"/>
  <c r="AJ222" i="2" s="1"/>
  <c r="BU219" i="2"/>
  <c r="BH219" i="2"/>
  <c r="BB219" i="2"/>
  <c r="AN219" i="2"/>
  <c r="BG219" i="2" s="1"/>
  <c r="AC219" i="2" s="1"/>
  <c r="AM219" i="2"/>
  <c r="BF219" i="2" s="1"/>
  <c r="AB219" i="2" s="1"/>
  <c r="AI219" i="2"/>
  <c r="AH219" i="2"/>
  <c r="AF219" i="2"/>
  <c r="AE219" i="2"/>
  <c r="AD219" i="2"/>
  <c r="AA219" i="2"/>
  <c r="Z219" i="2"/>
  <c r="X219" i="2"/>
  <c r="M219" i="2"/>
  <c r="BD219" i="2" s="1"/>
  <c r="K219" i="2"/>
  <c r="AJ219" i="2" s="1"/>
  <c r="BU217" i="2"/>
  <c r="BH217" i="2"/>
  <c r="BB217" i="2"/>
  <c r="AN217" i="2"/>
  <c r="AV217" i="2" s="1"/>
  <c r="AM217" i="2"/>
  <c r="AU217" i="2" s="1"/>
  <c r="AI217" i="2"/>
  <c r="AH217" i="2"/>
  <c r="AF217" i="2"/>
  <c r="AE217" i="2"/>
  <c r="AD217" i="2"/>
  <c r="AA217" i="2"/>
  <c r="Z217" i="2"/>
  <c r="X217" i="2"/>
  <c r="M217" i="2"/>
  <c r="BD217" i="2" s="1"/>
  <c r="K217" i="2"/>
  <c r="BU215" i="2"/>
  <c r="BH215" i="2"/>
  <c r="BB215" i="2"/>
  <c r="AN215" i="2"/>
  <c r="BG215" i="2" s="1"/>
  <c r="AC215" i="2" s="1"/>
  <c r="AM215" i="2"/>
  <c r="BF215" i="2" s="1"/>
  <c r="AB215" i="2" s="1"/>
  <c r="AI215" i="2"/>
  <c r="AH215" i="2"/>
  <c r="AF215" i="2"/>
  <c r="AE215" i="2"/>
  <c r="AD215" i="2"/>
  <c r="AA215" i="2"/>
  <c r="Z215" i="2"/>
  <c r="X215" i="2"/>
  <c r="M215" i="2"/>
  <c r="BD215" i="2" s="1"/>
  <c r="K215" i="2"/>
  <c r="BU213" i="2"/>
  <c r="BH213" i="2"/>
  <c r="BB213" i="2"/>
  <c r="AN213" i="2"/>
  <c r="AV213" i="2" s="1"/>
  <c r="AM213" i="2"/>
  <c r="AU213" i="2" s="1"/>
  <c r="AI213" i="2"/>
  <c r="AH213" i="2"/>
  <c r="AF213" i="2"/>
  <c r="AE213" i="2"/>
  <c r="AD213" i="2"/>
  <c r="AA213" i="2"/>
  <c r="Z213" i="2"/>
  <c r="X213" i="2"/>
  <c r="M213" i="2"/>
  <c r="BD213" i="2" s="1"/>
  <c r="K213" i="2"/>
  <c r="BU204" i="2"/>
  <c r="BH204" i="2"/>
  <c r="BB204" i="2"/>
  <c r="AN204" i="2"/>
  <c r="BG204" i="2" s="1"/>
  <c r="AC204" i="2" s="1"/>
  <c r="AM204" i="2"/>
  <c r="BF204" i="2" s="1"/>
  <c r="AB204" i="2" s="1"/>
  <c r="AI204" i="2"/>
  <c r="AH204" i="2"/>
  <c r="AF204" i="2"/>
  <c r="AE204" i="2"/>
  <c r="AD204" i="2"/>
  <c r="AA204" i="2"/>
  <c r="Z204" i="2"/>
  <c r="X204" i="2"/>
  <c r="M204" i="2"/>
  <c r="BD204" i="2" s="1"/>
  <c r="K204" i="2"/>
  <c r="BU202" i="2"/>
  <c r="BH202" i="2"/>
  <c r="X202" i="2" s="1"/>
  <c r="BB202" i="2"/>
  <c r="AN202" i="2"/>
  <c r="AM202" i="2"/>
  <c r="I202" i="2" s="1"/>
  <c r="AI202" i="2"/>
  <c r="AH202" i="2"/>
  <c r="AF202" i="2"/>
  <c r="AE202" i="2"/>
  <c r="AD202" i="2"/>
  <c r="AC202" i="2"/>
  <c r="AB202" i="2"/>
  <c r="AA202" i="2"/>
  <c r="Z202" i="2"/>
  <c r="M202" i="2"/>
  <c r="BD202" i="2" s="1"/>
  <c r="K202" i="2"/>
  <c r="AJ202" i="2" s="1"/>
  <c r="BU197" i="2"/>
  <c r="BH197" i="2"/>
  <c r="BB197" i="2"/>
  <c r="AN197" i="2"/>
  <c r="BG197" i="2" s="1"/>
  <c r="AC197" i="2" s="1"/>
  <c r="AM197" i="2"/>
  <c r="BF197" i="2" s="1"/>
  <c r="AB197" i="2" s="1"/>
  <c r="AI197" i="2"/>
  <c r="AH197" i="2"/>
  <c r="AF197" i="2"/>
  <c r="AE197" i="2"/>
  <c r="AD197" i="2"/>
  <c r="AA197" i="2"/>
  <c r="Z197" i="2"/>
  <c r="X197" i="2"/>
  <c r="M197" i="2"/>
  <c r="BD197" i="2" s="1"/>
  <c r="K197" i="2"/>
  <c r="AJ197" i="2" s="1"/>
  <c r="BU193" i="2"/>
  <c r="BH193" i="2"/>
  <c r="BB193" i="2"/>
  <c r="AN193" i="2"/>
  <c r="AM193" i="2"/>
  <c r="AU193" i="2" s="1"/>
  <c r="AI193" i="2"/>
  <c r="AH193" i="2"/>
  <c r="AF193" i="2"/>
  <c r="AE193" i="2"/>
  <c r="AD193" i="2"/>
  <c r="AA193" i="2"/>
  <c r="Z193" i="2"/>
  <c r="X193" i="2"/>
  <c r="M193" i="2"/>
  <c r="BD193" i="2" s="1"/>
  <c r="K193" i="2"/>
  <c r="BU188" i="2"/>
  <c r="BH188" i="2"/>
  <c r="BB188" i="2"/>
  <c r="AN188" i="2"/>
  <c r="BG188" i="2" s="1"/>
  <c r="AC188" i="2" s="1"/>
  <c r="AM188" i="2"/>
  <c r="BF188" i="2" s="1"/>
  <c r="AB188" i="2" s="1"/>
  <c r="AI188" i="2"/>
  <c r="AH188" i="2"/>
  <c r="AF188" i="2"/>
  <c r="AE188" i="2"/>
  <c r="AD188" i="2"/>
  <c r="AA188" i="2"/>
  <c r="Z188" i="2"/>
  <c r="X188" i="2"/>
  <c r="M188" i="2"/>
  <c r="BD188" i="2" s="1"/>
  <c r="K188" i="2"/>
  <c r="AJ188" i="2" s="1"/>
  <c r="BU184" i="2"/>
  <c r="BH184" i="2"/>
  <c r="BB184" i="2"/>
  <c r="AN184" i="2"/>
  <c r="AV184" i="2" s="1"/>
  <c r="AM184" i="2"/>
  <c r="BF184" i="2" s="1"/>
  <c r="AB184" i="2" s="1"/>
  <c r="AI184" i="2"/>
  <c r="AH184" i="2"/>
  <c r="AF184" i="2"/>
  <c r="AE184" i="2"/>
  <c r="AD184" i="2"/>
  <c r="AA184" i="2"/>
  <c r="Z184" i="2"/>
  <c r="X184" i="2"/>
  <c r="M184" i="2"/>
  <c r="BD184" i="2" s="1"/>
  <c r="K184" i="2"/>
  <c r="AJ184" i="2" s="1"/>
  <c r="BU180" i="2"/>
  <c r="BH180" i="2"/>
  <c r="BB180" i="2"/>
  <c r="AN180" i="2"/>
  <c r="BG180" i="2" s="1"/>
  <c r="AC180" i="2" s="1"/>
  <c r="AM180" i="2"/>
  <c r="BF180" i="2" s="1"/>
  <c r="AB180" i="2" s="1"/>
  <c r="AI180" i="2"/>
  <c r="AH180" i="2"/>
  <c r="AF180" i="2"/>
  <c r="AE180" i="2"/>
  <c r="AD180" i="2"/>
  <c r="AA180" i="2"/>
  <c r="Z180" i="2"/>
  <c r="X180" i="2"/>
  <c r="M180" i="2"/>
  <c r="K180" i="2"/>
  <c r="AJ180" i="2" s="1"/>
  <c r="BU176" i="2"/>
  <c r="BH176" i="2"/>
  <c r="BB176" i="2"/>
  <c r="AN176" i="2"/>
  <c r="AV176" i="2" s="1"/>
  <c r="AM176" i="2"/>
  <c r="AU176" i="2" s="1"/>
  <c r="AI176" i="2"/>
  <c r="AH176" i="2"/>
  <c r="AF176" i="2"/>
  <c r="AE176" i="2"/>
  <c r="AD176" i="2"/>
  <c r="AA176" i="2"/>
  <c r="Z176" i="2"/>
  <c r="X176" i="2"/>
  <c r="M176" i="2"/>
  <c r="BD176" i="2" s="1"/>
  <c r="K176" i="2"/>
  <c r="AJ176" i="2" s="1"/>
  <c r="BU174" i="2"/>
  <c r="BH174" i="2"/>
  <c r="X174" i="2" s="1"/>
  <c r="BB174" i="2"/>
  <c r="AN174" i="2"/>
  <c r="BG174" i="2" s="1"/>
  <c r="AM174" i="2"/>
  <c r="BF174" i="2" s="1"/>
  <c r="AI174" i="2"/>
  <c r="AH174" i="2"/>
  <c r="AF174" i="2"/>
  <c r="AE174" i="2"/>
  <c r="AD174" i="2"/>
  <c r="AC174" i="2"/>
  <c r="AB174" i="2"/>
  <c r="AA174" i="2"/>
  <c r="Z174" i="2"/>
  <c r="M174" i="2"/>
  <c r="BD174" i="2" s="1"/>
  <c r="K174" i="2"/>
  <c r="AJ174" i="2" s="1"/>
  <c r="BU173" i="2"/>
  <c r="BH173" i="2"/>
  <c r="BB173" i="2"/>
  <c r="AN173" i="2"/>
  <c r="AV173" i="2" s="1"/>
  <c r="AM173" i="2"/>
  <c r="BF173" i="2" s="1"/>
  <c r="AB173" i="2" s="1"/>
  <c r="AI173" i="2"/>
  <c r="AH173" i="2"/>
  <c r="AF173" i="2"/>
  <c r="AE173" i="2"/>
  <c r="AD173" i="2"/>
  <c r="AA173" i="2"/>
  <c r="Z173" i="2"/>
  <c r="X173" i="2"/>
  <c r="M173" i="2"/>
  <c r="BD173" i="2" s="1"/>
  <c r="K173" i="2"/>
  <c r="AJ173" i="2" s="1"/>
  <c r="BU164" i="2"/>
  <c r="BH164" i="2"/>
  <c r="BB164" i="2"/>
  <c r="AN164" i="2"/>
  <c r="BG164" i="2" s="1"/>
  <c r="AC164" i="2" s="1"/>
  <c r="AM164" i="2"/>
  <c r="BF164" i="2" s="1"/>
  <c r="AB164" i="2" s="1"/>
  <c r="AI164" i="2"/>
  <c r="AH164" i="2"/>
  <c r="AF164" i="2"/>
  <c r="AE164" i="2"/>
  <c r="AD164" i="2"/>
  <c r="AA164" i="2"/>
  <c r="Z164" i="2"/>
  <c r="X164" i="2"/>
  <c r="M164" i="2"/>
  <c r="BD164" i="2" s="1"/>
  <c r="K164" i="2"/>
  <c r="AJ164" i="2" s="1"/>
  <c r="BU163" i="2"/>
  <c r="BH163" i="2"/>
  <c r="BB163" i="2"/>
  <c r="AN163" i="2"/>
  <c r="AM163" i="2"/>
  <c r="AU163" i="2" s="1"/>
  <c r="AI163" i="2"/>
  <c r="AH163" i="2"/>
  <c r="AF163" i="2"/>
  <c r="AE163" i="2"/>
  <c r="AD163" i="2"/>
  <c r="AA163" i="2"/>
  <c r="Z163" i="2"/>
  <c r="X163" i="2"/>
  <c r="M163" i="2"/>
  <c r="BD163" i="2" s="1"/>
  <c r="K163" i="2"/>
  <c r="AJ163" i="2" s="1"/>
  <c r="BU162" i="2"/>
  <c r="BH162" i="2"/>
  <c r="BB162" i="2"/>
  <c r="AN162" i="2"/>
  <c r="BG162" i="2" s="1"/>
  <c r="AC162" i="2" s="1"/>
  <c r="AM162" i="2"/>
  <c r="BF162" i="2" s="1"/>
  <c r="AB162" i="2" s="1"/>
  <c r="AI162" i="2"/>
  <c r="AH162" i="2"/>
  <c r="AF162" i="2"/>
  <c r="AE162" i="2"/>
  <c r="AD162" i="2"/>
  <c r="AA162" i="2"/>
  <c r="Z162" i="2"/>
  <c r="X162" i="2"/>
  <c r="M162" i="2"/>
  <c r="BD162" i="2" s="1"/>
  <c r="K162" i="2"/>
  <c r="BU159" i="2"/>
  <c r="BH159" i="2"/>
  <c r="BB159" i="2"/>
  <c r="AN159" i="2"/>
  <c r="AV159" i="2" s="1"/>
  <c r="AM159" i="2"/>
  <c r="BF159" i="2" s="1"/>
  <c r="AB159" i="2" s="1"/>
  <c r="AI159" i="2"/>
  <c r="AH159" i="2"/>
  <c r="AF159" i="2"/>
  <c r="AE159" i="2"/>
  <c r="AD159" i="2"/>
  <c r="AA159" i="2"/>
  <c r="Z159" i="2"/>
  <c r="X159" i="2"/>
  <c r="M159" i="2"/>
  <c r="BD159" i="2" s="1"/>
  <c r="K159" i="2"/>
  <c r="AJ159" i="2" s="1"/>
  <c r="BU158" i="2"/>
  <c r="BH158" i="2"/>
  <c r="BB158" i="2"/>
  <c r="AN158" i="2"/>
  <c r="BG158" i="2" s="1"/>
  <c r="AC158" i="2" s="1"/>
  <c r="AM158" i="2"/>
  <c r="BF158" i="2" s="1"/>
  <c r="AB158" i="2" s="1"/>
  <c r="AI158" i="2"/>
  <c r="AH158" i="2"/>
  <c r="AF158" i="2"/>
  <c r="AE158" i="2"/>
  <c r="AD158" i="2"/>
  <c r="AA158" i="2"/>
  <c r="Z158" i="2"/>
  <c r="X158" i="2"/>
  <c r="M158" i="2"/>
  <c r="BD158" i="2" s="1"/>
  <c r="K158" i="2"/>
  <c r="AJ158" i="2" s="1"/>
  <c r="BU157" i="2"/>
  <c r="BH157" i="2"/>
  <c r="BB157" i="2"/>
  <c r="AN157" i="2"/>
  <c r="AV157" i="2" s="1"/>
  <c r="AM157" i="2"/>
  <c r="AU157" i="2" s="1"/>
  <c r="AI157" i="2"/>
  <c r="AH157" i="2"/>
  <c r="AF157" i="2"/>
  <c r="AE157" i="2"/>
  <c r="AD157" i="2"/>
  <c r="AA157" i="2"/>
  <c r="Z157" i="2"/>
  <c r="X157" i="2"/>
  <c r="M157" i="2"/>
  <c r="BD157" i="2" s="1"/>
  <c r="K157" i="2"/>
  <c r="AJ157" i="2" s="1"/>
  <c r="BU154" i="2"/>
  <c r="BH154" i="2"/>
  <c r="BB154" i="2"/>
  <c r="AN154" i="2"/>
  <c r="BG154" i="2" s="1"/>
  <c r="AC154" i="2" s="1"/>
  <c r="AM154" i="2"/>
  <c r="BF154" i="2" s="1"/>
  <c r="AB154" i="2" s="1"/>
  <c r="AI154" i="2"/>
  <c r="AH154" i="2"/>
  <c r="AF154" i="2"/>
  <c r="AE154" i="2"/>
  <c r="AD154" i="2"/>
  <c r="AA154" i="2"/>
  <c r="Z154" i="2"/>
  <c r="X154" i="2"/>
  <c r="M154" i="2"/>
  <c r="BD154" i="2" s="1"/>
  <c r="K154" i="2"/>
  <c r="AJ154" i="2" s="1"/>
  <c r="BU153" i="2"/>
  <c r="BH153" i="2"/>
  <c r="BB153" i="2"/>
  <c r="AN153" i="2"/>
  <c r="AV153" i="2" s="1"/>
  <c r="AM153" i="2"/>
  <c r="BF153" i="2" s="1"/>
  <c r="AB153" i="2" s="1"/>
  <c r="AI153" i="2"/>
  <c r="AH153" i="2"/>
  <c r="AF153" i="2"/>
  <c r="AE153" i="2"/>
  <c r="AD153" i="2"/>
  <c r="AA153" i="2"/>
  <c r="Z153" i="2"/>
  <c r="X153" i="2"/>
  <c r="M153" i="2"/>
  <c r="BD153" i="2" s="1"/>
  <c r="K153" i="2"/>
  <c r="AJ153" i="2" s="1"/>
  <c r="BU152" i="2"/>
  <c r="BH152" i="2"/>
  <c r="BB152" i="2"/>
  <c r="AN152" i="2"/>
  <c r="BG152" i="2" s="1"/>
  <c r="AC152" i="2" s="1"/>
  <c r="AM152" i="2"/>
  <c r="BF152" i="2" s="1"/>
  <c r="AB152" i="2" s="1"/>
  <c r="AI152" i="2"/>
  <c r="AH152" i="2"/>
  <c r="AF152" i="2"/>
  <c r="AE152" i="2"/>
  <c r="AD152" i="2"/>
  <c r="AA152" i="2"/>
  <c r="Z152" i="2"/>
  <c r="X152" i="2"/>
  <c r="M152" i="2"/>
  <c r="BD152" i="2" s="1"/>
  <c r="K152" i="2"/>
  <c r="AJ152" i="2" s="1"/>
  <c r="BU151" i="2"/>
  <c r="BH151" i="2"/>
  <c r="BF151" i="2"/>
  <c r="AB151" i="2" s="1"/>
  <c r="BB151" i="2"/>
  <c r="AN151" i="2"/>
  <c r="J151" i="2" s="1"/>
  <c r="AM151" i="2"/>
  <c r="AU151" i="2" s="1"/>
  <c r="AI151" i="2"/>
  <c r="AH151" i="2"/>
  <c r="AF151" i="2"/>
  <c r="AE151" i="2"/>
  <c r="AD151" i="2"/>
  <c r="AA151" i="2"/>
  <c r="Z151" i="2"/>
  <c r="X151" i="2"/>
  <c r="M151" i="2"/>
  <c r="BD151" i="2" s="1"/>
  <c r="K151" i="2"/>
  <c r="AJ151" i="2" s="1"/>
  <c r="BU150" i="2"/>
  <c r="BH150" i="2"/>
  <c r="BB150" i="2"/>
  <c r="AN150" i="2"/>
  <c r="BG150" i="2" s="1"/>
  <c r="AC150" i="2" s="1"/>
  <c r="AM150" i="2"/>
  <c r="BF150" i="2" s="1"/>
  <c r="AB150" i="2" s="1"/>
  <c r="AI150" i="2"/>
  <c r="AH150" i="2"/>
  <c r="AF150" i="2"/>
  <c r="AE150" i="2"/>
  <c r="AD150" i="2"/>
  <c r="AA150" i="2"/>
  <c r="Z150" i="2"/>
  <c r="X150" i="2"/>
  <c r="M150" i="2"/>
  <c r="BD150" i="2" s="1"/>
  <c r="K150" i="2"/>
  <c r="AJ150" i="2" s="1"/>
  <c r="BU149" i="2"/>
  <c r="BH149" i="2"/>
  <c r="BB149" i="2"/>
  <c r="AN149" i="2"/>
  <c r="AV149" i="2" s="1"/>
  <c r="AM149" i="2"/>
  <c r="BF149" i="2" s="1"/>
  <c r="AB149" i="2" s="1"/>
  <c r="AI149" i="2"/>
  <c r="AH149" i="2"/>
  <c r="AF149" i="2"/>
  <c r="AE149" i="2"/>
  <c r="AD149" i="2"/>
  <c r="AA149" i="2"/>
  <c r="Z149" i="2"/>
  <c r="X149" i="2"/>
  <c r="M149" i="2"/>
  <c r="BD149" i="2" s="1"/>
  <c r="K149" i="2"/>
  <c r="AJ149" i="2" s="1"/>
  <c r="BU148" i="2"/>
  <c r="BH148" i="2"/>
  <c r="BB148" i="2"/>
  <c r="AN148" i="2"/>
  <c r="BG148" i="2" s="1"/>
  <c r="AC148" i="2" s="1"/>
  <c r="AM148" i="2"/>
  <c r="BF148" i="2" s="1"/>
  <c r="AB148" i="2" s="1"/>
  <c r="AI148" i="2"/>
  <c r="AH148" i="2"/>
  <c r="AF148" i="2"/>
  <c r="AE148" i="2"/>
  <c r="AD148" i="2"/>
  <c r="AA148" i="2"/>
  <c r="Z148" i="2"/>
  <c r="X148" i="2"/>
  <c r="M148" i="2"/>
  <c r="BD148" i="2" s="1"/>
  <c r="K148" i="2"/>
  <c r="AJ148" i="2" s="1"/>
  <c r="BU147" i="2"/>
  <c r="BH147" i="2"/>
  <c r="BB147" i="2"/>
  <c r="AN147" i="2"/>
  <c r="AV147" i="2" s="1"/>
  <c r="AM147" i="2"/>
  <c r="AU147" i="2" s="1"/>
  <c r="AI147" i="2"/>
  <c r="AH147" i="2"/>
  <c r="AF147" i="2"/>
  <c r="AE147" i="2"/>
  <c r="AD147" i="2"/>
  <c r="AA147" i="2"/>
  <c r="Z147" i="2"/>
  <c r="X147" i="2"/>
  <c r="M147" i="2"/>
  <c r="BD147" i="2" s="1"/>
  <c r="K147" i="2"/>
  <c r="BU146" i="2"/>
  <c r="BH146" i="2"/>
  <c r="BB146" i="2"/>
  <c r="AN146" i="2"/>
  <c r="BG146" i="2" s="1"/>
  <c r="AC146" i="2" s="1"/>
  <c r="AM146" i="2"/>
  <c r="BF146" i="2" s="1"/>
  <c r="AB146" i="2" s="1"/>
  <c r="AI146" i="2"/>
  <c r="AH146" i="2"/>
  <c r="AF146" i="2"/>
  <c r="AE146" i="2"/>
  <c r="AD146" i="2"/>
  <c r="AA146" i="2"/>
  <c r="Z146" i="2"/>
  <c r="X146" i="2"/>
  <c r="M146" i="2"/>
  <c r="BD146" i="2" s="1"/>
  <c r="K146" i="2"/>
  <c r="BU139" i="2"/>
  <c r="BH139" i="2"/>
  <c r="BB139" i="2"/>
  <c r="AN139" i="2"/>
  <c r="AV139" i="2" s="1"/>
  <c r="AM139" i="2"/>
  <c r="BF139" i="2" s="1"/>
  <c r="AB139" i="2" s="1"/>
  <c r="AI139" i="2"/>
  <c r="AH139" i="2"/>
  <c r="AF139" i="2"/>
  <c r="AE139" i="2"/>
  <c r="AD139" i="2"/>
  <c r="AA139" i="2"/>
  <c r="Z139" i="2"/>
  <c r="X139" i="2"/>
  <c r="M139" i="2"/>
  <c r="BD139" i="2" s="1"/>
  <c r="K139" i="2"/>
  <c r="AJ139" i="2" s="1"/>
  <c r="BU137" i="2"/>
  <c r="BH137" i="2"/>
  <c r="X137" i="2" s="1"/>
  <c r="BB137" i="2"/>
  <c r="AN137" i="2"/>
  <c r="BG137" i="2" s="1"/>
  <c r="AM137" i="2"/>
  <c r="BF137" i="2" s="1"/>
  <c r="AI137" i="2"/>
  <c r="AH137" i="2"/>
  <c r="AF137" i="2"/>
  <c r="AE137" i="2"/>
  <c r="AD137" i="2"/>
  <c r="AC137" i="2"/>
  <c r="AB137" i="2"/>
  <c r="AA137" i="2"/>
  <c r="Z137" i="2"/>
  <c r="M137" i="2"/>
  <c r="BD137" i="2" s="1"/>
  <c r="K137" i="2"/>
  <c r="AJ137" i="2" s="1"/>
  <c r="BU136" i="2"/>
  <c r="BH136" i="2"/>
  <c r="BB136" i="2"/>
  <c r="AN136" i="2"/>
  <c r="J136" i="2" s="1"/>
  <c r="AM136" i="2"/>
  <c r="BF136" i="2" s="1"/>
  <c r="AB136" i="2" s="1"/>
  <c r="AI136" i="2"/>
  <c r="AH136" i="2"/>
  <c r="AF136" i="2"/>
  <c r="AE136" i="2"/>
  <c r="AD136" i="2"/>
  <c r="AA136" i="2"/>
  <c r="Z136" i="2"/>
  <c r="X136" i="2"/>
  <c r="M136" i="2"/>
  <c r="BD136" i="2" s="1"/>
  <c r="K136" i="2"/>
  <c r="AJ136" i="2" s="1"/>
  <c r="BU134" i="2"/>
  <c r="BH134" i="2"/>
  <c r="BB134" i="2"/>
  <c r="AN134" i="2"/>
  <c r="BG134" i="2" s="1"/>
  <c r="AC134" i="2" s="1"/>
  <c r="AM134" i="2"/>
  <c r="BF134" i="2" s="1"/>
  <c r="AB134" i="2" s="1"/>
  <c r="AI134" i="2"/>
  <c r="AH134" i="2"/>
  <c r="AF134" i="2"/>
  <c r="AE134" i="2"/>
  <c r="AD134" i="2"/>
  <c r="AA134" i="2"/>
  <c r="Z134" i="2"/>
  <c r="X134" i="2"/>
  <c r="M134" i="2"/>
  <c r="BD134" i="2" s="1"/>
  <c r="K134" i="2"/>
  <c r="AJ134" i="2" s="1"/>
  <c r="BU126" i="2"/>
  <c r="BH126" i="2"/>
  <c r="BB126" i="2"/>
  <c r="AN126" i="2"/>
  <c r="J126" i="2" s="1"/>
  <c r="AM126" i="2"/>
  <c r="AU126" i="2" s="1"/>
  <c r="AI126" i="2"/>
  <c r="AH126" i="2"/>
  <c r="AF126" i="2"/>
  <c r="AE126" i="2"/>
  <c r="AD126" i="2"/>
  <c r="AA126" i="2"/>
  <c r="Z126" i="2"/>
  <c r="X126" i="2"/>
  <c r="M126" i="2"/>
  <c r="BD126" i="2" s="1"/>
  <c r="K126" i="2"/>
  <c r="AJ126" i="2" s="1"/>
  <c r="BU124" i="2"/>
  <c r="BH124" i="2"/>
  <c r="BB124" i="2"/>
  <c r="AN124" i="2"/>
  <c r="BG124" i="2" s="1"/>
  <c r="AC124" i="2" s="1"/>
  <c r="AM124" i="2"/>
  <c r="AU124" i="2" s="1"/>
  <c r="AI124" i="2"/>
  <c r="AH124" i="2"/>
  <c r="AF124" i="2"/>
  <c r="AE124" i="2"/>
  <c r="AD124" i="2"/>
  <c r="AA124" i="2"/>
  <c r="Z124" i="2"/>
  <c r="X124" i="2"/>
  <c r="M124" i="2"/>
  <c r="BD124" i="2" s="1"/>
  <c r="K124" i="2"/>
  <c r="AJ124" i="2" s="1"/>
  <c r="BU121" i="2"/>
  <c r="BH121" i="2"/>
  <c r="BB121" i="2"/>
  <c r="AN121" i="2"/>
  <c r="AV121" i="2" s="1"/>
  <c r="AM121" i="2"/>
  <c r="AU121" i="2" s="1"/>
  <c r="AI121" i="2"/>
  <c r="AH121" i="2"/>
  <c r="AF121" i="2"/>
  <c r="AE121" i="2"/>
  <c r="AD121" i="2"/>
  <c r="AA121" i="2"/>
  <c r="Z121" i="2"/>
  <c r="X121" i="2"/>
  <c r="M121" i="2"/>
  <c r="BD121" i="2" s="1"/>
  <c r="K121" i="2"/>
  <c r="AJ121" i="2" s="1"/>
  <c r="BU117" i="2"/>
  <c r="BH117" i="2"/>
  <c r="BB117" i="2"/>
  <c r="AN117" i="2"/>
  <c r="BG117" i="2" s="1"/>
  <c r="AC117" i="2" s="1"/>
  <c r="AM117" i="2"/>
  <c r="BF117" i="2" s="1"/>
  <c r="AB117" i="2" s="1"/>
  <c r="AI117" i="2"/>
  <c r="AH117" i="2"/>
  <c r="AF117" i="2"/>
  <c r="AE117" i="2"/>
  <c r="AD117" i="2"/>
  <c r="AA117" i="2"/>
  <c r="Z117" i="2"/>
  <c r="X117" i="2"/>
  <c r="M117" i="2"/>
  <c r="BD117" i="2" s="1"/>
  <c r="K117" i="2"/>
  <c r="AJ117" i="2" s="1"/>
  <c r="BU115" i="2"/>
  <c r="BH115" i="2"/>
  <c r="X115" i="2" s="1"/>
  <c r="BB115" i="2"/>
  <c r="AN115" i="2"/>
  <c r="AV115" i="2" s="1"/>
  <c r="AM115" i="2"/>
  <c r="I115" i="2" s="1"/>
  <c r="AI115" i="2"/>
  <c r="AH115" i="2"/>
  <c r="AF115" i="2"/>
  <c r="AE115" i="2"/>
  <c r="AD115" i="2"/>
  <c r="AC115" i="2"/>
  <c r="AB115" i="2"/>
  <c r="AA115" i="2"/>
  <c r="Z115" i="2"/>
  <c r="M115" i="2"/>
  <c r="BD115" i="2" s="1"/>
  <c r="K115" i="2"/>
  <c r="BU113" i="2"/>
  <c r="BH113" i="2"/>
  <c r="BB113" i="2"/>
  <c r="AN113" i="2"/>
  <c r="BG113" i="2" s="1"/>
  <c r="AC113" i="2" s="1"/>
  <c r="AM113" i="2"/>
  <c r="BF113" i="2" s="1"/>
  <c r="AB113" i="2" s="1"/>
  <c r="AI113" i="2"/>
  <c r="AH113" i="2"/>
  <c r="AF113" i="2"/>
  <c r="AE113" i="2"/>
  <c r="AD113" i="2"/>
  <c r="AA113" i="2"/>
  <c r="Z113" i="2"/>
  <c r="X113" i="2"/>
  <c r="M113" i="2"/>
  <c r="BD113" i="2" s="1"/>
  <c r="K113" i="2"/>
  <c r="AJ113" i="2" s="1"/>
  <c r="BU111" i="2"/>
  <c r="BH111" i="2"/>
  <c r="BB111" i="2"/>
  <c r="AN111" i="2"/>
  <c r="BG111" i="2" s="1"/>
  <c r="AC111" i="2" s="1"/>
  <c r="AM111" i="2"/>
  <c r="AU111" i="2" s="1"/>
  <c r="AI111" i="2"/>
  <c r="AH111" i="2"/>
  <c r="AF111" i="2"/>
  <c r="AE111" i="2"/>
  <c r="AD111" i="2"/>
  <c r="AA111" i="2"/>
  <c r="Z111" i="2"/>
  <c r="X111" i="2"/>
  <c r="M111" i="2"/>
  <c r="BD111" i="2" s="1"/>
  <c r="K111" i="2"/>
  <c r="AJ111" i="2" s="1"/>
  <c r="BU109" i="2"/>
  <c r="BH109" i="2"/>
  <c r="BB109" i="2"/>
  <c r="AN109" i="2"/>
  <c r="BG109" i="2" s="1"/>
  <c r="AC109" i="2" s="1"/>
  <c r="AM109" i="2"/>
  <c r="AU109" i="2" s="1"/>
  <c r="AI109" i="2"/>
  <c r="AH109" i="2"/>
  <c r="AF109" i="2"/>
  <c r="AE109" i="2"/>
  <c r="AD109" i="2"/>
  <c r="AA109" i="2"/>
  <c r="Z109" i="2"/>
  <c r="X109" i="2"/>
  <c r="M109" i="2"/>
  <c r="BD109" i="2" s="1"/>
  <c r="K109" i="2"/>
  <c r="AJ109" i="2" s="1"/>
  <c r="BU105" i="2"/>
  <c r="BH105" i="2"/>
  <c r="BB105" i="2"/>
  <c r="AN105" i="2"/>
  <c r="BG105" i="2" s="1"/>
  <c r="AC105" i="2" s="1"/>
  <c r="AM105" i="2"/>
  <c r="I105" i="2" s="1"/>
  <c r="AI105" i="2"/>
  <c r="AH105" i="2"/>
  <c r="AF105" i="2"/>
  <c r="AE105" i="2"/>
  <c r="AD105" i="2"/>
  <c r="AA105" i="2"/>
  <c r="Z105" i="2"/>
  <c r="X105" i="2"/>
  <c r="M105" i="2"/>
  <c r="BD105" i="2" s="1"/>
  <c r="K105" i="2"/>
  <c r="BU101" i="2"/>
  <c r="BH101" i="2"/>
  <c r="BB101" i="2"/>
  <c r="AN101" i="2"/>
  <c r="AV101" i="2" s="1"/>
  <c r="AM101" i="2"/>
  <c r="AU101" i="2" s="1"/>
  <c r="AI101" i="2"/>
  <c r="AH101" i="2"/>
  <c r="AF101" i="2"/>
  <c r="AE101" i="2"/>
  <c r="AD101" i="2"/>
  <c r="AA101" i="2"/>
  <c r="Z101" i="2"/>
  <c r="X101" i="2"/>
  <c r="M101" i="2"/>
  <c r="BD101" i="2" s="1"/>
  <c r="K101" i="2"/>
  <c r="AJ101" i="2" s="1"/>
  <c r="BU99" i="2"/>
  <c r="BH99" i="2"/>
  <c r="X99" i="2" s="1"/>
  <c r="BB99" i="2"/>
  <c r="AN99" i="2"/>
  <c r="BG99" i="2" s="1"/>
  <c r="AM99" i="2"/>
  <c r="AU99" i="2" s="1"/>
  <c r="AI99" i="2"/>
  <c r="AH99" i="2"/>
  <c r="AF99" i="2"/>
  <c r="AE99" i="2"/>
  <c r="AD99" i="2"/>
  <c r="AC99" i="2"/>
  <c r="AB99" i="2"/>
  <c r="AA99" i="2"/>
  <c r="Z99" i="2"/>
  <c r="M99" i="2"/>
  <c r="BD99" i="2" s="1"/>
  <c r="K99" i="2"/>
  <c r="AJ99" i="2" s="1"/>
  <c r="BU96" i="2"/>
  <c r="BH96" i="2"/>
  <c r="BB96" i="2"/>
  <c r="AN96" i="2"/>
  <c r="AV96" i="2" s="1"/>
  <c r="AM96" i="2"/>
  <c r="AU96" i="2" s="1"/>
  <c r="AI96" i="2"/>
  <c r="AH96" i="2"/>
  <c r="AF96" i="2"/>
  <c r="AE96" i="2"/>
  <c r="AD96" i="2"/>
  <c r="AC96" i="2"/>
  <c r="AB96" i="2"/>
  <c r="X96" i="2"/>
  <c r="M96" i="2"/>
  <c r="BD96" i="2" s="1"/>
  <c r="K96" i="2"/>
  <c r="BU93" i="2"/>
  <c r="BH93" i="2"/>
  <c r="BB93" i="2"/>
  <c r="AN93" i="2"/>
  <c r="AV93" i="2" s="1"/>
  <c r="AM93" i="2"/>
  <c r="BF93" i="2" s="1"/>
  <c r="Z93" i="2" s="1"/>
  <c r="AI93" i="2"/>
  <c r="AH93" i="2"/>
  <c r="AF93" i="2"/>
  <c r="AE93" i="2"/>
  <c r="AD93" i="2"/>
  <c r="AC93" i="2"/>
  <c r="AB93" i="2"/>
  <c r="X93" i="2"/>
  <c r="M93" i="2"/>
  <c r="BD93" i="2" s="1"/>
  <c r="K93" i="2"/>
  <c r="AJ93" i="2" s="1"/>
  <c r="BU90" i="2"/>
  <c r="BH90" i="2"/>
  <c r="BB90" i="2"/>
  <c r="AN90" i="2"/>
  <c r="BG90" i="2" s="1"/>
  <c r="AA90" i="2" s="1"/>
  <c r="AM90" i="2"/>
  <c r="AU90" i="2" s="1"/>
  <c r="AI90" i="2"/>
  <c r="AH90" i="2"/>
  <c r="AF90" i="2"/>
  <c r="AE90" i="2"/>
  <c r="AD90" i="2"/>
  <c r="AC90" i="2"/>
  <c r="AB90" i="2"/>
  <c r="X90" i="2"/>
  <c r="M90" i="2"/>
  <c r="BD90" i="2" s="1"/>
  <c r="K90" i="2"/>
  <c r="BU87" i="2"/>
  <c r="BH87" i="2"/>
  <c r="BB87" i="2"/>
  <c r="AN87" i="2"/>
  <c r="BG87" i="2" s="1"/>
  <c r="AA87" i="2" s="1"/>
  <c r="AM87" i="2"/>
  <c r="AI87" i="2"/>
  <c r="AH87" i="2"/>
  <c r="AF87" i="2"/>
  <c r="AE87" i="2"/>
  <c r="AD87" i="2"/>
  <c r="AC87" i="2"/>
  <c r="AB87" i="2"/>
  <c r="X87" i="2"/>
  <c r="M87" i="2"/>
  <c r="BD87" i="2" s="1"/>
  <c r="K87" i="2"/>
  <c r="AJ87" i="2" s="1"/>
  <c r="BU84" i="2"/>
  <c r="BH84" i="2"/>
  <c r="BB84" i="2"/>
  <c r="AN84" i="2"/>
  <c r="BG84" i="2" s="1"/>
  <c r="AA84" i="2" s="1"/>
  <c r="AM84" i="2"/>
  <c r="AU84" i="2" s="1"/>
  <c r="AI84" i="2"/>
  <c r="AH84" i="2"/>
  <c r="AF84" i="2"/>
  <c r="AE84" i="2"/>
  <c r="AD84" i="2"/>
  <c r="AC84" i="2"/>
  <c r="AB84" i="2"/>
  <c r="X84" i="2"/>
  <c r="M84" i="2"/>
  <c r="BD84" i="2" s="1"/>
  <c r="K84" i="2"/>
  <c r="BU75" i="2"/>
  <c r="BH75" i="2"/>
  <c r="BB75" i="2"/>
  <c r="AN75" i="2"/>
  <c r="BG75" i="2" s="1"/>
  <c r="AA75" i="2" s="1"/>
  <c r="AM75" i="2"/>
  <c r="AU75" i="2" s="1"/>
  <c r="AI75" i="2"/>
  <c r="AH75" i="2"/>
  <c r="AF75" i="2"/>
  <c r="AE75" i="2"/>
  <c r="AD75" i="2"/>
  <c r="AC75" i="2"/>
  <c r="AB75" i="2"/>
  <c r="X75" i="2"/>
  <c r="M75" i="2"/>
  <c r="BD75" i="2" s="1"/>
  <c r="K75" i="2"/>
  <c r="AJ75" i="2" s="1"/>
  <c r="BU66" i="2"/>
  <c r="BH66" i="2"/>
  <c r="BB66" i="2"/>
  <c r="AN66" i="2"/>
  <c r="AM66" i="2"/>
  <c r="AU66" i="2" s="1"/>
  <c r="AI66" i="2"/>
  <c r="AH66" i="2"/>
  <c r="AF66" i="2"/>
  <c r="AE66" i="2"/>
  <c r="AD66" i="2"/>
  <c r="AC66" i="2"/>
  <c r="AB66" i="2"/>
  <c r="X66" i="2"/>
  <c r="M66" i="2"/>
  <c r="BD66" i="2" s="1"/>
  <c r="K66" i="2"/>
  <c r="BU57" i="2"/>
  <c r="BH57" i="2"/>
  <c r="BB57" i="2"/>
  <c r="AN57" i="2"/>
  <c r="AM57" i="2"/>
  <c r="AU57" i="2" s="1"/>
  <c r="AI57" i="2"/>
  <c r="AH57" i="2"/>
  <c r="AF57" i="2"/>
  <c r="AE57" i="2"/>
  <c r="AD57" i="2"/>
  <c r="AC57" i="2"/>
  <c r="AB57" i="2"/>
  <c r="X57" i="2"/>
  <c r="M57" i="2"/>
  <c r="BD57" i="2" s="1"/>
  <c r="K57" i="2"/>
  <c r="AJ57" i="2" s="1"/>
  <c r="BU55" i="2"/>
  <c r="BH55" i="2"/>
  <c r="X55" i="2" s="1"/>
  <c r="BB55" i="2"/>
  <c r="AN55" i="2"/>
  <c r="AV55" i="2" s="1"/>
  <c r="AM55" i="2"/>
  <c r="AU55" i="2" s="1"/>
  <c r="AI55" i="2"/>
  <c r="AH55" i="2"/>
  <c r="AF55" i="2"/>
  <c r="AE55" i="2"/>
  <c r="AD55" i="2"/>
  <c r="AC55" i="2"/>
  <c r="AB55" i="2"/>
  <c r="AA55" i="2"/>
  <c r="Z55" i="2"/>
  <c r="M55" i="2"/>
  <c r="BD55" i="2" s="1"/>
  <c r="K55" i="2"/>
  <c r="AJ55" i="2" s="1"/>
  <c r="BU54" i="2"/>
  <c r="BH54" i="2"/>
  <c r="X54" i="2" s="1"/>
  <c r="BB54" i="2"/>
  <c r="AN54" i="2"/>
  <c r="AM54" i="2"/>
  <c r="BF54" i="2" s="1"/>
  <c r="AI54" i="2"/>
  <c r="AH54" i="2"/>
  <c r="AF54" i="2"/>
  <c r="AE54" i="2"/>
  <c r="AD54" i="2"/>
  <c r="AC54" i="2"/>
  <c r="AB54" i="2"/>
  <c r="AA54" i="2"/>
  <c r="Z54" i="2"/>
  <c r="M54" i="2"/>
  <c r="BD54" i="2" s="1"/>
  <c r="K54" i="2"/>
  <c r="AJ54" i="2" s="1"/>
  <c r="BU53" i="2"/>
  <c r="BH53" i="2"/>
  <c r="X53" i="2" s="1"/>
  <c r="BB53" i="2"/>
  <c r="AN53" i="2"/>
  <c r="AM53" i="2"/>
  <c r="AU53" i="2" s="1"/>
  <c r="AI53" i="2"/>
  <c r="AH53" i="2"/>
  <c r="AF53" i="2"/>
  <c r="AE53" i="2"/>
  <c r="AD53" i="2"/>
  <c r="AC53" i="2"/>
  <c r="AB53" i="2"/>
  <c r="AA53" i="2"/>
  <c r="Z53" i="2"/>
  <c r="M53" i="2"/>
  <c r="BD53" i="2" s="1"/>
  <c r="K53" i="2"/>
  <c r="BU52" i="2"/>
  <c r="BH52" i="2"/>
  <c r="X52" i="2" s="1"/>
  <c r="BB52" i="2"/>
  <c r="AN52" i="2"/>
  <c r="BG52" i="2" s="1"/>
  <c r="AM52" i="2"/>
  <c r="AU52" i="2" s="1"/>
  <c r="AI52" i="2"/>
  <c r="AH52" i="2"/>
  <c r="AF52" i="2"/>
  <c r="AE52" i="2"/>
  <c r="AD52" i="2"/>
  <c r="AC52" i="2"/>
  <c r="AB52" i="2"/>
  <c r="AA52" i="2"/>
  <c r="Z52" i="2"/>
  <c r="M52" i="2"/>
  <c r="BD52" i="2" s="1"/>
  <c r="K52" i="2"/>
  <c r="AJ52" i="2" s="1"/>
  <c r="BU51" i="2"/>
  <c r="BH51" i="2"/>
  <c r="X51" i="2" s="1"/>
  <c r="BB51" i="2"/>
  <c r="AN51" i="2"/>
  <c r="AV51" i="2" s="1"/>
  <c r="AM51" i="2"/>
  <c r="AU51" i="2" s="1"/>
  <c r="AI51" i="2"/>
  <c r="AH51" i="2"/>
  <c r="AF51" i="2"/>
  <c r="AE51" i="2"/>
  <c r="AD51" i="2"/>
  <c r="AC51" i="2"/>
  <c r="AB51" i="2"/>
  <c r="AA51" i="2"/>
  <c r="Z51" i="2"/>
  <c r="M51" i="2"/>
  <c r="BD51" i="2" s="1"/>
  <c r="K51" i="2"/>
  <c r="AJ51" i="2" s="1"/>
  <c r="BU50" i="2"/>
  <c r="BH50" i="2"/>
  <c r="X50" i="2" s="1"/>
  <c r="BB50" i="2"/>
  <c r="AN50" i="2"/>
  <c r="AV50" i="2" s="1"/>
  <c r="AM50" i="2"/>
  <c r="BF50" i="2" s="1"/>
  <c r="AI50" i="2"/>
  <c r="AH50" i="2"/>
  <c r="AF50" i="2"/>
  <c r="AE50" i="2"/>
  <c r="AD50" i="2"/>
  <c r="AC50" i="2"/>
  <c r="AB50" i="2"/>
  <c r="AA50" i="2"/>
  <c r="Z50" i="2"/>
  <c r="M50" i="2"/>
  <c r="BD50" i="2" s="1"/>
  <c r="K50" i="2"/>
  <c r="AJ50" i="2" s="1"/>
  <c r="BU43" i="2"/>
  <c r="BH43" i="2"/>
  <c r="BB43" i="2"/>
  <c r="AN43" i="2"/>
  <c r="BG43" i="2" s="1"/>
  <c r="AA43" i="2" s="1"/>
  <c r="AM43" i="2"/>
  <c r="AI43" i="2"/>
  <c r="AH43" i="2"/>
  <c r="AF43" i="2"/>
  <c r="AE43" i="2"/>
  <c r="AD43" i="2"/>
  <c r="AC43" i="2"/>
  <c r="AB43" i="2"/>
  <c r="X43" i="2"/>
  <c r="M43" i="2"/>
  <c r="BD43" i="2" s="1"/>
  <c r="K43" i="2"/>
  <c r="AJ43" i="2" s="1"/>
  <c r="BU39" i="2"/>
  <c r="BH39" i="2"/>
  <c r="BB39" i="2"/>
  <c r="AN39" i="2"/>
  <c r="AV39" i="2" s="1"/>
  <c r="AM39" i="2"/>
  <c r="BF39" i="2" s="1"/>
  <c r="Z39" i="2" s="1"/>
  <c r="AI39" i="2"/>
  <c r="AH39" i="2"/>
  <c r="AF39" i="2"/>
  <c r="AE39" i="2"/>
  <c r="AD39" i="2"/>
  <c r="AC39" i="2"/>
  <c r="AB39" i="2"/>
  <c r="X39" i="2"/>
  <c r="M39" i="2"/>
  <c r="BD39" i="2" s="1"/>
  <c r="K39" i="2"/>
  <c r="AJ39" i="2" s="1"/>
  <c r="BU37" i="2"/>
  <c r="BH37" i="2"/>
  <c r="BB37" i="2"/>
  <c r="AN37" i="2"/>
  <c r="AM37" i="2"/>
  <c r="AI37" i="2"/>
  <c r="AH37" i="2"/>
  <c r="AF37" i="2"/>
  <c r="AE37" i="2"/>
  <c r="AD37" i="2"/>
  <c r="AC37" i="2"/>
  <c r="AB37" i="2"/>
  <c r="X37" i="2"/>
  <c r="M37" i="2"/>
  <c r="BD37" i="2" s="1"/>
  <c r="K37" i="2"/>
  <c r="BU30" i="2"/>
  <c r="BH30" i="2"/>
  <c r="BB30" i="2"/>
  <c r="AN30" i="2"/>
  <c r="J30" i="2" s="1"/>
  <c r="AM30" i="2"/>
  <c r="BF30" i="2" s="1"/>
  <c r="Z30" i="2" s="1"/>
  <c r="AI30" i="2"/>
  <c r="AH30" i="2"/>
  <c r="AF30" i="2"/>
  <c r="AE30" i="2"/>
  <c r="AD30" i="2"/>
  <c r="AC30" i="2"/>
  <c r="AB30" i="2"/>
  <c r="X30" i="2"/>
  <c r="M30" i="2"/>
  <c r="BD30" i="2" s="1"/>
  <c r="K30" i="2"/>
  <c r="AJ30" i="2" s="1"/>
  <c r="BU28" i="2"/>
  <c r="BH28" i="2"/>
  <c r="BB28" i="2"/>
  <c r="AN28" i="2"/>
  <c r="AM28" i="2"/>
  <c r="AI28" i="2"/>
  <c r="AH28" i="2"/>
  <c r="AF28" i="2"/>
  <c r="AE28" i="2"/>
  <c r="AD28" i="2"/>
  <c r="AC28" i="2"/>
  <c r="AB28" i="2"/>
  <c r="X28" i="2"/>
  <c r="M28" i="2"/>
  <c r="BD28" i="2" s="1"/>
  <c r="K28" i="2"/>
  <c r="AJ28" i="2" s="1"/>
  <c r="BU26" i="2"/>
  <c r="BH26" i="2"/>
  <c r="BB26" i="2"/>
  <c r="AN26" i="2"/>
  <c r="BG26" i="2" s="1"/>
  <c r="AA26" i="2" s="1"/>
  <c r="AM26" i="2"/>
  <c r="BF26" i="2" s="1"/>
  <c r="Z26" i="2" s="1"/>
  <c r="AI26" i="2"/>
  <c r="AH26" i="2"/>
  <c r="AF26" i="2"/>
  <c r="AE26" i="2"/>
  <c r="AD26" i="2"/>
  <c r="AC26" i="2"/>
  <c r="AB26" i="2"/>
  <c r="X26" i="2"/>
  <c r="M26" i="2"/>
  <c r="BD26" i="2" s="1"/>
  <c r="K26" i="2"/>
  <c r="AJ26" i="2" s="1"/>
  <c r="BU24" i="2"/>
  <c r="BH24" i="2"/>
  <c r="BB24" i="2"/>
  <c r="AN24" i="2"/>
  <c r="AM24" i="2"/>
  <c r="AI24" i="2"/>
  <c r="AH24" i="2"/>
  <c r="AF24" i="2"/>
  <c r="AE24" i="2"/>
  <c r="AD24" i="2"/>
  <c r="AC24" i="2"/>
  <c r="AB24" i="2"/>
  <c r="X24" i="2"/>
  <c r="M24" i="2"/>
  <c r="BD24" i="2" s="1"/>
  <c r="K24" i="2"/>
  <c r="AJ24" i="2" s="1"/>
  <c r="BU21" i="2"/>
  <c r="BH21" i="2"/>
  <c r="BB21" i="2"/>
  <c r="AN21" i="2"/>
  <c r="BG21" i="2" s="1"/>
  <c r="AA21" i="2" s="1"/>
  <c r="AM21" i="2"/>
  <c r="BF21" i="2" s="1"/>
  <c r="Z21" i="2" s="1"/>
  <c r="AI21" i="2"/>
  <c r="AH21" i="2"/>
  <c r="AF21" i="2"/>
  <c r="AE21" i="2"/>
  <c r="AD21" i="2"/>
  <c r="AC21" i="2"/>
  <c r="AB21" i="2"/>
  <c r="X21" i="2"/>
  <c r="M21" i="2"/>
  <c r="BD21" i="2" s="1"/>
  <c r="K21" i="2"/>
  <c r="AJ21" i="2" s="1"/>
  <c r="BU15" i="2"/>
  <c r="BH15" i="2"/>
  <c r="BB15" i="2"/>
  <c r="AN15" i="2"/>
  <c r="BG15" i="2" s="1"/>
  <c r="AA15" i="2" s="1"/>
  <c r="AM15" i="2"/>
  <c r="AI15" i="2"/>
  <c r="AH15" i="2"/>
  <c r="AF15" i="2"/>
  <c r="AE15" i="2"/>
  <c r="AD15" i="2"/>
  <c r="AC15" i="2"/>
  <c r="AB15" i="2"/>
  <c r="X15" i="2"/>
  <c r="M15" i="2"/>
  <c r="BD15" i="2" s="1"/>
  <c r="K15" i="2"/>
  <c r="AS1" i="2"/>
  <c r="AR1" i="2"/>
  <c r="AQ1" i="2"/>
  <c r="L22" i="1"/>
  <c r="L21" i="1"/>
  <c r="L20" i="1"/>
  <c r="L19" i="1"/>
  <c r="L18" i="1"/>
  <c r="L17" i="1"/>
  <c r="L16" i="1"/>
  <c r="L15" i="1"/>
  <c r="L14" i="1"/>
  <c r="L13" i="1"/>
  <c r="J12" i="1"/>
  <c r="BG247" i="2" l="1"/>
  <c r="AQ203" i="2"/>
  <c r="I21" i="2"/>
  <c r="BG101" i="2"/>
  <c r="AC101" i="2" s="1"/>
  <c r="J50" i="2"/>
  <c r="J43" i="2"/>
  <c r="AQ246" i="2"/>
  <c r="J217" i="2"/>
  <c r="I213" i="2"/>
  <c r="BG121" i="2"/>
  <c r="AC121" i="2" s="1"/>
  <c r="BF163" i="2"/>
  <c r="AB163" i="2" s="1"/>
  <c r="J51" i="2"/>
  <c r="BG51" i="2"/>
  <c r="I151" i="2"/>
  <c r="AU173" i="2"/>
  <c r="AT173" i="2" s="1"/>
  <c r="I217" i="2"/>
  <c r="J111" i="2"/>
  <c r="I117" i="2"/>
  <c r="I26" i="2"/>
  <c r="J117" i="2"/>
  <c r="I193" i="2"/>
  <c r="AU229" i="2"/>
  <c r="K246" i="2"/>
  <c r="BF157" i="2"/>
  <c r="AB157" i="2" s="1"/>
  <c r="I163" i="2"/>
  <c r="BD247" i="2"/>
  <c r="M246" i="2"/>
  <c r="J176" i="2"/>
  <c r="AR246" i="2"/>
  <c r="AV111" i="2"/>
  <c r="BA111" i="2" s="1"/>
  <c r="BF75" i="2"/>
  <c r="Z75" i="2" s="1"/>
  <c r="I137" i="2"/>
  <c r="J173" i="2"/>
  <c r="I224" i="2"/>
  <c r="AU26" i="2"/>
  <c r="AQ56" i="2"/>
  <c r="AV117" i="2"/>
  <c r="J146" i="2"/>
  <c r="I184" i="2"/>
  <c r="BF193" i="2"/>
  <c r="AB193" i="2" s="1"/>
  <c r="BG217" i="2"/>
  <c r="AC217" i="2" s="1"/>
  <c r="AV219" i="2"/>
  <c r="J234" i="2"/>
  <c r="I237" i="2"/>
  <c r="K241" i="2"/>
  <c r="G21" i="1" s="1"/>
  <c r="J21" i="1" s="1"/>
  <c r="AU137" i="2"/>
  <c r="AV152" i="2"/>
  <c r="AV158" i="2"/>
  <c r="AV224" i="2"/>
  <c r="AQ100" i="2"/>
  <c r="AU184" i="2"/>
  <c r="BA184" i="2" s="1"/>
  <c r="BG232" i="2"/>
  <c r="AC232" i="2" s="1"/>
  <c r="J55" i="2"/>
  <c r="I75" i="2"/>
  <c r="J154" i="2"/>
  <c r="J158" i="2"/>
  <c r="J224" i="2"/>
  <c r="BG55" i="2"/>
  <c r="AU21" i="2"/>
  <c r="I174" i="2"/>
  <c r="I229" i="2"/>
  <c r="I232" i="2"/>
  <c r="I53" i="2"/>
  <c r="J101" i="2"/>
  <c r="BF101" i="2"/>
  <c r="AB101" i="2" s="1"/>
  <c r="AV105" i="2"/>
  <c r="I136" i="2"/>
  <c r="J148" i="2"/>
  <c r="I157" i="2"/>
  <c r="BG159" i="2"/>
  <c r="AC159" i="2" s="1"/>
  <c r="BF176" i="2"/>
  <c r="AB176" i="2" s="1"/>
  <c r="AU188" i="2"/>
  <c r="J204" i="2"/>
  <c r="BF217" i="2"/>
  <c r="AB217" i="2" s="1"/>
  <c r="K223" i="2"/>
  <c r="G20" i="1" s="1"/>
  <c r="J20" i="1" s="1"/>
  <c r="AQ223" i="2"/>
  <c r="J247" i="2"/>
  <c r="AU30" i="2"/>
  <c r="AU93" i="2"/>
  <c r="BA93" i="2" s="1"/>
  <c r="I111" i="2"/>
  <c r="BF111" i="2"/>
  <c r="AB111" i="2" s="1"/>
  <c r="J188" i="2"/>
  <c r="AV229" i="2"/>
  <c r="AV87" i="2"/>
  <c r="AV52" i="2"/>
  <c r="AT52" i="2" s="1"/>
  <c r="BG96" i="2"/>
  <c r="AA96" i="2" s="1"/>
  <c r="M116" i="2"/>
  <c r="H16" i="1" s="1"/>
  <c r="AR116" i="2"/>
  <c r="AR175" i="2"/>
  <c r="AV197" i="2"/>
  <c r="J219" i="2"/>
  <c r="AR223" i="2"/>
  <c r="AU232" i="2"/>
  <c r="BA232" i="2" s="1"/>
  <c r="J75" i="2"/>
  <c r="J115" i="2"/>
  <c r="BF115" i="2"/>
  <c r="J124" i="2"/>
  <c r="I126" i="2"/>
  <c r="AU148" i="2"/>
  <c r="J152" i="2"/>
  <c r="AU204" i="2"/>
  <c r="J229" i="2"/>
  <c r="J237" i="2"/>
  <c r="AU240" i="2"/>
  <c r="J242" i="2"/>
  <c r="J241" i="2" s="1"/>
  <c r="AJ247" i="2"/>
  <c r="AS246" i="2" s="1"/>
  <c r="I30" i="2"/>
  <c r="BG50" i="2"/>
  <c r="J52" i="2"/>
  <c r="AR56" i="2"/>
  <c r="J90" i="2"/>
  <c r="BG115" i="2"/>
  <c r="BF126" i="2"/>
  <c r="AB126" i="2" s="1"/>
  <c r="I146" i="2"/>
  <c r="AV148" i="2"/>
  <c r="AV174" i="2"/>
  <c r="I222" i="2"/>
  <c r="I240" i="2"/>
  <c r="AT247" i="2"/>
  <c r="BF24" i="2"/>
  <c r="Z24" i="2" s="1"/>
  <c r="I24" i="2"/>
  <c r="AJ37" i="2"/>
  <c r="J15" i="2"/>
  <c r="BG24" i="2"/>
  <c r="AA24" i="2" s="1"/>
  <c r="J24" i="2"/>
  <c r="BF37" i="2"/>
  <c r="Z37" i="2" s="1"/>
  <c r="AU37" i="2"/>
  <c r="I37" i="2"/>
  <c r="BG66" i="2"/>
  <c r="AA66" i="2" s="1"/>
  <c r="J66" i="2"/>
  <c r="AV66" i="2"/>
  <c r="AT66" i="2" s="1"/>
  <c r="AJ15" i="2"/>
  <c r="K14" i="2"/>
  <c r="G13" i="1" s="1"/>
  <c r="AQ14" i="2"/>
  <c r="AU24" i="2"/>
  <c r="BG37" i="2"/>
  <c r="AA37" i="2" s="1"/>
  <c r="J37" i="2"/>
  <c r="AV57" i="2"/>
  <c r="BA57" i="2" s="1"/>
  <c r="BG57" i="2"/>
  <c r="AA57" i="2" s="1"/>
  <c r="BF87" i="2"/>
  <c r="Z87" i="2" s="1"/>
  <c r="I87" i="2"/>
  <c r="BA121" i="2"/>
  <c r="AT121" i="2"/>
  <c r="BF15" i="2"/>
  <c r="Z15" i="2" s="1"/>
  <c r="I15" i="2"/>
  <c r="BF28" i="2"/>
  <c r="Z28" i="2" s="1"/>
  <c r="I28" i="2"/>
  <c r="BG53" i="2"/>
  <c r="J53" i="2"/>
  <c r="J54" i="2"/>
  <c r="AV54" i="2"/>
  <c r="AV84" i="2"/>
  <c r="BA84" i="2" s="1"/>
  <c r="AU28" i="2"/>
  <c r="BG54" i="2"/>
  <c r="I39" i="2"/>
  <c r="BF43" i="2"/>
  <c r="Z43" i="2" s="1"/>
  <c r="AU43" i="2"/>
  <c r="I43" i="2"/>
  <c r="AR14" i="2"/>
  <c r="BG28" i="2"/>
  <c r="AA28" i="2" s="1"/>
  <c r="J28" i="2"/>
  <c r="AU15" i="2"/>
  <c r="AU39" i="2"/>
  <c r="BA39" i="2" s="1"/>
  <c r="I84" i="2"/>
  <c r="AT101" i="2"/>
  <c r="J113" i="2"/>
  <c r="J121" i="2"/>
  <c r="BF124" i="2"/>
  <c r="AB124" i="2" s="1"/>
  <c r="J137" i="2"/>
  <c r="AV137" i="2"/>
  <c r="J87" i="2"/>
  <c r="AV90" i="2"/>
  <c r="AT90" i="2" s="1"/>
  <c r="I96" i="2"/>
  <c r="J105" i="2"/>
  <c r="AU115" i="2"/>
  <c r="BA115" i="2" s="1"/>
  <c r="AQ116" i="2"/>
  <c r="AU136" i="2"/>
  <c r="AV146" i="2"/>
  <c r="AJ147" i="2"/>
  <c r="I148" i="2"/>
  <c r="BG149" i="2"/>
  <c r="AC149" i="2" s="1"/>
  <c r="I154" i="2"/>
  <c r="AV154" i="2"/>
  <c r="BA157" i="2"/>
  <c r="I158" i="2"/>
  <c r="AU158" i="2"/>
  <c r="J159" i="2"/>
  <c r="AJ162" i="2"/>
  <c r="I173" i="2"/>
  <c r="AU174" i="2"/>
  <c r="I176" i="2"/>
  <c r="I188" i="2"/>
  <c r="J197" i="2"/>
  <c r="I204" i="2"/>
  <c r="AV204" i="2"/>
  <c r="AU224" i="2"/>
  <c r="J232" i="2"/>
  <c r="AU237" i="2"/>
  <c r="AT237" i="2" s="1"/>
  <c r="AV240" i="2"/>
  <c r="M241" i="2"/>
  <c r="H21" i="1" s="1"/>
  <c r="BF105" i="2"/>
  <c r="AB105" i="2" s="1"/>
  <c r="BF121" i="2"/>
  <c r="AB121" i="2" s="1"/>
  <c r="BA147" i="2"/>
  <c r="I139" i="2"/>
  <c r="I150" i="2"/>
  <c r="AU150" i="2"/>
  <c r="I153" i="2"/>
  <c r="AU162" i="2"/>
  <c r="AU164" i="2"/>
  <c r="J184" i="2"/>
  <c r="AR203" i="2"/>
  <c r="BF222" i="2"/>
  <c r="I248" i="2"/>
  <c r="AU248" i="2"/>
  <c r="BA248" i="2" s="1"/>
  <c r="AJ96" i="2"/>
  <c r="J99" i="2"/>
  <c r="AV99" i="2"/>
  <c r="AT99" i="2" s="1"/>
  <c r="I109" i="2"/>
  <c r="AV109" i="2"/>
  <c r="AT109" i="2" s="1"/>
  <c r="AU113" i="2"/>
  <c r="AU134" i="2"/>
  <c r="J139" i="2"/>
  <c r="AU139" i="2"/>
  <c r="BA139" i="2" s="1"/>
  <c r="J150" i="2"/>
  <c r="AV150" i="2"/>
  <c r="J153" i="2"/>
  <c r="I162" i="2"/>
  <c r="AV162" i="2"/>
  <c r="I164" i="2"/>
  <c r="AV164" i="2"/>
  <c r="I180" i="2"/>
  <c r="AU180" i="2"/>
  <c r="AU215" i="2"/>
  <c r="AJ232" i="2"/>
  <c r="AU234" i="2"/>
  <c r="I242" i="2"/>
  <c r="I241" i="2" s="1"/>
  <c r="BA247" i="2"/>
  <c r="J248" i="2"/>
  <c r="AJ90" i="2"/>
  <c r="I93" i="2"/>
  <c r="AR100" i="2"/>
  <c r="AU105" i="2"/>
  <c r="J109" i="2"/>
  <c r="AV113" i="2"/>
  <c r="BA113" i="2" s="1"/>
  <c r="AJ115" i="2"/>
  <c r="I124" i="2"/>
  <c r="AV124" i="2"/>
  <c r="AT124" i="2" s="1"/>
  <c r="AV134" i="2"/>
  <c r="I147" i="2"/>
  <c r="BF147" i="2"/>
  <c r="AB147" i="2" s="1"/>
  <c r="I152" i="2"/>
  <c r="AU152" i="2"/>
  <c r="BG157" i="2"/>
  <c r="AC157" i="2" s="1"/>
  <c r="J162" i="2"/>
  <c r="J164" i="2"/>
  <c r="J180" i="2"/>
  <c r="AV180" i="2"/>
  <c r="BG184" i="2"/>
  <c r="AC184" i="2" s="1"/>
  <c r="J213" i="2"/>
  <c r="AV215" i="2"/>
  <c r="BA217" i="2"/>
  <c r="I219" i="2"/>
  <c r="AU219" i="2"/>
  <c r="AJ224" i="2"/>
  <c r="I234" i="2"/>
  <c r="AV234" i="2"/>
  <c r="I113" i="2"/>
  <c r="I121" i="2"/>
  <c r="I134" i="2"/>
  <c r="AQ175" i="2"/>
  <c r="AU197" i="2"/>
  <c r="I215" i="2"/>
  <c r="I226" i="2"/>
  <c r="BF226" i="2"/>
  <c r="AB226" i="2" s="1"/>
  <c r="BF242" i="2"/>
  <c r="Z242" i="2" s="1"/>
  <c r="J134" i="2"/>
  <c r="AU146" i="2"/>
  <c r="J149" i="2"/>
  <c r="AU154" i="2"/>
  <c r="I159" i="2"/>
  <c r="J174" i="2"/>
  <c r="M175" i="2"/>
  <c r="H18" i="1" s="1"/>
  <c r="AV188" i="2"/>
  <c r="I197" i="2"/>
  <c r="J215" i="2"/>
  <c r="J240" i="2"/>
  <c r="BA51" i="2"/>
  <c r="BA55" i="2"/>
  <c r="BG39" i="2"/>
  <c r="AA39" i="2" s="1"/>
  <c r="BF90" i="2"/>
  <c r="Z90" i="2" s="1"/>
  <c r="AJ105" i="2"/>
  <c r="K100" i="2"/>
  <c r="G15" i="1" s="1"/>
  <c r="J15" i="1" s="1"/>
  <c r="AS116" i="2"/>
  <c r="AV163" i="2"/>
  <c r="AT163" i="2" s="1"/>
  <c r="BG163" i="2"/>
  <c r="AC163" i="2" s="1"/>
  <c r="BA176" i="2"/>
  <c r="AT176" i="2"/>
  <c r="AJ217" i="2"/>
  <c r="M14" i="2"/>
  <c r="AV15" i="2"/>
  <c r="AV24" i="2"/>
  <c r="AV28" i="2"/>
  <c r="AV37" i="2"/>
  <c r="AV43" i="2"/>
  <c r="I50" i="2"/>
  <c r="BF51" i="2"/>
  <c r="AV53" i="2"/>
  <c r="I54" i="2"/>
  <c r="BF55" i="2"/>
  <c r="M56" i="2"/>
  <c r="H14" i="1" s="1"/>
  <c r="BF57" i="2"/>
  <c r="Z57" i="2" s="1"/>
  <c r="AV75" i="2"/>
  <c r="BA75" i="2" s="1"/>
  <c r="J84" i="2"/>
  <c r="BG93" i="2"/>
  <c r="AA93" i="2" s="1"/>
  <c r="BF96" i="2"/>
  <c r="Z96" i="2" s="1"/>
  <c r="M100" i="2"/>
  <c r="H15" i="1" s="1"/>
  <c r="BG126" i="2"/>
  <c r="AC126" i="2" s="1"/>
  <c r="AV126" i="2"/>
  <c r="AT126" i="2" s="1"/>
  <c r="AR138" i="2"/>
  <c r="BG147" i="2"/>
  <c r="AC147" i="2" s="1"/>
  <c r="AV151" i="2"/>
  <c r="AT151" i="2" s="1"/>
  <c r="BG151" i="2"/>
  <c r="AC151" i="2" s="1"/>
  <c r="AU153" i="2"/>
  <c r="J163" i="2"/>
  <c r="AV193" i="2"/>
  <c r="AT193" i="2" s="1"/>
  <c r="BG193" i="2"/>
  <c r="AC193" i="2" s="1"/>
  <c r="BA242" i="2"/>
  <c r="AT242" i="2"/>
  <c r="AU50" i="2"/>
  <c r="I51" i="2"/>
  <c r="BF52" i="2"/>
  <c r="AU54" i="2"/>
  <c r="I55" i="2"/>
  <c r="AJ66" i="2"/>
  <c r="BF66" i="2"/>
  <c r="Z66" i="2" s="1"/>
  <c r="AU87" i="2"/>
  <c r="I90" i="2"/>
  <c r="AT96" i="2"/>
  <c r="BF99" i="2"/>
  <c r="BG173" i="2"/>
  <c r="AC173" i="2" s="1"/>
  <c r="M203" i="2"/>
  <c r="H19" i="1" s="1"/>
  <c r="AV226" i="2"/>
  <c r="AT226" i="2" s="1"/>
  <c r="BG226" i="2"/>
  <c r="AC226" i="2" s="1"/>
  <c r="AT55" i="2"/>
  <c r="K116" i="2"/>
  <c r="G16" i="1" s="1"/>
  <c r="J16" i="1" s="1"/>
  <c r="AJ146" i="2"/>
  <c r="I149" i="2"/>
  <c r="BG153" i="2"/>
  <c r="AC153" i="2" s="1"/>
  <c r="AT157" i="2"/>
  <c r="AU159" i="2"/>
  <c r="K175" i="2"/>
  <c r="G18" i="1" s="1"/>
  <c r="J18" i="1" s="1"/>
  <c r="AT217" i="2"/>
  <c r="J26" i="2"/>
  <c r="BG30" i="2"/>
  <c r="AA30" i="2" s="1"/>
  <c r="J39" i="2"/>
  <c r="AT51" i="2"/>
  <c r="I57" i="2"/>
  <c r="AV21" i="2"/>
  <c r="AV26" i="2"/>
  <c r="AV30" i="2"/>
  <c r="I52" i="2"/>
  <c r="AJ53" i="2"/>
  <c r="BF53" i="2"/>
  <c r="J57" i="2"/>
  <c r="I66" i="2"/>
  <c r="J93" i="2"/>
  <c r="J96" i="2"/>
  <c r="I99" i="2"/>
  <c r="I101" i="2"/>
  <c r="BF109" i="2"/>
  <c r="AB109" i="2" s="1"/>
  <c r="BG139" i="2"/>
  <c r="AC139" i="2" s="1"/>
  <c r="AT147" i="2"/>
  <c r="AU149" i="2"/>
  <c r="J157" i="2"/>
  <c r="BG176" i="2"/>
  <c r="AC176" i="2" s="1"/>
  <c r="BD180" i="2"/>
  <c r="J193" i="2"/>
  <c r="AU202" i="2"/>
  <c r="BF202" i="2"/>
  <c r="BA213" i="2"/>
  <c r="AT213" i="2"/>
  <c r="K203" i="2"/>
  <c r="G19" i="1" s="1"/>
  <c r="J19" i="1" s="1"/>
  <c r="AJ215" i="2"/>
  <c r="J226" i="2"/>
  <c r="J21" i="2"/>
  <c r="AJ84" i="2"/>
  <c r="BF84" i="2"/>
  <c r="Z84" i="2" s="1"/>
  <c r="BA96" i="2"/>
  <c r="AV136" i="2"/>
  <c r="BG136" i="2"/>
  <c r="AC136" i="2" s="1"/>
  <c r="K138" i="2"/>
  <c r="G17" i="1" s="1"/>
  <c r="J17" i="1" s="1"/>
  <c r="J147" i="2"/>
  <c r="AJ193" i="2"/>
  <c r="AS175" i="2" s="1"/>
  <c r="AV202" i="2"/>
  <c r="J202" i="2"/>
  <c r="BG202" i="2"/>
  <c r="AV222" i="2"/>
  <c r="BA222" i="2" s="1"/>
  <c r="BG222" i="2"/>
  <c r="J222" i="2"/>
  <c r="K56" i="2"/>
  <c r="BA101" i="2"/>
  <c r="BD248" i="2"/>
  <c r="AJ204" i="2"/>
  <c r="AU117" i="2"/>
  <c r="AQ138" i="2"/>
  <c r="BF213" i="2"/>
  <c r="AB213" i="2" s="1"/>
  <c r="AJ237" i="2"/>
  <c r="BG237" i="2"/>
  <c r="AC237" i="2" s="1"/>
  <c r="I247" i="2"/>
  <c r="M138" i="2"/>
  <c r="H17" i="1" s="1"/>
  <c r="AJ213" i="2"/>
  <c r="BG213" i="2"/>
  <c r="AC213" i="2" s="1"/>
  <c r="M223" i="2"/>
  <c r="H20" i="1" s="1"/>
  <c r="BG248" i="2"/>
  <c r="BG242" i="2"/>
  <c r="AA242" i="2" s="1"/>
  <c r="BF247" i="2"/>
  <c r="AT234" i="2" l="1"/>
  <c r="AT229" i="2"/>
  <c r="AT111" i="2"/>
  <c r="BA52" i="2"/>
  <c r="BA188" i="2"/>
  <c r="BA146" i="2"/>
  <c r="J246" i="2"/>
  <c r="G22" i="1"/>
  <c r="J22" i="1" s="1"/>
  <c r="AT232" i="2"/>
  <c r="AT148" i="2"/>
  <c r="BA173" i="2"/>
  <c r="BA237" i="2"/>
  <c r="I246" i="2"/>
  <c r="AT84" i="2"/>
  <c r="BA204" i="2"/>
  <c r="BA229" i="2"/>
  <c r="AT184" i="2"/>
  <c r="AT215" i="2"/>
  <c r="AT162" i="2"/>
  <c r="AT139" i="2"/>
  <c r="BA215" i="2"/>
  <c r="BA43" i="2"/>
  <c r="AT137" i="2"/>
  <c r="AT113" i="2"/>
  <c r="AT204" i="2"/>
  <c r="BA150" i="2"/>
  <c r="AT240" i="2"/>
  <c r="AT57" i="2"/>
  <c r="BA26" i="2"/>
  <c r="BA134" i="2"/>
  <c r="BA162" i="2"/>
  <c r="J175" i="2"/>
  <c r="BA90" i="2"/>
  <c r="AT21" i="2"/>
  <c r="AT154" i="2"/>
  <c r="J116" i="2"/>
  <c r="AT146" i="2"/>
  <c r="I223" i="2"/>
  <c r="AS100" i="2"/>
  <c r="BA164" i="2"/>
  <c r="BA224" i="2"/>
  <c r="I116" i="2"/>
  <c r="AT134" i="2"/>
  <c r="AS138" i="2"/>
  <c r="AT93" i="2"/>
  <c r="BA240" i="2"/>
  <c r="BA30" i="2"/>
  <c r="BA124" i="2"/>
  <c r="I175" i="2"/>
  <c r="I14" i="2"/>
  <c r="J100" i="2"/>
  <c r="BA226" i="2"/>
  <c r="AS223" i="2"/>
  <c r="AT188" i="2"/>
  <c r="I100" i="2"/>
  <c r="BA66" i="2"/>
  <c r="J203" i="2"/>
  <c r="I138" i="2"/>
  <c r="BA148" i="2"/>
  <c r="AT115" i="2"/>
  <c r="AS56" i="2"/>
  <c r="AT75" i="2"/>
  <c r="BA154" i="2"/>
  <c r="BA24" i="2"/>
  <c r="I203" i="2"/>
  <c r="AS203" i="2"/>
  <c r="AS14" i="2"/>
  <c r="BA136" i="2"/>
  <c r="J138" i="2"/>
  <c r="BA193" i="2"/>
  <c r="BA137" i="2"/>
  <c r="J223" i="2"/>
  <c r="BA151" i="2"/>
  <c r="BA99" i="2"/>
  <c r="BA219" i="2"/>
  <c r="AT219" i="2"/>
  <c r="AT150" i="2"/>
  <c r="BA109" i="2"/>
  <c r="J13" i="1"/>
  <c r="AT224" i="2"/>
  <c r="BA163" i="2"/>
  <c r="BA37" i="2"/>
  <c r="BA180" i="2"/>
  <c r="AT180" i="2"/>
  <c r="AT174" i="2"/>
  <c r="BA174" i="2"/>
  <c r="AT136" i="2"/>
  <c r="AT248" i="2"/>
  <c r="BA28" i="2"/>
  <c r="AT24" i="2"/>
  <c r="BA152" i="2"/>
  <c r="AT152" i="2"/>
  <c r="AT197" i="2"/>
  <c r="BA197" i="2"/>
  <c r="AT164" i="2"/>
  <c r="BA234" i="2"/>
  <c r="AT158" i="2"/>
  <c r="BA158" i="2"/>
  <c r="AT105" i="2"/>
  <c r="BA105" i="2"/>
  <c r="J14" i="2"/>
  <c r="AT39" i="2"/>
  <c r="I56" i="2"/>
  <c r="BA50" i="2"/>
  <c r="AT50" i="2"/>
  <c r="J56" i="2"/>
  <c r="G14" i="1"/>
  <c r="J14" i="1" s="1"/>
  <c r="K13" i="2"/>
  <c r="L12" i="1" s="1"/>
  <c r="AT30" i="2"/>
  <c r="BA126" i="2"/>
  <c r="BA21" i="2"/>
  <c r="BA87" i="2"/>
  <c r="AT87" i="2"/>
  <c r="AT28" i="2"/>
  <c r="K249" i="2"/>
  <c r="AT26" i="2"/>
  <c r="AT15" i="2"/>
  <c r="BA15" i="2"/>
  <c r="BA117" i="2"/>
  <c r="AT117" i="2"/>
  <c r="BA159" i="2"/>
  <c r="AT159" i="2"/>
  <c r="BA53" i="2"/>
  <c r="AT53" i="2"/>
  <c r="M13" i="2"/>
  <c r="H13" i="1"/>
  <c r="AT37" i="2"/>
  <c r="AT43" i="2"/>
  <c r="BA149" i="2"/>
  <c r="AT149" i="2"/>
  <c r="BA54" i="2"/>
  <c r="AT54" i="2"/>
  <c r="AT222" i="2"/>
  <c r="BA202" i="2"/>
  <c r="AT202" i="2"/>
  <c r="H22" i="1"/>
  <c r="BA153" i="2"/>
  <c r="AT153" i="2"/>
  <c r="J13" i="2" l="1"/>
  <c r="G23" i="1"/>
  <c r="G24" i="1" s="1"/>
  <c r="G25" i="1" s="1"/>
  <c r="I13" i="2"/>
</calcChain>
</file>

<file path=xl/sharedStrings.xml><?xml version="1.0" encoding="utf-8"?>
<sst xmlns="http://schemas.openxmlformats.org/spreadsheetml/2006/main" count="1488" uniqueCount="472">
  <si>
    <t>Název stavby:</t>
  </si>
  <si>
    <t>Doba výstavby:</t>
  </si>
  <si>
    <t>Objednatel: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</si>
  <si>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</si>
  <si>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</si>
  <si>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</si>
  <si>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</si>
  <si>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</si>
  <si>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</si>
  <si>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</si>
  <si>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</si>
  <si>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</si>
  <si>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 xml:space="preserve"> </t>
  </si>
  <si>
    <t>Náklady (Kč)</t>
  </si>
  <si>
    <t>Hmotnost (t)</t>
  </si>
  <si>
    <t>Objekt</t>
  </si>
  <si>
    <t>Kód</t>
  </si>
  <si>
    <t>Zkrácený popis</t>
  </si>
  <si>
    <t>Dodávka</t>
  </si>
  <si>
    <t>Montáž</t>
  </si>
  <si>
    <t>Celkem</t>
  </si>
  <si>
    <t/>
  </si>
  <si>
    <t>F</t>
  </si>
  <si>
    <t>96</t>
  </si>
  <si>
    <t>Bourání konstrukcí</t>
  </si>
  <si>
    <t>T</t>
  </si>
  <si>
    <t>61</t>
  </si>
  <si>
    <t>Úprava povrchů vnitřní</t>
  </si>
  <si>
    <t>764</t>
  </si>
  <si>
    <t>Konstrukce klempířské</t>
  </si>
  <si>
    <t>766</t>
  </si>
  <si>
    <t>Konstrukce truhlářské</t>
  </si>
  <si>
    <t>767</t>
  </si>
  <si>
    <t>Výplně venkovních otvorů</t>
  </si>
  <si>
    <t>781</t>
  </si>
  <si>
    <t>Obklady (keramické)</t>
  </si>
  <si>
    <t>784</t>
  </si>
  <si>
    <t>Malby</t>
  </si>
  <si>
    <t>786</t>
  </si>
  <si>
    <t>Zastiňující technika</t>
  </si>
  <si>
    <t>95</t>
  </si>
  <si>
    <t>Ostatní a dokončovací práce</t>
  </si>
  <si>
    <t>Celkem:</t>
  </si>
  <si>
    <t>Stavební rozpočet</t>
  </si>
  <si>
    <t>KULTURNÍ DŮM ZÁBŘEH - VÝMĚNA OKEN</t>
  </si>
  <si>
    <t>Město Zábřeh</t>
  </si>
  <si>
    <t> </t>
  </si>
  <si>
    <t>Č</t>
  </si>
  <si>
    <t>MJ</t>
  </si>
  <si>
    <t>Množství</t>
  </si>
  <si>
    <t>Cena/MJ</t>
  </si>
  <si>
    <t>Cenová</t>
  </si>
  <si>
    <t>ISWORK</t>
  </si>
  <si>
    <t>GROUPCODE</t>
  </si>
  <si>
    <t>VATTAX</t>
  </si>
  <si>
    <t>Rozměry</t>
  </si>
  <si>
    <t>(Kč)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</si>
  <si>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</si>
  <si>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</si>
  <si>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</si>
  <si>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</si>
  <si>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</si>
  <si>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</si>
  <si>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</si>
  <si>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</si>
  <si>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</si>
  <si>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</si>
  <si>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</si>
  <si>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</si>
  <si>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</si>
  <si>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</si>
  <si>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</si>
  <si>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968083001R00</t>
  </si>
  <si>
    <t>Vybourání plastových oken do 1 m2</t>
  </si>
  <si>
    <t>m2</t>
  </si>
  <si>
    <t>21</t>
  </si>
  <si>
    <t>RTS II / 2024</t>
  </si>
  <si>
    <t>96_</t>
  </si>
  <si>
    <t>_9_</t>
  </si>
  <si>
    <t>_</t>
  </si>
  <si>
    <t>10*(0,85*0,85)</t>
  </si>
  <si>
    <t>okna poz.O.1</t>
  </si>
  <si>
    <t>(35+4)*(0,90*0,60)</t>
  </si>
  <si>
    <t>okna poz.O.5</t>
  </si>
  <si>
    <t>2*(0,90*0,60)</t>
  </si>
  <si>
    <t>okna poz.O.5L</t>
  </si>
  <si>
    <t>okna poz.O.5m</t>
  </si>
  <si>
    <t>3*(0,85*0,85)</t>
  </si>
  <si>
    <t>okna poz.O.8</t>
  </si>
  <si>
    <t>2</t>
  </si>
  <si>
    <t>968083003R00</t>
  </si>
  <si>
    <t>Vybourání plastových oken do 4 m2</t>
  </si>
  <si>
    <t>(38+2)*(1,27*2,05)</t>
  </si>
  <si>
    <t>okna poz.O.2</t>
  </si>
  <si>
    <t>2*(1,27*1,95)</t>
  </si>
  <si>
    <t>okna poz.O.3</t>
  </si>
  <si>
    <t>3</t>
  </si>
  <si>
    <t>968083033R00</t>
  </si>
  <si>
    <t>Vybourání plastových stěn plochy nad 4 m2</t>
  </si>
  <si>
    <t>4*(5,32*1,95)</t>
  </si>
  <si>
    <t>sestava oken poz.O.4</t>
  </si>
  <si>
    <t>4</t>
  </si>
  <si>
    <t>968083012R00</t>
  </si>
  <si>
    <t>Vybourání plastových prosklených dveří pl.nad 2 m2</t>
  </si>
  <si>
    <t>1*(1,35*2,90)</t>
  </si>
  <si>
    <t>vstupní dveře poz.O.6</t>
  </si>
  <si>
    <t>5</t>
  </si>
  <si>
    <t>968083022R00</t>
  </si>
  <si>
    <t>Vybourání plastových plných dveří pl.nad 2 m2</t>
  </si>
  <si>
    <t>1*(1,08*2,05)</t>
  </si>
  <si>
    <t>vstupní dveře poz.O.7</t>
  </si>
  <si>
    <t>6</t>
  </si>
  <si>
    <t>968096002R00</t>
  </si>
  <si>
    <t>Bourání parapetů vnitřních plastových š. do 50 cm</t>
  </si>
  <si>
    <t>m</t>
  </si>
  <si>
    <t>10*0,85</t>
  </si>
  <si>
    <t>(38+2)*1,27</t>
  </si>
  <si>
    <t>2*1,27</t>
  </si>
  <si>
    <t>4*5,32</t>
  </si>
  <si>
    <t>okna poz.O.4</t>
  </si>
  <si>
    <t>(35+2+2)*0,90</t>
  </si>
  <si>
    <t>okna poz.O.5+O.5L+O.5m</t>
  </si>
  <si>
    <t>3*0,85</t>
  </si>
  <si>
    <t>7</t>
  </si>
  <si>
    <t>967031132R00</t>
  </si>
  <si>
    <t>Přisekání rovných ostění cihelných na MVC</t>
  </si>
  <si>
    <t>36*(0,40*2,05)+3*(0,70*2,05)</t>
  </si>
  <si>
    <t>meziokenní pilíře</t>
  </si>
  <si>
    <t>8</t>
  </si>
  <si>
    <t>781900010RA0</t>
  </si>
  <si>
    <t>Odsekání obkladů vnitřních</t>
  </si>
  <si>
    <t>8*(1,27+2,05*2)*0,30</t>
  </si>
  <si>
    <t>10*(0,85+0,85*2)*0,30</t>
  </si>
  <si>
    <t>10*(0,90+0,60*2)*0,30</t>
  </si>
  <si>
    <t>9</t>
  </si>
  <si>
    <t>764410850R00</t>
  </si>
  <si>
    <t>Demontáž oplechování venkovních parapetů, rš od 100 do 330 mm</t>
  </si>
  <si>
    <t>10</t>
  </si>
  <si>
    <t>979011111R00</t>
  </si>
  <si>
    <t>Svislá doprava suti a vybour. hmot - za 2.NP a 1.PP</t>
  </si>
  <si>
    <t>t</t>
  </si>
  <si>
    <t>11</t>
  </si>
  <si>
    <t>979082111R00-R1</t>
  </si>
  <si>
    <t>Vnitrostaveništní doprava suti a vybour. hmot</t>
  </si>
  <si>
    <t>firemní</t>
  </si>
  <si>
    <t>12</t>
  </si>
  <si>
    <t>979083114R00</t>
  </si>
  <si>
    <t>Vodorovné přemístění suti na skládku do 3000 m; vč. naložení a složení</t>
  </si>
  <si>
    <t>13</t>
  </si>
  <si>
    <t>979990163R00</t>
  </si>
  <si>
    <t>Poplatek za uložení suti - plast + sklo</t>
  </si>
  <si>
    <t>14</t>
  </si>
  <si>
    <t>979990107R00</t>
  </si>
  <si>
    <t>Poplatek za uložení suti - směs betonu, cihel</t>
  </si>
  <si>
    <t>15</t>
  </si>
  <si>
    <t>979951111R00</t>
  </si>
  <si>
    <t>Výkup kovů - železný šrot tl. do 4 mm</t>
  </si>
  <si>
    <t>16</t>
  </si>
  <si>
    <t>612409000R00-R1</t>
  </si>
  <si>
    <t>Zednické zapravení interiérového ostění hl. 400 mm; s použitím suché maltové směsi</t>
  </si>
  <si>
    <t>61_</t>
  </si>
  <si>
    <t>_6_</t>
  </si>
  <si>
    <t>10*((0,85+0,85)*2)</t>
  </si>
  <si>
    <t>38*((1,27+2,05)*2)</t>
  </si>
  <si>
    <t>2*((1,27+1,95)*2)</t>
  </si>
  <si>
    <t>4*((5,32+1,95)*2)</t>
  </si>
  <si>
    <t>(35+2+2)*((0,90+0,60)*2)</t>
  </si>
  <si>
    <t>3*((0,85+0,85)*2)</t>
  </si>
  <si>
    <t>1*(1,35+2,90*2)</t>
  </si>
  <si>
    <t>dveře poz.O.6</t>
  </si>
  <si>
    <t>1*(1,08+2,05*2)</t>
  </si>
  <si>
    <t>dveře poz.O.7</t>
  </si>
  <si>
    <t>17</t>
  </si>
  <si>
    <t>612473186R00</t>
  </si>
  <si>
    <t>Příplatek za zabudované rohovníky pro vnitřní omítky; ostění+nadpraží+parapet; vč. dodávky</t>
  </si>
  <si>
    <t>18</t>
  </si>
  <si>
    <t>610991004R00</t>
  </si>
  <si>
    <t>Začišťovací okenní lišta samolepící, pro vnitřní omítku tl.15 mm</t>
  </si>
  <si>
    <t>10*(0,85+0,85*2)</t>
  </si>
  <si>
    <t>38*(1,27+2,05*2)</t>
  </si>
  <si>
    <t>2*(1,27+1,95*2)</t>
  </si>
  <si>
    <t>4*(5,32+1,95*2)</t>
  </si>
  <si>
    <t>(35+2+2)*(0,90+0,60*2)</t>
  </si>
  <si>
    <t>3*(0,85+0,85*2)</t>
  </si>
  <si>
    <t>19</t>
  </si>
  <si>
    <t>310271630R00</t>
  </si>
  <si>
    <t>Zazdívka otvorů do 4 m2, pórobeton. tvárnice, tl.30cm</t>
  </si>
  <si>
    <t>m3</t>
  </si>
  <si>
    <t>2*(1,27*2,05*0,30)</t>
  </si>
  <si>
    <t>2x okno v místnosti č. 1.21</t>
  </si>
  <si>
    <t>4*(0,90*0,60)</t>
  </si>
  <si>
    <t>4x oknio v místnosti č. 0.19</t>
  </si>
  <si>
    <t>20</t>
  </si>
  <si>
    <t>784402801R00</t>
  </si>
  <si>
    <t>Odstranění malby oškrábáním v místnosti H do 3,8 m</t>
  </si>
  <si>
    <t>3,40*3,10-2*(1,27*2,05)</t>
  </si>
  <si>
    <t>kolem zazděných oken v č.m. 1.21</t>
  </si>
  <si>
    <t>9,05*2,40-6*(0,90*0,60)</t>
  </si>
  <si>
    <t>kolem zazděných oken v č.m. 0.19</t>
  </si>
  <si>
    <t>602022191R00</t>
  </si>
  <si>
    <t>Penetrační nátěr stěn vnitřních, nanášený ručně</t>
  </si>
  <si>
    <t>3,40*3,10</t>
  </si>
  <si>
    <t>stěna se zazděnými okny v č.m. 1.21</t>
  </si>
  <si>
    <t>9,05*2,40-2*(0,90*0,60)</t>
  </si>
  <si>
    <t>stěna se zazděnými okny v č.m. 0.19</t>
  </si>
  <si>
    <t>22</t>
  </si>
  <si>
    <t>612481211RT8</t>
  </si>
  <si>
    <t>Montáž výztužné sítě (perlinky) do stěrky - vnitřní stěny, vč. sítě a tmelu</t>
  </si>
  <si>
    <t>23</t>
  </si>
  <si>
    <t>602011141RT3</t>
  </si>
  <si>
    <t>Štuková omítka na stěnách vnitřních, nanášená ručně, tl. 4 mm</t>
  </si>
  <si>
    <t>24</t>
  </si>
  <si>
    <t>998011002R00</t>
  </si>
  <si>
    <t>Přesun hmot pro budovy zděné výšky do 12 m</t>
  </si>
  <si>
    <t>25</t>
  </si>
  <si>
    <t>764411122R00</t>
  </si>
  <si>
    <t>D+M Oplechování parapetů z tažených Al profilů, š. 255 mm; barva tm.šedá</t>
  </si>
  <si>
    <t>764_</t>
  </si>
  <si>
    <t>_76_</t>
  </si>
  <si>
    <t>16,95</t>
  </si>
  <si>
    <t>poz. K.1 - průběžný parapet 1.NP</t>
  </si>
  <si>
    <t>42,30</t>
  </si>
  <si>
    <t>poz. K.2 - průběžný parapet 2.NP</t>
  </si>
  <si>
    <t>2*1,30</t>
  </si>
  <si>
    <t>poz. K.3</t>
  </si>
  <si>
    <t>26</t>
  </si>
  <si>
    <t>764411127R00</t>
  </si>
  <si>
    <t>D+M Oplechování parapetů z tažených Al profilů, š. 320 mm; barva tm.šedá</t>
  </si>
  <si>
    <t>13*0,90</t>
  </si>
  <si>
    <t>poz. K.4</t>
  </si>
  <si>
    <t>4*5,60</t>
  </si>
  <si>
    <t>poz. K.5</t>
  </si>
  <si>
    <t>39*0,90</t>
  </si>
  <si>
    <t>poz. K.6</t>
  </si>
  <si>
    <t>27</t>
  </si>
  <si>
    <t>764411155R00</t>
  </si>
  <si>
    <t>Boční krytky, AL, pro šířku parapetu 195-240 mm; barva tm.šedá</t>
  </si>
  <si>
    <t>pár</t>
  </si>
  <si>
    <t>1+1+2</t>
  </si>
  <si>
    <t>pro poz. K.1, K.2, K.3</t>
  </si>
  <si>
    <t>28</t>
  </si>
  <si>
    <t>764411157R00</t>
  </si>
  <si>
    <t>Boční krytky, AL, pro šířku parapetu 260-360 mm; barva tm.šedá</t>
  </si>
  <si>
    <t>13+4+39</t>
  </si>
  <si>
    <t>pro poz. K.4, K.5, K.6</t>
  </si>
  <si>
    <t>29</t>
  </si>
  <si>
    <t>764411171R00</t>
  </si>
  <si>
    <t>Spojení parapetů rovné, AL, pro šířky 50-360 mm</t>
  </si>
  <si>
    <t>kus</t>
  </si>
  <si>
    <t>30</t>
  </si>
  <si>
    <t>pro poz. K.1, K.2</t>
  </si>
  <si>
    <t>998764102R00</t>
  </si>
  <si>
    <t>Přesun hmot pro klempířské konstr., výšky do 12 m</t>
  </si>
  <si>
    <t>RTS I / 2024</t>
  </si>
  <si>
    <t>31</t>
  </si>
  <si>
    <t>766694121R00</t>
  </si>
  <si>
    <t>Montáž parapetních desek š. nad 30 cm, dl. do 100 cm</t>
  </si>
  <si>
    <t>766_</t>
  </si>
  <si>
    <t>35+2+2</t>
  </si>
  <si>
    <t>32</t>
  </si>
  <si>
    <t>766694122R00</t>
  </si>
  <si>
    <t>Montáž parapetních desek š. nad 30 cm, dl. do 160 cm</t>
  </si>
  <si>
    <t>38</t>
  </si>
  <si>
    <t>okna poz. O.2</t>
  </si>
  <si>
    <t>okna poz. O.3</t>
  </si>
  <si>
    <t>33</t>
  </si>
  <si>
    <t>766694124R00</t>
  </si>
  <si>
    <t>Montáž parapetních desek š. nad 30 cm, dl. nad 260 cm</t>
  </si>
  <si>
    <t>okna poz. O.4</t>
  </si>
  <si>
    <t>34</t>
  </si>
  <si>
    <t>60775524</t>
  </si>
  <si>
    <t>Parapet interiér PVC komůrkový, šíře 350 mm, barva dle vzorníku</t>
  </si>
  <si>
    <t>38*1,27</t>
  </si>
  <si>
    <t>;ztratné 20%; 23,646</t>
  </si>
  <si>
    <t>35</t>
  </si>
  <si>
    <t>60775550</t>
  </si>
  <si>
    <t>Krytka boční pro PVC parapety 400 mm, oboustranně barevná</t>
  </si>
  <si>
    <t>2*(10+38+2+4+35+2+2+3)</t>
  </si>
  <si>
    <t>36</t>
  </si>
  <si>
    <t>60775459</t>
  </si>
  <si>
    <t>Spojka plastová pro PVC parapet</t>
  </si>
  <si>
    <t>37</t>
  </si>
  <si>
    <t>998766102R00</t>
  </si>
  <si>
    <t>Přesun hmot pro truhlářské konstr., výšky do 12 m</t>
  </si>
  <si>
    <t>767616111R00</t>
  </si>
  <si>
    <t>Montáž oken z Al. profilů; parapet a nadpraží montáž vsazená, boky předsazená</t>
  </si>
  <si>
    <t>767_</t>
  </si>
  <si>
    <t>38*(1,27*2,05)</t>
  </si>
  <si>
    <t>(35+2+2)*(0,90*0,60)</t>
  </si>
  <si>
    <t>39</t>
  </si>
  <si>
    <t>55389100-R1</t>
  </si>
  <si>
    <t>Okno hliníkové jednokřídlé, 1x OS; rozm. 850x850 mm; poz.O.1;  komplet vč. příslušenství dle specifikace v PD</t>
  </si>
  <si>
    <t>ks</t>
  </si>
  <si>
    <t>40</t>
  </si>
  <si>
    <t>55389100-R2</t>
  </si>
  <si>
    <t>Okno hliníkové dvoukřídlé s poutcem, 2x OS; rozm. 1270x2050 mm; poz.O.2;  komplet vč. příslušenství dle specifikace v PD</t>
  </si>
  <si>
    <t>41</t>
  </si>
  <si>
    <t>55389100-R3</t>
  </si>
  <si>
    <t>Okno hliníkové dvoukřídlé s poutcem, 2x OS; rozm. 1270x1950 mm; poz.O.3;  komplet vč. příslušenství dle specifikace v PD</t>
  </si>
  <si>
    <t>42</t>
  </si>
  <si>
    <t>55389100-R4</t>
  </si>
  <si>
    <t>Sestava oken hliníkových, 8x OS; rozm. 5320x1950 mm; poz.O.4;  komplet vč. příslušenství dle specifikace v PD</t>
  </si>
  <si>
    <t>43</t>
  </si>
  <si>
    <t>55389100-R5</t>
  </si>
  <si>
    <t>Okno hliníkové jednokřídlé, 1x SK; rozm. 900x600 mm; poz.O.5;  komplet vč. příslušenství dle specifikace v PD</t>
  </si>
  <si>
    <t>44</t>
  </si>
  <si>
    <t>55389100-R6</t>
  </si>
  <si>
    <t>Okno hliníkové jednokřídlé, 1x SK + lamely; rozm. 900x600 mm; poz.O.5L;  komplet vč. příslušenství dle specifikace v PD</t>
  </si>
  <si>
    <t>45</t>
  </si>
  <si>
    <t>55389100-R7</t>
  </si>
  <si>
    <t>Okno hliníkové jednokřídlé, 1x SK + venkovní mříž; rozm. 900x600 mm; poz.O.5m;  komplet vč. příslušenství dle specifikace v PD</t>
  </si>
  <si>
    <t>46</t>
  </si>
  <si>
    <t>55389100-R8</t>
  </si>
  <si>
    <t>Okno hliníkové jednokřídlé, 1x OS; rozm. 850x850 mm; poz.O.8;  komplet vč. příslušenství dle specifikace v PD</t>
  </si>
  <si>
    <t>47</t>
  </si>
  <si>
    <t>767616111R00-R1</t>
  </si>
  <si>
    <t>Montáž oken z Al. profilů; meziokenní panely</t>
  </si>
  <si>
    <t>36*(0,40*2,05)</t>
  </si>
  <si>
    <t>okna poz.O.9</t>
  </si>
  <si>
    <t>3*(0,70*2,05)</t>
  </si>
  <si>
    <t>okna poz.O.10</t>
  </si>
  <si>
    <t>48</t>
  </si>
  <si>
    <t>55389100-R9</t>
  </si>
  <si>
    <t>Meziokenní panel plný, Al rám + izol.panel + překrytí bond; ozm. 400x2050 mm; poz.O.1;  komplet vč. příslušenství dle specifikace v PD</t>
  </si>
  <si>
    <t>49</t>
  </si>
  <si>
    <t>55389100-R10</t>
  </si>
  <si>
    <t>Meziokenní panel plný, Al rám + izol.panel + překrytí bond; ozm. 700x2050 mm; poz.O.1;  komplet vč. příslušenství dle specifikace v PD</t>
  </si>
  <si>
    <t>50</t>
  </si>
  <si>
    <t>766711021RT2</t>
  </si>
  <si>
    <t>Montáž vstupních dveří s vypěněním; na úchytky a hmoždinky</t>
  </si>
  <si>
    <t>2*(1,35+2,90)</t>
  </si>
  <si>
    <t>poz. O.6</t>
  </si>
  <si>
    <t>2*(1,08+2,05)</t>
  </si>
  <si>
    <t>poz. O.7</t>
  </si>
  <si>
    <t>51</t>
  </si>
  <si>
    <t>55389000-R1</t>
  </si>
  <si>
    <t>Dveře vstupní hliníkové, jednokřídlé prosklené, s nadsvětlíkem; rozm. 1350x2900 mm + podklad; poz.O.6; komplet vč. příslušenství dle specifikace v PD</t>
  </si>
  <si>
    <t>52</t>
  </si>
  <si>
    <t>55389000-R2</t>
  </si>
  <si>
    <t>Dveře vstupní hliníkové, jednokřídlé plné; rozm. 1080x2050 mm + podklad; poz.O.7; komplet vč. příslušenství dle specifikace v PD</t>
  </si>
  <si>
    <t>53</t>
  </si>
  <si>
    <t>766601211R00-R1</t>
  </si>
  <si>
    <t>D+M těsnění připojovací spáry, inter. PT folie + exter. PP páska, min. š.100mm</t>
  </si>
  <si>
    <t>54</t>
  </si>
  <si>
    <t>949942100R00-R1</t>
  </si>
  <si>
    <t>Příplatek za použití speciální manipulační techniky</t>
  </si>
  <si>
    <t>h</t>
  </si>
  <si>
    <t>55</t>
  </si>
  <si>
    <t>998767102R00</t>
  </si>
  <si>
    <t>Přesun hmot pro zámečnické konstr., výšky do 12 m</t>
  </si>
  <si>
    <t>56</t>
  </si>
  <si>
    <t>781101210R00</t>
  </si>
  <si>
    <t>Penetrace podkladu pod obklady; včetně dodávky materiálu</t>
  </si>
  <si>
    <t>781_</t>
  </si>
  <si>
    <t>_78_</t>
  </si>
  <si>
    <t>57</t>
  </si>
  <si>
    <t>781320121R00</t>
  </si>
  <si>
    <t>Obkládání parapetů do tmele šířky do 300 mm</t>
  </si>
  <si>
    <t>8*1,27</t>
  </si>
  <si>
    <t>10*0,90</t>
  </si>
  <si>
    <t>58</t>
  </si>
  <si>
    <t>781310121R00</t>
  </si>
  <si>
    <t>Obkládání ostění do tmele šířky do 300 mm</t>
  </si>
  <si>
    <t>8*2,05*2</t>
  </si>
  <si>
    <t>10*0,85*2</t>
  </si>
  <si>
    <t>10*0,60*2</t>
  </si>
  <si>
    <t>59</t>
  </si>
  <si>
    <t>597813620</t>
  </si>
  <si>
    <t>Obkládačka keramická glazovaná, 200 x 200 mm šedá mat</t>
  </si>
  <si>
    <t>;ztratné 20%; 5,3676</t>
  </si>
  <si>
    <t>60</t>
  </si>
  <si>
    <t>781111121R00</t>
  </si>
  <si>
    <t>Montáž lišt ke keram. obkladům</t>
  </si>
  <si>
    <t>8*(1,27+2,05*2)</t>
  </si>
  <si>
    <t>10*(0,90+0,60*2)</t>
  </si>
  <si>
    <t>5537080000-R1</t>
  </si>
  <si>
    <t>Lišta ukončovací "L", pro keram. obklady tl. 8 mm; broušená nerez</t>
  </si>
  <si>
    <t>;ztratné 20%; 17,892</t>
  </si>
  <si>
    <t>62</t>
  </si>
  <si>
    <t>998781102R00</t>
  </si>
  <si>
    <t>Přesun hmot pro obklady keramické, výšky do 12 m</t>
  </si>
  <si>
    <t>63</t>
  </si>
  <si>
    <t>610991111R00</t>
  </si>
  <si>
    <t>Zakrývání výplní otvorů, včetně odstranění a likvidace; vč. PE fólie</t>
  </si>
  <si>
    <t>784_</t>
  </si>
  <si>
    <t>64</t>
  </si>
  <si>
    <t>784011222RT2</t>
  </si>
  <si>
    <t>Zakrytí podlah, včetně odstranění; vč. papírové lepenky</t>
  </si>
  <si>
    <t>(50,40+29,60+4,10+22,30+5,90+24,50+40,70+5,90)*1,50</t>
  </si>
  <si>
    <t>počítána šíře 1,50 m při dotčených obvod. stěnách</t>
  </si>
  <si>
    <t>65</t>
  </si>
  <si>
    <t>784011221RT2</t>
  </si>
  <si>
    <t>Zakrytí předmětů, včetně odstranění; vč. PE fólie</t>
  </si>
  <si>
    <t>(50,40+29,60+4,10+22,30)*1,50</t>
  </si>
  <si>
    <t>66</t>
  </si>
  <si>
    <t>784450020RA0</t>
  </si>
  <si>
    <t>Malba z malířské směsi; 1x penetrace, 2x výmalba extrabílá</t>
  </si>
  <si>
    <t>378,66*0,40</t>
  </si>
  <si>
    <t>ostění oken po zednickém zapravení</t>
  </si>
  <si>
    <t>67</t>
  </si>
  <si>
    <t>784950030RAA</t>
  </si>
  <si>
    <t>Oprava maleb z malířských směsí; oškrábání, umytí, vyhlazení, 2x malba</t>
  </si>
  <si>
    <t>50,40*2,95+29,60*2,40+(4,10+22,30+5,90)*3,30+(24,50+40,70+5,90)*3,30</t>
  </si>
  <si>
    <t>dotčené interiér. obvodové stěny - plochy brutto</t>
  </si>
  <si>
    <t>-181,963</t>
  </si>
  <si>
    <t>odpočet otvorů</t>
  </si>
  <si>
    <t>68</t>
  </si>
  <si>
    <t>69</t>
  </si>
  <si>
    <t>786623000R00-R1</t>
  </si>
  <si>
    <t>D+M Venkovní žaluzie AL; rozm.2650x2250 mm, el. ovládání s DO, lamela Z, vodítka; komplet dle specifikace v PD</t>
  </si>
  <si>
    <t>786_</t>
  </si>
  <si>
    <t>4*2</t>
  </si>
  <si>
    <t>fasáda JZ, 2.NP</t>
  </si>
  <si>
    <t>70</t>
  </si>
  <si>
    <t>D+M Venkovní žaluzie AL; rozm.3150x2300 mm, el. ovládání s DO, lamela Z, vodítka; komplet dle specifikace v PD</t>
  </si>
  <si>
    <t>fasáda JV, 1.NP</t>
  </si>
  <si>
    <t>fasáda JV, 2.NP</t>
  </si>
  <si>
    <t>71</t>
  </si>
  <si>
    <t>786623000R00-R3</t>
  </si>
  <si>
    <t>D+M Venkovní žaluzie AL; rozm.1450x2300 mm, el. ovládání s DO, lamela Z, vodítka; komplet dle specifikace v PD</t>
  </si>
  <si>
    <t>72</t>
  </si>
  <si>
    <t>786623000R00-R11</t>
  </si>
  <si>
    <t>D+M Podomítkový box pro venkovní žaluzie, PURENIT s tepel. izolací PIR; do kontakt. zateplení; dl. 2650 mm</t>
  </si>
  <si>
    <t>73</t>
  </si>
  <si>
    <t>786623000R00-R12</t>
  </si>
  <si>
    <t>D+M Podomítkový box pro venkovní žaluzie, PURENIT s tepel. izolací PIR; do kontakt. zateplení; dl. 3150 mm</t>
  </si>
  <si>
    <t>fasáda JZ, 1.NP</t>
  </si>
  <si>
    <t>74</t>
  </si>
  <si>
    <t>786623000R00-R13</t>
  </si>
  <si>
    <t>D+M Podomítkový box pro venkovní žaluzie, PURENIT s tepel. izolací PIR; do kontakt. zateplení; dl. 1450 mm</t>
  </si>
  <si>
    <t>75</t>
  </si>
  <si>
    <t>998786102R00</t>
  </si>
  <si>
    <t>Přesun hmot pro zastiň. techniku, výšky do 12 m</t>
  </si>
  <si>
    <t>76</t>
  </si>
  <si>
    <t>952901111R00</t>
  </si>
  <si>
    <t>Vyčištění budov o výšce podlaží do 4 m</t>
  </si>
  <si>
    <t>95_</t>
  </si>
  <si>
    <t>280+110</t>
  </si>
  <si>
    <t>dotčené místnosti, 1.PP</t>
  </si>
  <si>
    <t>24+85</t>
  </si>
  <si>
    <t>dotčené místnosti, 1.NP</t>
  </si>
  <si>
    <t>285+112+74</t>
  </si>
  <si>
    <t>dotčené místnosti, 2.NP</t>
  </si>
  <si>
    <t>VORN</t>
  </si>
  <si>
    <t>Vedlejší a ostatní rozpočtové náklady</t>
  </si>
  <si>
    <t>77</t>
  </si>
  <si>
    <t>030000VRN</t>
  </si>
  <si>
    <t>Zařízení staveniště - komplet; mj. zřízení, provoz, zabezpečení, odstranění, zábory, energie</t>
  </si>
  <si>
    <t>Soubor</t>
  </si>
  <si>
    <t>99</t>
  </si>
  <si>
    <t>09VRN_</t>
  </si>
  <si>
    <t>_Â _</t>
  </si>
  <si>
    <t>78</t>
  </si>
  <si>
    <t>040000VRN</t>
  </si>
  <si>
    <t>Inženýská a kompletační činnost zhotovitele - mj. revize, dokumentace skut.provedení, pojištění a další dle obchod. podmínek</t>
  </si>
  <si>
    <t>Stavební rozpočet - REKAPITULACE</t>
  </si>
  <si>
    <t>Ing. arch. Petr Doležal</t>
  </si>
  <si>
    <t>Náklady celkem</t>
  </si>
  <si>
    <t>bez DPH</t>
  </si>
  <si>
    <t>Kč</t>
  </si>
  <si>
    <t>DPH 21%</t>
  </si>
  <si>
    <t>vč. DPH</t>
  </si>
  <si>
    <t>STAVBA</t>
  </si>
  <si>
    <t>VRN</t>
  </si>
  <si>
    <t>Slovanská 275/16, 787 01 Šumperk</t>
  </si>
  <si>
    <t>Zkrácený popis / Varianta</t>
  </si>
  <si>
    <t>Masarykovo nám. 6, 789 01  Zábřeh</t>
  </si>
  <si>
    <t>vyplní zhotovitel</t>
  </si>
  <si>
    <t>D+M Podomítkový box pro venkovní žaluzie, s tepel.izolací PIR; do kontakt. zateplení; dl. 2650 mm</t>
  </si>
  <si>
    <t>D+M Podomítkový box pro venkovní žaluzie, s tepel.izolací PIR; do kontakt. zateplení; dl. 3150 mm</t>
  </si>
  <si>
    <t>D+M Podomítkový box pro venkovní žaluzie, s tepel.izolací PIR; do kontakt. zateplení; dl. 1450 mm</t>
  </si>
  <si>
    <t>Československé armády 835/1, 789 01 Zábřeh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</si>
</sst>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3" x14ac:knownFonts="1">
    <font>
      <sz val="11"/>
      <name val="Calibri"/>
      <charset val="1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i/>
      <sz val="10"/>
      <color rgb="FF004080"/>
      <name val="Arial"/>
      <charset val="238"/>
    </font>
    <font>
      <i/>
      <sz val="10"/>
      <color rgb="FF800000"/>
      <name val="Arial"/>
      <charset val="238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9D1EA"/>
        <bgColor rgb="FFB9D1EA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1" fillId="3" borderId="4" xfId="0" applyNumberFormat="1" applyFont="1" applyFill="1" applyBorder="1" applyAlignment="1" applyProtection="1">
      <alignment horizontal="left" vertical="center"/>
    </xf>
    <xf numFmtId="4" fontId="2" fillId="3" borderId="4" xfId="0" applyNumberFormat="1" applyFont="1" applyFill="1" applyBorder="1" applyAlignment="1" applyProtection="1">
      <alignment horizontal="right" vertical="center"/>
    </xf>
    <xf numFmtId="0" fontId="2" fillId="3" borderId="4" xfId="0" applyNumberFormat="1" applyFont="1" applyFill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164" fontId="1" fillId="0" borderId="4" xfId="0" applyNumberFormat="1" applyFont="1" applyFill="1" applyBorder="1" applyAlignment="1" applyProtection="1">
      <alignment horizontal="right" vertical="center"/>
    </xf>
    <xf numFmtId="164" fontId="1" fillId="0" borderId="5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Border="1" applyAlignment="1" applyProtection="1">
      <alignment horizontal="right" vertical="center"/>
    </xf>
    <xf numFmtId="164" fontId="1" fillId="0" borderId="2" xfId="0" applyNumberFormat="1" applyFont="1" applyFill="1" applyBorder="1" applyAlignment="1" applyProtection="1">
      <alignment horizontal="right" vertical="center"/>
    </xf>
    <xf numFmtId="164" fontId="1" fillId="0" borderId="8" xfId="0" applyNumberFormat="1" applyFont="1" applyFill="1" applyBorder="1" applyAlignment="1" applyProtection="1">
      <alignment horizontal="right" vertical="center"/>
    </xf>
    <xf numFmtId="164" fontId="1" fillId="0" borderId="9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left" indent="1"/>
    </xf>
    <xf numFmtId="0" fontId="8" fillId="0" borderId="13" xfId="0" applyFont="1" applyBorder="1" applyAlignment="1"/>
    <xf numFmtId="0" fontId="7" fillId="0" borderId="13" xfId="0" applyFont="1" applyBorder="1" applyAlignment="1" applyProtection="1">
      <alignment horizontal="center"/>
    </xf>
    <xf numFmtId="0" fontId="8" fillId="0" borderId="14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0" xfId="0" applyBorder="1"/>
    <xf numFmtId="0" fontId="9" fillId="0" borderId="10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vertical="center"/>
    </xf>
    <xf numFmtId="0" fontId="6" fillId="0" borderId="18" xfId="0" applyNumberFormat="1" applyFont="1" applyFill="1" applyBorder="1" applyAlignment="1" applyProtection="1">
      <alignment vertical="center"/>
    </xf>
    <xf numFmtId="0" fontId="7" fillId="0" borderId="38" xfId="0" applyNumberFormat="1" applyFont="1" applyFill="1" applyBorder="1" applyAlignment="1" applyProtection="1">
      <alignment horizontal="left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6" fillId="0" borderId="42" xfId="0" applyNumberFormat="1" applyFont="1" applyFill="1" applyBorder="1" applyAlignment="1" applyProtection="1">
      <alignment horizontal="left" vertical="center"/>
    </xf>
    <xf numFmtId="0" fontId="6" fillId="0" borderId="42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43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6" fillId="0" borderId="41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right" vertical="center"/>
    </xf>
    <xf numFmtId="0" fontId="7" fillId="0" borderId="44" xfId="0" applyNumberFormat="1" applyFont="1" applyFill="1" applyBorder="1" applyAlignment="1" applyProtection="1">
      <alignment horizontal="center" vertical="center"/>
    </xf>
    <xf numFmtId="0" fontId="7" fillId="0" borderId="45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vertical="center"/>
    </xf>
    <xf numFmtId="4" fontId="12" fillId="4" borderId="10" xfId="0" applyNumberFormat="1" applyFont="1" applyFill="1" applyBorder="1" applyAlignment="1" applyProtection="1">
      <alignment horizontal="right" vertical="center" indent="1"/>
      <protection locked="0"/>
    </xf>
    <xf numFmtId="4" fontId="7" fillId="0" borderId="13" xfId="0" applyNumberFormat="1" applyFont="1" applyFill="1" applyBorder="1" applyAlignment="1" applyProtection="1">
      <alignment horizontal="right" indent="2"/>
    </xf>
    <xf numFmtId="4" fontId="9" fillId="0" borderId="10" xfId="0" applyNumberFormat="1" applyFont="1" applyBorder="1" applyAlignment="1">
      <alignment horizontal="right" indent="2"/>
    </xf>
    <xf numFmtId="4" fontId="10" fillId="0" borderId="11" xfId="0" applyNumberFormat="1" applyFont="1" applyBorder="1" applyAlignment="1">
      <alignment horizontal="right" vertical="center" indent="2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left" vertical="center" indent="1"/>
    </xf>
    <xf numFmtId="0" fontId="7" fillId="0" borderId="26" xfId="0" applyNumberFormat="1" applyFont="1" applyFill="1" applyBorder="1" applyAlignment="1" applyProtection="1">
      <alignment horizontal="left" vertical="center" indent="1"/>
    </xf>
    <xf numFmtId="0" fontId="7" fillId="0" borderId="27" xfId="0" applyNumberFormat="1" applyFont="1" applyFill="1" applyBorder="1" applyAlignment="1" applyProtection="1">
      <alignment horizontal="left" vertical="center" indent="1"/>
    </xf>
    <xf numFmtId="0" fontId="7" fillId="0" borderId="19" xfId="0" applyNumberFormat="1" applyFont="1" applyFill="1" applyBorder="1" applyAlignment="1" applyProtection="1">
      <alignment horizontal="left" vertical="center" indent="1"/>
    </xf>
    <xf numFmtId="0" fontId="7" fillId="0" borderId="20" xfId="0" applyNumberFormat="1" applyFont="1" applyFill="1" applyBorder="1" applyAlignment="1" applyProtection="1">
      <alignment horizontal="left" vertical="center" indent="1"/>
    </xf>
    <xf numFmtId="0" fontId="7" fillId="0" borderId="21" xfId="0" applyNumberFormat="1" applyFont="1" applyFill="1" applyBorder="1" applyAlignment="1" applyProtection="1">
      <alignment horizontal="left" vertical="center" indent="1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left" vertical="center" wrapText="1" indent="1"/>
    </xf>
    <xf numFmtId="0" fontId="6" fillId="0" borderId="18" xfId="0" applyNumberFormat="1" applyFont="1" applyFill="1" applyBorder="1" applyAlignment="1" applyProtection="1">
      <alignment horizontal="left" vertical="center" wrapText="1" indent="1"/>
    </xf>
    <xf numFmtId="4" fontId="6" fillId="0" borderId="18" xfId="0" applyNumberFormat="1" applyFont="1" applyFill="1" applyBorder="1" applyAlignment="1" applyProtection="1">
      <alignment horizontal="left" vertical="center" wrapText="1" indent="1"/>
    </xf>
    <xf numFmtId="0" fontId="6" fillId="0" borderId="34" xfId="0" applyNumberFormat="1" applyFont="1" applyFill="1" applyBorder="1" applyAlignment="1" applyProtection="1">
      <alignment horizontal="left" vertical="center" wrapText="1" indent="1"/>
    </xf>
    <xf numFmtId="14" fontId="9" fillId="0" borderId="18" xfId="0" applyNumberFormat="1" applyFont="1" applyFill="1" applyBorder="1" applyAlignment="1" applyProtection="1">
      <alignment horizontal="left" vertical="center" indent="1"/>
    </xf>
    <xf numFmtId="14" fontId="9" fillId="0" borderId="22" xfId="0" applyNumberFormat="1" applyFont="1" applyFill="1" applyBorder="1" applyAlignment="1" applyProtection="1">
      <alignment horizontal="left" vertical="center" inden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 indent="1"/>
    </xf>
    <xf numFmtId="0" fontId="7" fillId="0" borderId="14" xfId="0" applyNumberFormat="1" applyFont="1" applyFill="1" applyBorder="1" applyAlignment="1" applyProtection="1">
      <alignment horizontal="left" vertical="center" wrapText="1" indent="1"/>
    </xf>
    <xf numFmtId="0" fontId="7" fillId="0" borderId="10" xfId="0" applyNumberFormat="1" applyFont="1" applyFill="1" applyBorder="1" applyAlignment="1" applyProtection="1">
      <alignment horizontal="left" vertical="center" wrapText="1" indent="1"/>
    </xf>
    <xf numFmtId="0" fontId="7" fillId="0" borderId="17" xfId="0" applyNumberFormat="1" applyFont="1" applyFill="1" applyBorder="1" applyAlignment="1" applyProtection="1">
      <alignment horizontal="left" vertical="center" wrapText="1" indent="1"/>
    </xf>
    <xf numFmtId="0" fontId="6" fillId="0" borderId="10" xfId="0" applyNumberFormat="1" applyFont="1" applyFill="1" applyBorder="1" applyAlignment="1" applyProtection="1">
      <alignment horizontal="left" vertical="center" wrapText="1" indent="1"/>
    </xf>
    <xf numFmtId="0" fontId="6" fillId="0" borderId="17" xfId="0" applyNumberFormat="1" applyFont="1" applyFill="1" applyBorder="1" applyAlignment="1" applyProtection="1">
      <alignment horizontal="left" vertical="center" wrapText="1" inden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indent="1"/>
    </xf>
    <xf numFmtId="0" fontId="6" fillId="0" borderId="8" xfId="0" applyNumberFormat="1" applyFont="1" applyFill="1" applyBorder="1" applyAlignment="1" applyProtection="1">
      <alignment horizontal="left" vertical="center" inden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wrapText="1" indent="1"/>
    </xf>
    <xf numFmtId="0" fontId="6" fillId="0" borderId="34" xfId="0" applyNumberFormat="1" applyFont="1" applyFill="1" applyBorder="1" applyAlignment="1" applyProtection="1">
      <alignment horizontal="left" wrapText="1" indent="1"/>
    </xf>
    <xf numFmtId="4" fontId="12" fillId="4" borderId="12" xfId="0" applyNumberFormat="1" applyFont="1" applyFill="1" applyBorder="1" applyAlignment="1" applyProtection="1">
      <alignment horizontal="left" indent="1"/>
      <protection locked="0"/>
    </xf>
    <xf numFmtId="4" fontId="12" fillId="4" borderId="13" xfId="0" applyNumberFormat="1" applyFont="1" applyFill="1" applyBorder="1" applyAlignment="1" applyProtection="1">
      <alignment horizontal="left" indent="1"/>
      <protection locked="0"/>
    </xf>
    <xf numFmtId="0" fontId="6" fillId="0" borderId="15" xfId="0" applyNumberFormat="1" applyFont="1" applyFill="1" applyBorder="1" applyAlignment="1" applyProtection="1">
      <alignment horizontal="center" vertical="center"/>
    </xf>
    <xf numFmtId="14" fontId="9" fillId="0" borderId="15" xfId="0" applyNumberFormat="1" applyFont="1" applyFill="1" applyBorder="1" applyAlignment="1" applyProtection="1">
      <alignment horizontal="center" vertical="center"/>
    </xf>
    <xf numFmtId="14" fontId="9" fillId="0" borderId="18" xfId="0" applyNumberFormat="1" applyFont="1" applyFill="1" applyBorder="1" applyAlignment="1" applyProtection="1">
      <alignment horizontal="center" vertical="center"/>
    </xf>
    <xf numFmtId="0" fontId="6" fillId="4" borderId="35" xfId="0" applyNumberFormat="1" applyFont="1" applyFill="1" applyBorder="1" applyAlignment="1" applyProtection="1">
      <alignment horizontal="left" wrapText="1" indent="1"/>
    </xf>
    <xf numFmtId="0" fontId="6" fillId="0" borderId="36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wrapText="1" indent="1"/>
    </xf>
    <xf numFmtId="0" fontId="6" fillId="0" borderId="13" xfId="0" applyNumberFormat="1" applyFont="1" applyFill="1" applyBorder="1" applyAlignment="1" applyProtection="1">
      <alignment horizontal="left" wrapText="1" indent="1"/>
    </xf>
    <xf numFmtId="0" fontId="6" fillId="0" borderId="14" xfId="0" applyNumberFormat="1" applyFont="1" applyFill="1" applyBorder="1" applyAlignment="1" applyProtection="1">
      <alignment horizontal="left" wrapText="1" indent="1"/>
    </xf>
    <xf numFmtId="0" fontId="6" fillId="0" borderId="16" xfId="0" applyNumberFormat="1" applyFont="1" applyFill="1" applyBorder="1" applyAlignment="1" applyProtection="1">
      <alignment horizontal="left" wrapText="1" indent="1"/>
    </xf>
    <xf numFmtId="0" fontId="6" fillId="0" borderId="10" xfId="0" applyNumberFormat="1" applyFont="1" applyFill="1" applyBorder="1" applyAlignment="1" applyProtection="1">
      <alignment horizontal="left" wrapText="1" indent="1"/>
    </xf>
    <xf numFmtId="0" fontId="6" fillId="0" borderId="17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7" fillId="0" borderId="20" xfId="0" applyNumberFormat="1" applyFont="1" applyFill="1" applyBorder="1" applyAlignment="1" applyProtection="1">
      <alignment horizontal="left" vertical="center"/>
    </xf>
    <xf numFmtId="0" fontId="7" fillId="0" borderId="42" xfId="0" applyNumberFormat="1" applyFont="1" applyFill="1" applyBorder="1" applyAlignment="1" applyProtection="1">
      <alignment horizontal="left" vertical="center"/>
    </xf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7" fillId="0" borderId="26" xfId="0" applyNumberFormat="1" applyFont="1" applyFill="1" applyBorder="1" applyAlignment="1" applyProtection="1">
      <alignment horizontal="left" vertical="center"/>
    </xf>
    <xf numFmtId="0" fontId="7" fillId="0" borderId="38" xfId="0" applyNumberFormat="1" applyFont="1" applyFill="1" applyBorder="1" applyAlignment="1" applyProtection="1">
      <alignment horizontal="left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ZZS%20&#352;ternberk/2024%20-%20Sklady/Zdravotnicky%20odpad%2001%20-%20ROZPO&#268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 - podskupiny"/>
      <sheetName val="Stavební rozpočet"/>
    </sheetNames>
    <sheetDataSet>
      <sheetData sheetId="0"/>
      <sheetData sheetId="1">
        <row r="2">
          <cell r="D2" t="str">
            <v>SKLADY ZDRAVOTNICKÉHO MATERIÁLU</v>
          </cell>
        </row>
        <row r="4">
          <cell r="D4" t="str">
            <v xml:space="preserve"> </v>
          </cell>
        </row>
        <row r="8">
          <cell r="D8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5" zoomScaleNormal="85" workbookViewId="0">
      <pane ySplit="11" topLeftCell="A12" activePane="bottomLeft" state="frozen"/>
      <selection pane="bottomLeft" activeCell="O17" sqref="O17"/>
    </sheetView>
  </sheetViews>
  <sheetFormatPr defaultColWidth="12.21875" defaultRowHeight="15" customHeight="1" x14ac:dyDescent="0.3"/>
  <cols>
    <col min="1" max="2" width="6.6640625" customWidth="1"/>
    <col min="3" max="3" width="4.21875" customWidth="1"/>
    <col min="4" max="6" width="12.6640625" customWidth="1"/>
    <col min="7" max="8" width="22.6640625" customWidth="1"/>
    <col min="9" max="12" width="12.21875" hidden="1"/>
  </cols>
  <sheetData>
    <row r="1" spans="1:12" ht="40.049999999999997" customHeight="1" x14ac:dyDescent="0.3">
      <c r="A1" s="104" t="s">
        <v>455</v>
      </c>
      <c r="B1" s="104"/>
      <c r="C1" s="104"/>
      <c r="D1" s="104"/>
      <c r="E1" s="104"/>
      <c r="F1" s="104"/>
      <c r="G1" s="104"/>
      <c r="H1" s="104"/>
    </row>
    <row r="2" spans="1:12" ht="14.55" customHeight="1" x14ac:dyDescent="0.3">
      <c r="A2" s="111" t="s">
        <v>0</v>
      </c>
      <c r="B2" s="112"/>
      <c r="C2" s="115" t="s">
        <v>44</v>
      </c>
      <c r="D2" s="115"/>
      <c r="E2" s="115"/>
      <c r="F2" s="116"/>
      <c r="G2" s="105" t="s">
        <v>2</v>
      </c>
      <c r="H2" s="105" t="s">
        <v>45</v>
      </c>
    </row>
    <row r="3" spans="1:12" ht="15" customHeight="1" x14ac:dyDescent="0.3">
      <c r="A3" s="113"/>
      <c r="B3" s="114"/>
      <c r="C3" s="117"/>
      <c r="D3" s="117"/>
      <c r="E3" s="117"/>
      <c r="F3" s="118"/>
      <c r="G3" s="105"/>
      <c r="H3" s="105"/>
    </row>
    <row r="4" spans="1:12" ht="14.55" customHeight="1" x14ac:dyDescent="0.3">
      <c r="A4" s="113" t="s">
        <v>3</v>
      </c>
      <c r="B4" s="114"/>
      <c r="C4" s="119" t="str">
        <f>'[1]Stavební rozpočet'!D4</f>
        <v xml:space="preserve"> </v>
      </c>
      <c r="D4" s="119"/>
      <c r="E4" s="119"/>
      <c r="F4" s="120"/>
      <c r="G4" s="105" t="s">
        <v>5</v>
      </c>
      <c r="H4" s="105" t="s">
        <v>456</v>
      </c>
    </row>
    <row r="5" spans="1:12" ht="15" customHeight="1" x14ac:dyDescent="0.3">
      <c r="A5" s="113"/>
      <c r="B5" s="114"/>
      <c r="C5" s="119"/>
      <c r="D5" s="119"/>
      <c r="E5" s="119"/>
      <c r="F5" s="120"/>
      <c r="G5" s="105"/>
      <c r="H5" s="105"/>
    </row>
    <row r="6" spans="1:12" ht="14.4" x14ac:dyDescent="0.3">
      <c r="A6" s="113" t="s">
        <v>6</v>
      </c>
      <c r="B6" s="114"/>
      <c r="C6" s="119" t="s">
        <v>471</v>
      </c>
      <c r="D6" s="119"/>
      <c r="E6" s="119"/>
      <c r="F6" s="120"/>
      <c r="G6" s="105" t="s">
        <v>8</v>
      </c>
      <c r="H6" s="107" t="str">
        <f>'Stavební rozpočet'!$L$6</f>
        <v>vyplní zhotovitel</v>
      </c>
    </row>
    <row r="7" spans="1:12" ht="15" customHeight="1" x14ac:dyDescent="0.3">
      <c r="A7" s="113"/>
      <c r="B7" s="114"/>
      <c r="C7" s="119"/>
      <c r="D7" s="119"/>
      <c r="E7" s="119"/>
      <c r="F7" s="120"/>
      <c r="G7" s="105"/>
      <c r="H7" s="108"/>
    </row>
    <row r="8" spans="1:12" ht="14.4" x14ac:dyDescent="0.3">
      <c r="A8" s="113" t="s">
        <v>9</v>
      </c>
      <c r="B8" s="114"/>
      <c r="C8" s="90" t="str">
        <f>'[1]Stavební rozpočet'!D8</f>
        <v xml:space="preserve"> </v>
      </c>
      <c r="D8" s="90"/>
      <c r="E8" s="90"/>
      <c r="F8" s="91"/>
      <c r="G8" s="105" t="s">
        <v>10</v>
      </c>
      <c r="H8" s="109">
        <v>45680</v>
      </c>
    </row>
    <row r="9" spans="1:12" thickBot="1" x14ac:dyDescent="0.35">
      <c r="A9" s="121"/>
      <c r="B9" s="122"/>
      <c r="C9" s="92"/>
      <c r="D9" s="92"/>
      <c r="E9" s="92"/>
      <c r="F9" s="93"/>
      <c r="G9" s="106"/>
      <c r="H9" s="110"/>
    </row>
    <row r="10" spans="1:12" ht="14.4" x14ac:dyDescent="0.3">
      <c r="A10" s="94" t="s">
        <v>15</v>
      </c>
      <c r="B10" s="96" t="s">
        <v>16</v>
      </c>
      <c r="C10" s="98" t="s">
        <v>17</v>
      </c>
      <c r="D10" s="99"/>
      <c r="E10" s="99"/>
      <c r="F10" s="100"/>
      <c r="G10" s="31" t="s">
        <v>13</v>
      </c>
      <c r="H10" s="32" t="s">
        <v>14</v>
      </c>
    </row>
    <row r="11" spans="1:12" thickBot="1" x14ac:dyDescent="0.35">
      <c r="A11" s="95"/>
      <c r="B11" s="97"/>
      <c r="C11" s="101"/>
      <c r="D11" s="102"/>
      <c r="E11" s="102"/>
      <c r="F11" s="103"/>
      <c r="G11" s="33" t="s">
        <v>20</v>
      </c>
      <c r="H11" s="34" t="s">
        <v>20</v>
      </c>
    </row>
    <row r="12" spans="1:12" ht="4.95" customHeight="1" x14ac:dyDescent="0.3">
      <c r="A12" s="4" t="s">
        <v>21</v>
      </c>
      <c r="B12" s="5" t="s">
        <v>21</v>
      </c>
      <c r="C12" s="123"/>
      <c r="D12" s="124"/>
      <c r="E12" s="124"/>
      <c r="F12" s="124"/>
      <c r="G12" s="35"/>
      <c r="H12" s="36"/>
      <c r="I12" s="6" t="s">
        <v>22</v>
      </c>
      <c r="J12" s="7">
        <f t="shared" ref="J12:J22" si="0">IF(I12="F",0,G12)</f>
        <v>0</v>
      </c>
      <c r="K12" s="2" t="s">
        <v>21</v>
      </c>
      <c r="L12" s="7">
        <f t="shared" ref="L12:L22" si="1">IF(I12="T",0,G12)</f>
        <v>0</v>
      </c>
    </row>
    <row r="13" spans="1:12" ht="18" customHeight="1" x14ac:dyDescent="0.3">
      <c r="A13" s="1" t="s">
        <v>21</v>
      </c>
      <c r="B13" s="60" t="s">
        <v>23</v>
      </c>
      <c r="C13" s="125" t="s">
        <v>24</v>
      </c>
      <c r="D13" s="125"/>
      <c r="E13" s="125"/>
      <c r="F13" s="125"/>
      <c r="G13" s="37">
        <f>'Stavební rozpočet'!K14</f>
        <v>0</v>
      </c>
      <c r="H13" s="38">
        <f>'Stavební rozpočet'!M14</f>
        <v>12.932674280000001</v>
      </c>
      <c r="I13" s="6" t="s">
        <v>25</v>
      </c>
      <c r="J13" s="7">
        <f t="shared" si="0"/>
        <v>0</v>
      </c>
      <c r="K13" s="2" t="s">
        <v>21</v>
      </c>
      <c r="L13" s="7">
        <f t="shared" si="1"/>
        <v>0</v>
      </c>
    </row>
    <row r="14" spans="1:12" ht="18" customHeight="1" x14ac:dyDescent="0.3">
      <c r="A14" s="1" t="s">
        <v>21</v>
      </c>
      <c r="B14" s="60" t="s">
        <v>26</v>
      </c>
      <c r="C14" s="125" t="s">
        <v>27</v>
      </c>
      <c r="D14" s="125"/>
      <c r="E14" s="125"/>
      <c r="F14" s="125"/>
      <c r="G14" s="37">
        <f>'Stavební rozpočet'!K56</f>
        <v>0</v>
      </c>
      <c r="H14" s="38">
        <f>'Stavební rozpočet'!M56</f>
        <v>4.6342660999999996</v>
      </c>
      <c r="I14" s="6" t="s">
        <v>25</v>
      </c>
      <c r="J14" s="7">
        <f t="shared" si="0"/>
        <v>0</v>
      </c>
      <c r="K14" s="2" t="s">
        <v>21</v>
      </c>
      <c r="L14" s="7">
        <f t="shared" si="1"/>
        <v>0</v>
      </c>
    </row>
    <row r="15" spans="1:12" ht="18" customHeight="1" x14ac:dyDescent="0.3">
      <c r="A15" s="1" t="s">
        <v>21</v>
      </c>
      <c r="B15" s="60" t="s">
        <v>28</v>
      </c>
      <c r="C15" s="125" t="s">
        <v>29</v>
      </c>
      <c r="D15" s="125"/>
      <c r="E15" s="125"/>
      <c r="F15" s="125"/>
      <c r="G15" s="37">
        <f>'Stavební rozpočet'!K100</f>
        <v>0</v>
      </c>
      <c r="H15" s="38">
        <f>'Stavební rozpočet'!M100</f>
        <v>0.332372</v>
      </c>
      <c r="I15" s="6" t="s">
        <v>25</v>
      </c>
      <c r="J15" s="7">
        <f t="shared" si="0"/>
        <v>0</v>
      </c>
      <c r="K15" s="2" t="s">
        <v>21</v>
      </c>
      <c r="L15" s="7">
        <f t="shared" si="1"/>
        <v>0</v>
      </c>
    </row>
    <row r="16" spans="1:12" ht="18" customHeight="1" x14ac:dyDescent="0.3">
      <c r="A16" s="1" t="s">
        <v>21</v>
      </c>
      <c r="B16" s="60" t="s">
        <v>30</v>
      </c>
      <c r="C16" s="125" t="s">
        <v>31</v>
      </c>
      <c r="D16" s="125"/>
      <c r="E16" s="125"/>
      <c r="F16" s="125"/>
      <c r="G16" s="37">
        <f>'Stavební rozpočet'!K116</f>
        <v>0</v>
      </c>
      <c r="H16" s="38">
        <f>'Stavební rozpočet'!M116</f>
        <v>0.65133580000000002</v>
      </c>
      <c r="I16" s="6" t="s">
        <v>25</v>
      </c>
      <c r="J16" s="7">
        <f t="shared" si="0"/>
        <v>0</v>
      </c>
      <c r="K16" s="2" t="s">
        <v>21</v>
      </c>
      <c r="L16" s="7">
        <f t="shared" si="1"/>
        <v>0</v>
      </c>
    </row>
    <row r="17" spans="1:12" ht="18" customHeight="1" x14ac:dyDescent="0.3">
      <c r="A17" s="1" t="s">
        <v>21</v>
      </c>
      <c r="B17" s="60" t="s">
        <v>32</v>
      </c>
      <c r="C17" s="125" t="s">
        <v>33</v>
      </c>
      <c r="D17" s="125"/>
      <c r="E17" s="125"/>
      <c r="F17" s="125"/>
      <c r="G17" s="37">
        <f>'Stavební rozpočet'!K138</f>
        <v>0</v>
      </c>
      <c r="H17" s="38">
        <f>'Stavební rozpočet'!M138</f>
        <v>18.450147600000001</v>
      </c>
      <c r="I17" s="6" t="s">
        <v>25</v>
      </c>
      <c r="J17" s="7">
        <f t="shared" si="0"/>
        <v>0</v>
      </c>
      <c r="K17" s="2" t="s">
        <v>21</v>
      </c>
      <c r="L17" s="7">
        <f t="shared" si="1"/>
        <v>0</v>
      </c>
    </row>
    <row r="18" spans="1:12" ht="18" customHeight="1" x14ac:dyDescent="0.3">
      <c r="A18" s="1" t="s">
        <v>21</v>
      </c>
      <c r="B18" s="60" t="s">
        <v>34</v>
      </c>
      <c r="C18" s="125" t="s">
        <v>35</v>
      </c>
      <c r="D18" s="125"/>
      <c r="E18" s="125"/>
      <c r="F18" s="125"/>
      <c r="G18" s="37">
        <f>'Stavební rozpočet'!K175</f>
        <v>0</v>
      </c>
      <c r="H18" s="38">
        <f>'Stavební rozpočet'!M175</f>
        <v>0.45222518000000006</v>
      </c>
      <c r="I18" s="6" t="s">
        <v>25</v>
      </c>
      <c r="J18" s="7">
        <f t="shared" si="0"/>
        <v>0</v>
      </c>
      <c r="K18" s="2" t="s">
        <v>21</v>
      </c>
      <c r="L18" s="7">
        <f t="shared" si="1"/>
        <v>0</v>
      </c>
    </row>
    <row r="19" spans="1:12" ht="18" customHeight="1" x14ac:dyDescent="0.3">
      <c r="A19" s="1" t="s">
        <v>21</v>
      </c>
      <c r="B19" s="60" t="s">
        <v>36</v>
      </c>
      <c r="C19" s="125" t="s">
        <v>37</v>
      </c>
      <c r="D19" s="125"/>
      <c r="E19" s="125"/>
      <c r="F19" s="125"/>
      <c r="G19" s="37">
        <f>'Stavební rozpočet'!K203</f>
        <v>0</v>
      </c>
      <c r="H19" s="38">
        <f>'Stavební rozpočet'!M203</f>
        <v>0.25972888</v>
      </c>
      <c r="I19" s="6" t="s">
        <v>25</v>
      </c>
      <c r="J19" s="7">
        <f t="shared" si="0"/>
        <v>0</v>
      </c>
      <c r="K19" s="2" t="s">
        <v>21</v>
      </c>
      <c r="L19" s="7">
        <f t="shared" si="1"/>
        <v>0</v>
      </c>
    </row>
    <row r="20" spans="1:12" ht="18" customHeight="1" x14ac:dyDescent="0.3">
      <c r="A20" s="1" t="s">
        <v>21</v>
      </c>
      <c r="B20" s="60" t="s">
        <v>38</v>
      </c>
      <c r="C20" s="125" t="s">
        <v>39</v>
      </c>
      <c r="D20" s="125"/>
      <c r="E20" s="125"/>
      <c r="F20" s="125"/>
      <c r="G20" s="37">
        <f>'Stavební rozpočet'!K223</f>
        <v>0</v>
      </c>
      <c r="H20" s="38">
        <f>'Stavební rozpočet'!M223</f>
        <v>2.1360000000000001</v>
      </c>
      <c r="I20" s="6" t="s">
        <v>25</v>
      </c>
      <c r="J20" s="7">
        <f t="shared" si="0"/>
        <v>0</v>
      </c>
      <c r="K20" s="2" t="s">
        <v>21</v>
      </c>
      <c r="L20" s="7">
        <f t="shared" si="1"/>
        <v>0</v>
      </c>
    </row>
    <row r="21" spans="1:12" ht="18" customHeight="1" x14ac:dyDescent="0.3">
      <c r="A21" s="1" t="s">
        <v>21</v>
      </c>
      <c r="B21" s="60" t="s">
        <v>40</v>
      </c>
      <c r="C21" s="125" t="s">
        <v>41</v>
      </c>
      <c r="D21" s="125"/>
      <c r="E21" s="125"/>
      <c r="F21" s="125"/>
      <c r="G21" s="37">
        <f>'Stavební rozpočet'!K241</f>
        <v>0</v>
      </c>
      <c r="H21" s="38">
        <f>'Stavební rozpočet'!M241</f>
        <v>3.8800000000000001E-2</v>
      </c>
      <c r="I21" s="6" t="s">
        <v>25</v>
      </c>
      <c r="J21" s="7">
        <f t="shared" si="0"/>
        <v>0</v>
      </c>
      <c r="K21" s="2" t="s">
        <v>21</v>
      </c>
      <c r="L21" s="7">
        <f t="shared" si="1"/>
        <v>0</v>
      </c>
    </row>
    <row r="22" spans="1:12" ht="18" customHeight="1" x14ac:dyDescent="0.3">
      <c r="A22" s="8" t="s">
        <v>21</v>
      </c>
      <c r="B22" s="59" t="s">
        <v>463</v>
      </c>
      <c r="C22" s="126" t="s">
        <v>444</v>
      </c>
      <c r="D22" s="126"/>
      <c r="E22" s="126"/>
      <c r="F22" s="126"/>
      <c r="G22" s="39">
        <f>'Stavební rozpočet'!K246</f>
        <v>0</v>
      </c>
      <c r="H22" s="40">
        <f>'Stavební rozpočet'!M246</f>
        <v>0</v>
      </c>
      <c r="I22" s="6" t="s">
        <v>25</v>
      </c>
      <c r="J22" s="7">
        <f t="shared" si="0"/>
        <v>0</v>
      </c>
      <c r="K22" s="2" t="s">
        <v>21</v>
      </c>
      <c r="L22" s="7">
        <f t="shared" si="1"/>
        <v>0</v>
      </c>
    </row>
    <row r="23" spans="1:12" ht="18" customHeight="1" x14ac:dyDescent="0.3">
      <c r="A23" s="41"/>
      <c r="B23" s="42"/>
      <c r="C23" s="43" t="s">
        <v>457</v>
      </c>
      <c r="D23" s="44"/>
      <c r="E23" s="44"/>
      <c r="F23" s="45" t="s">
        <v>458</v>
      </c>
      <c r="G23" s="87">
        <f>SUM(G13:G22)</f>
        <v>0</v>
      </c>
      <c r="H23" s="46" t="s">
        <v>459</v>
      </c>
    </row>
    <row r="24" spans="1:12" ht="18" customHeight="1" x14ac:dyDescent="0.3">
      <c r="A24" s="47"/>
      <c r="B24" s="48"/>
      <c r="C24" s="49"/>
      <c r="D24" s="50"/>
      <c r="E24" s="50"/>
      <c r="F24" s="51" t="s">
        <v>460</v>
      </c>
      <c r="G24" s="88">
        <f>G23*0.21</f>
        <v>0</v>
      </c>
      <c r="H24" s="52" t="s">
        <v>459</v>
      </c>
    </row>
    <row r="25" spans="1:12" ht="18" customHeight="1" x14ac:dyDescent="0.3">
      <c r="A25" s="53"/>
      <c r="B25" s="54"/>
      <c r="C25" s="55"/>
      <c r="D25" s="56"/>
      <c r="E25" s="56"/>
      <c r="F25" s="57" t="s">
        <v>461</v>
      </c>
      <c r="G25" s="89">
        <f>SUM(G23:G24)</f>
        <v>0</v>
      </c>
      <c r="H25" s="58" t="s">
        <v>459</v>
      </c>
    </row>
  </sheetData>
  <sheetProtection algorithmName="SHA-512" hashValue="iIKdBO5Ys4j5vNjOouzzq8YdKAtpCdIs9oExYJflqlnS4qZBtyWjw1EwsLJqbqNFFk+Girq5XBu0jNkdpZZ1eA==" saltValue="ipe8lxrXhX4Ihy1xeiwWfA==" spinCount="100000" sheet="1" objects="1" scenarios="1"/>
  <mergeCells count="31">
    <mergeCell ref="C13:F13"/>
    <mergeCell ref="C14:F14"/>
    <mergeCell ref="C15:F15"/>
    <mergeCell ref="C16:F16"/>
    <mergeCell ref="C22:F22"/>
    <mergeCell ref="C17:F17"/>
    <mergeCell ref="C18:F18"/>
    <mergeCell ref="C19:F19"/>
    <mergeCell ref="C20:F20"/>
    <mergeCell ref="C21:F21"/>
    <mergeCell ref="C4:F5"/>
    <mergeCell ref="A6:B7"/>
    <mergeCell ref="C6:F7"/>
    <mergeCell ref="A8:B9"/>
    <mergeCell ref="C12:F12"/>
    <mergeCell ref="C8:F9"/>
    <mergeCell ref="A10:A11"/>
    <mergeCell ref="B10:B11"/>
    <mergeCell ref="C10:F11"/>
    <mergeCell ref="A1:H1"/>
    <mergeCell ref="G2:G3"/>
    <mergeCell ref="G4:G5"/>
    <mergeCell ref="G6:G7"/>
    <mergeCell ref="G8:G9"/>
    <mergeCell ref="H2:H3"/>
    <mergeCell ref="H4:H5"/>
    <mergeCell ref="H6:H7"/>
    <mergeCell ref="H8:H9"/>
    <mergeCell ref="A2:B3"/>
    <mergeCell ref="C2:F3"/>
    <mergeCell ref="A4:B5"/>
  </mergeCells>
  <pageMargins left="0.39370078740157483" right="0.39370078740157483" top="0.59055118110236227" bottom="0.59055118110236227" header="0" footer="0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9"/>
  <sheetViews>
    <sheetView zoomScale="70" zoomScaleNormal="70" workbookViewId="0">
      <pane ySplit="11" topLeftCell="A219" activePane="bottomLeft" state="frozen"/>
      <selection pane="bottomLeft" activeCell="R11" sqref="R11"/>
    </sheetView>
  </sheetViews>
  <sheetFormatPr defaultColWidth="12.21875" defaultRowHeight="15" customHeight="1" x14ac:dyDescent="0.3"/>
  <cols>
    <col min="1" max="1" width="4" style="77" customWidth="1"/>
    <col min="2" max="2" width="7.5546875" customWidth="1"/>
    <col min="3" max="3" width="17.77734375" customWidth="1"/>
    <col min="4" max="4" width="42.77734375" customWidth="1"/>
    <col min="5" max="5" width="39.21875" customWidth="1"/>
    <col min="6" max="6" width="9.77734375" customWidth="1"/>
    <col min="7" max="7" width="12.77734375" customWidth="1"/>
    <col min="8" max="8" width="12" customWidth="1"/>
    <col min="9" max="10" width="15.77734375" hidden="1" customWidth="1"/>
    <col min="11" max="11" width="15.77734375" customWidth="1"/>
    <col min="12" max="13" width="11.77734375" customWidth="1"/>
    <col min="14" max="14" width="17.77734375" customWidth="1"/>
    <col min="23" max="73" width="12.21875" hidden="1"/>
    <col min="74" max="74" width="78.5546875" hidden="1" customWidth="1"/>
    <col min="75" max="76" width="12.21875" hidden="1"/>
  </cols>
  <sheetData>
    <row r="1" spans="1:74" ht="34.950000000000003" customHeight="1" x14ac:dyDescent="0.3">
      <c r="A1" s="127" t="s">
        <v>43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AQ1" s="12">
        <f>SUM(AH1:AH2)</f>
        <v>0</v>
      </c>
      <c r="AR1" s="12">
        <f>SUM(AI1:AI2)</f>
        <v>0</v>
      </c>
      <c r="AS1" s="12">
        <f>SUM(AJ1:AJ2)</f>
        <v>0</v>
      </c>
    </row>
    <row r="2" spans="1:74" ht="14.55" customHeight="1" x14ac:dyDescent="0.3">
      <c r="A2" s="111" t="s">
        <v>0</v>
      </c>
      <c r="B2" s="128"/>
      <c r="C2" s="128"/>
      <c r="D2" s="133" t="s">
        <v>44</v>
      </c>
      <c r="E2" s="134"/>
      <c r="F2" s="131" t="s">
        <v>1</v>
      </c>
      <c r="G2" s="131"/>
      <c r="H2" s="141" t="s">
        <v>12</v>
      </c>
      <c r="I2" s="61"/>
      <c r="J2" s="61" t="s">
        <v>46</v>
      </c>
      <c r="K2" s="136" t="s">
        <v>2</v>
      </c>
      <c r="L2" s="137" t="s">
        <v>45</v>
      </c>
      <c r="M2" s="137"/>
      <c r="N2" s="137"/>
    </row>
    <row r="3" spans="1:74" ht="14.4" x14ac:dyDescent="0.3">
      <c r="A3" s="129"/>
      <c r="B3" s="130"/>
      <c r="C3" s="130"/>
      <c r="D3" s="135"/>
      <c r="E3" s="135"/>
      <c r="F3" s="131"/>
      <c r="G3" s="131"/>
      <c r="H3" s="141"/>
      <c r="I3" s="61"/>
      <c r="J3" s="61"/>
      <c r="K3" s="136"/>
      <c r="L3" s="138" t="s">
        <v>466</v>
      </c>
      <c r="M3" s="138"/>
      <c r="N3" s="138"/>
    </row>
    <row r="4" spans="1:74" ht="14.55" customHeight="1" x14ac:dyDescent="0.3">
      <c r="A4" s="113" t="s">
        <v>3</v>
      </c>
      <c r="B4" s="130"/>
      <c r="C4" s="130"/>
      <c r="D4" s="114" t="s">
        <v>12</v>
      </c>
      <c r="E4" s="130"/>
      <c r="F4" s="131" t="s">
        <v>4</v>
      </c>
      <c r="G4" s="131"/>
      <c r="H4" s="141"/>
      <c r="I4" s="61"/>
      <c r="J4" s="61" t="s">
        <v>46</v>
      </c>
      <c r="K4" s="136" t="s">
        <v>5</v>
      </c>
      <c r="L4" s="137" t="s">
        <v>456</v>
      </c>
      <c r="M4" s="137"/>
      <c r="N4" s="137"/>
    </row>
    <row r="5" spans="1:74" ht="14.4" x14ac:dyDescent="0.3">
      <c r="A5" s="129"/>
      <c r="B5" s="130"/>
      <c r="C5" s="130"/>
      <c r="D5" s="130"/>
      <c r="E5" s="130"/>
      <c r="F5" s="131"/>
      <c r="G5" s="131"/>
      <c r="H5" s="141"/>
      <c r="I5" s="61"/>
      <c r="J5" s="61"/>
      <c r="K5" s="136"/>
      <c r="L5" s="138" t="s">
        <v>464</v>
      </c>
      <c r="M5" s="138"/>
      <c r="N5" s="138"/>
    </row>
    <row r="6" spans="1:74" ht="14.55" customHeight="1" x14ac:dyDescent="0.3">
      <c r="A6" s="113" t="s">
        <v>6</v>
      </c>
      <c r="B6" s="130"/>
      <c r="C6" s="130"/>
      <c r="D6" s="114" t="s">
        <v>471</v>
      </c>
      <c r="E6" s="130"/>
      <c r="F6" s="131" t="s">
        <v>7</v>
      </c>
      <c r="G6" s="131"/>
      <c r="H6" s="141" t="s">
        <v>12</v>
      </c>
      <c r="I6" s="61"/>
      <c r="J6" s="61" t="s">
        <v>46</v>
      </c>
      <c r="K6" s="136" t="s">
        <v>8</v>
      </c>
      <c r="L6" s="139" t="s">
        <v>467</v>
      </c>
      <c r="M6" s="140"/>
      <c r="N6" s="140"/>
    </row>
    <row r="7" spans="1:74" ht="14.4" x14ac:dyDescent="0.3">
      <c r="A7" s="129"/>
      <c r="B7" s="130"/>
      <c r="C7" s="130"/>
      <c r="D7" s="130"/>
      <c r="E7" s="130"/>
      <c r="F7" s="131"/>
      <c r="G7" s="131"/>
      <c r="H7" s="141"/>
      <c r="I7" s="61"/>
      <c r="J7" s="61"/>
      <c r="K7" s="136"/>
      <c r="L7" s="144"/>
      <c r="M7" s="144"/>
      <c r="N7" s="144"/>
    </row>
    <row r="8" spans="1:74" ht="14.55" customHeight="1" x14ac:dyDescent="0.3">
      <c r="A8" s="113" t="s">
        <v>9</v>
      </c>
      <c r="B8" s="130"/>
      <c r="C8" s="130"/>
      <c r="D8" s="114" t="s">
        <v>12</v>
      </c>
      <c r="E8" s="130"/>
      <c r="F8" s="131" t="s">
        <v>10</v>
      </c>
      <c r="G8" s="131"/>
      <c r="H8" s="142">
        <v>45680</v>
      </c>
      <c r="I8" s="61"/>
      <c r="J8" s="61" t="s">
        <v>46</v>
      </c>
      <c r="K8" s="145" t="s">
        <v>11</v>
      </c>
      <c r="L8" s="146"/>
      <c r="M8" s="147"/>
      <c r="N8" s="148"/>
    </row>
    <row r="9" spans="1:74" thickBot="1" x14ac:dyDescent="0.35">
      <c r="A9" s="129"/>
      <c r="B9" s="130"/>
      <c r="C9" s="130"/>
      <c r="D9" s="130"/>
      <c r="E9" s="130"/>
      <c r="F9" s="132"/>
      <c r="G9" s="132"/>
      <c r="H9" s="143"/>
      <c r="I9" s="62"/>
      <c r="J9" s="62"/>
      <c r="K9" s="111"/>
      <c r="L9" s="149"/>
      <c r="M9" s="150"/>
      <c r="N9" s="151"/>
    </row>
    <row r="10" spans="1:74" ht="14.4" x14ac:dyDescent="0.3">
      <c r="A10" s="70" t="s">
        <v>47</v>
      </c>
      <c r="B10" s="63" t="s">
        <v>15</v>
      </c>
      <c r="C10" s="63" t="s">
        <v>16</v>
      </c>
      <c r="D10" s="160" t="s">
        <v>465</v>
      </c>
      <c r="E10" s="161"/>
      <c r="F10" s="64" t="s">
        <v>48</v>
      </c>
      <c r="G10" s="64" t="s">
        <v>49</v>
      </c>
      <c r="H10" s="65" t="s">
        <v>50</v>
      </c>
      <c r="I10" s="162" t="s">
        <v>13</v>
      </c>
      <c r="J10" s="163"/>
      <c r="K10" s="85" t="s">
        <v>13</v>
      </c>
      <c r="L10" s="96" t="s">
        <v>14</v>
      </c>
      <c r="M10" s="96"/>
      <c r="N10" s="83" t="s">
        <v>51</v>
      </c>
      <c r="BI10" s="13" t="s">
        <v>52</v>
      </c>
      <c r="BJ10" s="14" t="s">
        <v>53</v>
      </c>
      <c r="BU10" s="14" t="s">
        <v>54</v>
      </c>
    </row>
    <row r="11" spans="1:74" thickBot="1" x14ac:dyDescent="0.35">
      <c r="A11" s="71" t="s">
        <v>12</v>
      </c>
      <c r="B11" s="66" t="s">
        <v>12</v>
      </c>
      <c r="C11" s="66" t="s">
        <v>12</v>
      </c>
      <c r="D11" s="154" t="s">
        <v>55</v>
      </c>
      <c r="E11" s="155"/>
      <c r="F11" s="67" t="s">
        <v>12</v>
      </c>
      <c r="G11" s="66" t="s">
        <v>12</v>
      </c>
      <c r="H11" s="68" t="s">
        <v>56</v>
      </c>
      <c r="I11" s="69" t="s">
        <v>18</v>
      </c>
      <c r="J11" s="68" t="s">
        <v>19</v>
      </c>
      <c r="K11" s="33" t="s">
        <v>20</v>
      </c>
      <c r="L11" s="33" t="s">
        <v>57</v>
      </c>
      <c r="M11" s="33" t="s">
        <v>20</v>
      </c>
      <c r="N11" s="84" t="s">
        <v>58</v>
      </c>
      <c r="X11" s="13" t="s">
        <v>59</v>
      </c>
      <c r="Y11" s="13" t="s">
        <v>60</v>
      </c>
      <c r="Z11" s="13" t="s">
        <v>61</v>
      </c>
      <c r="AA11" s="13" t="s">
        <v>62</v>
      </c>
      <c r="AB11" s="13" t="s">
        <v>63</v>
      </c>
      <c r="AC11" s="13" t="s">
        <v>64</v>
      </c>
      <c r="AD11" s="13" t="s">
        <v>65</v>
      </c>
      <c r="AE11" s="13" t="s">
        <v>66</v>
      </c>
      <c r="AF11" s="13" t="s">
        <v>67</v>
      </c>
      <c r="BF11" s="13" t="s">
        <v>68</v>
      </c>
      <c r="BG11" s="13" t="s">
        <v>69</v>
      </c>
      <c r="BH11" s="13" t="s">
        <v>70</v>
      </c>
    </row>
    <row r="12" spans="1:74" ht="4.95" customHeight="1" x14ac:dyDescent="0.3">
      <c r="A12" s="78"/>
      <c r="B12" s="79"/>
      <c r="C12" s="79"/>
      <c r="D12" s="80"/>
      <c r="E12" s="80"/>
      <c r="F12" s="78"/>
      <c r="G12" s="79"/>
      <c r="H12" s="81"/>
      <c r="I12" s="81"/>
      <c r="J12" s="81"/>
      <c r="K12" s="81"/>
      <c r="L12" s="81"/>
      <c r="M12" s="81"/>
      <c r="N12" s="81"/>
      <c r="X12" s="82"/>
      <c r="Y12" s="82"/>
      <c r="Z12" s="82"/>
      <c r="AA12" s="82"/>
      <c r="AB12" s="82"/>
      <c r="AC12" s="82"/>
      <c r="AD12" s="82"/>
      <c r="AE12" s="82"/>
      <c r="AF12" s="82"/>
      <c r="BF12" s="82"/>
      <c r="BG12" s="82"/>
      <c r="BH12" s="82"/>
    </row>
    <row r="13" spans="1:74" ht="14.4" x14ac:dyDescent="0.3">
      <c r="A13" s="72" t="s">
        <v>21</v>
      </c>
      <c r="B13" s="15" t="s">
        <v>21</v>
      </c>
      <c r="C13" s="15" t="s">
        <v>21</v>
      </c>
      <c r="D13" s="156" t="s">
        <v>462</v>
      </c>
      <c r="E13" s="157"/>
      <c r="F13" s="16" t="s">
        <v>12</v>
      </c>
      <c r="G13" s="16" t="s">
        <v>12</v>
      </c>
      <c r="H13" s="16" t="s">
        <v>12</v>
      </c>
      <c r="I13" s="17">
        <f>I14+I56+I100+I116+I138+I175+I203+I223+I241+I246</f>
        <v>0</v>
      </c>
      <c r="J13" s="17">
        <f>J14+J56+J100+J116+J138+J175+J203+J223+J241+J246</f>
        <v>0</v>
      </c>
      <c r="K13" s="17">
        <f>K14+K56+K100+K116+K138+K175+K203+K223+K241+K246</f>
        <v>0</v>
      </c>
      <c r="L13" s="18" t="s">
        <v>21</v>
      </c>
      <c r="M13" s="17">
        <f>M14+M56+M100+M116+M138+M175+M203+M223+M241+M246</f>
        <v>39.887549839999998</v>
      </c>
      <c r="N13" s="19" t="s">
        <v>21</v>
      </c>
    </row>
    <row r="14" spans="1:74" ht="14.4" x14ac:dyDescent="0.3">
      <c r="A14" s="73" t="s">
        <v>21</v>
      </c>
      <c r="B14" s="20" t="s">
        <v>21</v>
      </c>
      <c r="C14" s="20" t="s">
        <v>23</v>
      </c>
      <c r="D14" s="158" t="s">
        <v>24</v>
      </c>
      <c r="E14" s="159"/>
      <c r="F14" s="21" t="s">
        <v>12</v>
      </c>
      <c r="G14" s="21" t="s">
        <v>12</v>
      </c>
      <c r="H14" s="21" t="s">
        <v>12</v>
      </c>
      <c r="I14" s="12">
        <f>SUM(I15:I55)</f>
        <v>0</v>
      </c>
      <c r="J14" s="12">
        <f>SUM(J15:J55)</f>
        <v>0</v>
      </c>
      <c r="K14" s="12">
        <f>SUM(K15:K55)</f>
        <v>0</v>
      </c>
      <c r="L14" s="13" t="s">
        <v>21</v>
      </c>
      <c r="M14" s="12">
        <f>SUM(M15:M55)</f>
        <v>12.932674280000001</v>
      </c>
      <c r="N14" s="22" t="s">
        <v>21</v>
      </c>
      <c r="AG14" s="13" t="s">
        <v>21</v>
      </c>
      <c r="AQ14" s="12">
        <f>SUM(AH15:AH55)</f>
        <v>0</v>
      </c>
      <c r="AR14" s="12">
        <f>SUM(AI15:AI55)</f>
        <v>0</v>
      </c>
      <c r="AS14" s="12">
        <f>SUM(AJ15:AJ55)</f>
        <v>0</v>
      </c>
    </row>
    <row r="15" spans="1:74" ht="14.4" x14ac:dyDescent="0.3">
      <c r="A15" s="74" t="s">
        <v>71</v>
      </c>
      <c r="B15" s="2" t="s">
        <v>21</v>
      </c>
      <c r="C15" s="2" t="s">
        <v>72</v>
      </c>
      <c r="D15" s="152" t="s">
        <v>73</v>
      </c>
      <c r="E15" s="153"/>
      <c r="F15" s="2" t="s">
        <v>74</v>
      </c>
      <c r="G15" s="7">
        <v>32.612000000000002</v>
      </c>
      <c r="H15" s="86">
        <v>0</v>
      </c>
      <c r="I15" s="7">
        <f>G15*AM15</f>
        <v>0</v>
      </c>
      <c r="J15" s="7">
        <f>G15*AN15</f>
        <v>0</v>
      </c>
      <c r="K15" s="7">
        <f>G15*H15</f>
        <v>0</v>
      </c>
      <c r="L15" s="7">
        <v>1.2189999999999999E-2</v>
      </c>
      <c r="M15" s="7">
        <f>G15*L15</f>
        <v>0.39754028000000002</v>
      </c>
      <c r="N15" s="24" t="s">
        <v>76</v>
      </c>
      <c r="X15" s="7">
        <f>IF(AO15="5",BH15,0)</f>
        <v>0</v>
      </c>
      <c r="Z15" s="7">
        <f>IF(AO15="1",BF15,0)</f>
        <v>0</v>
      </c>
      <c r="AA15" s="7">
        <f>IF(AO15="1",BG15,0)</f>
        <v>0</v>
      </c>
      <c r="AB15" s="7">
        <f>IF(AO15="7",BF15,0)</f>
        <v>0</v>
      </c>
      <c r="AC15" s="7">
        <f>IF(AO15="7",BG15,0)</f>
        <v>0</v>
      </c>
      <c r="AD15" s="7">
        <f>IF(AO15="2",BF15,0)</f>
        <v>0</v>
      </c>
      <c r="AE15" s="7">
        <f>IF(AO15="2",BG15,0)</f>
        <v>0</v>
      </c>
      <c r="AF15" s="7">
        <f>IF(AO15="0",BH15,0)</f>
        <v>0</v>
      </c>
      <c r="AG15" s="13" t="s">
        <v>21</v>
      </c>
      <c r="AH15" s="7">
        <f>IF(AL15=0,K15,0)</f>
        <v>0</v>
      </c>
      <c r="AI15" s="7">
        <f>IF(AL15=12,K15,0)</f>
        <v>0</v>
      </c>
      <c r="AJ15" s="7">
        <f>IF(AL15=21,K15,0)</f>
        <v>0</v>
      </c>
      <c r="AL15" s="7">
        <v>21</v>
      </c>
      <c r="AM15" s="7">
        <f>H15*0.190571076</f>
        <v>0</v>
      </c>
      <c r="AN15" s="7">
        <f>H15*(1-0.190571076)</f>
        <v>0</v>
      </c>
      <c r="AO15" s="23" t="s">
        <v>71</v>
      </c>
      <c r="AT15" s="7">
        <f>AU15+AV15</f>
        <v>0</v>
      </c>
      <c r="AU15" s="7">
        <f>G15*AM15</f>
        <v>0</v>
      </c>
      <c r="AV15" s="7">
        <f>G15*AN15</f>
        <v>0</v>
      </c>
      <c r="AW15" s="23" t="s">
        <v>77</v>
      </c>
      <c r="AX15" s="23" t="s">
        <v>78</v>
      </c>
      <c r="AY15" s="13" t="s">
        <v>79</v>
      </c>
      <c r="BA15" s="7">
        <f>AU15+AV15</f>
        <v>0</v>
      </c>
      <c r="BB15" s="7">
        <f>H15/(100-BC15)*100</f>
        <v>0</v>
      </c>
      <c r="BC15" s="7">
        <v>0</v>
      </c>
      <c r="BD15" s="7">
        <f>M15</f>
        <v>0.39754028000000002</v>
      </c>
      <c r="BF15" s="7">
        <f>G15*AM15</f>
        <v>0</v>
      </c>
      <c r="BG15" s="7">
        <f>G15*AN15</f>
        <v>0</v>
      </c>
      <c r="BH15" s="7">
        <f>G15*H15</f>
        <v>0</v>
      </c>
      <c r="BI15" s="7"/>
      <c r="BJ15" s="7">
        <v>96</v>
      </c>
      <c r="BU15" s="7" t="e">
        <f>#REF!</f>
        <v>#REF!</v>
      </c>
      <c r="BV15" s="3" t="s">
        <v>73</v>
      </c>
    </row>
    <row r="16" spans="1:74" ht="14.4" x14ac:dyDescent="0.3">
      <c r="A16" s="75"/>
      <c r="D16" s="25" t="s">
        <v>80</v>
      </c>
      <c r="E16" s="26" t="s">
        <v>81</v>
      </c>
      <c r="G16" s="27">
        <v>7.2249999999999996</v>
      </c>
      <c r="N16" s="28"/>
    </row>
    <row r="17" spans="1:74" ht="14.4" x14ac:dyDescent="0.3">
      <c r="A17" s="75"/>
      <c r="D17" s="25" t="s">
        <v>82</v>
      </c>
      <c r="E17" s="26" t="s">
        <v>83</v>
      </c>
      <c r="G17" s="27">
        <v>21.06</v>
      </c>
      <c r="N17" s="28"/>
    </row>
    <row r="18" spans="1:74" ht="14.4" x14ac:dyDescent="0.3">
      <c r="A18" s="75"/>
      <c r="D18" s="25" t="s">
        <v>84</v>
      </c>
      <c r="E18" s="26" t="s">
        <v>85</v>
      </c>
      <c r="G18" s="27">
        <v>1.08</v>
      </c>
      <c r="N18" s="28"/>
    </row>
    <row r="19" spans="1:74" ht="14.4" x14ac:dyDescent="0.3">
      <c r="A19" s="75"/>
      <c r="D19" s="25" t="s">
        <v>84</v>
      </c>
      <c r="E19" s="26" t="s">
        <v>86</v>
      </c>
      <c r="G19" s="27">
        <v>1.08</v>
      </c>
      <c r="N19" s="28"/>
    </row>
    <row r="20" spans="1:74" ht="14.4" x14ac:dyDescent="0.3">
      <c r="A20" s="75"/>
      <c r="D20" s="25" t="s">
        <v>87</v>
      </c>
      <c r="E20" s="26" t="s">
        <v>88</v>
      </c>
      <c r="G20" s="27">
        <v>2.1669999999999998</v>
      </c>
      <c r="N20" s="28"/>
    </row>
    <row r="21" spans="1:74" ht="14.4" x14ac:dyDescent="0.3">
      <c r="A21" s="74" t="s">
        <v>89</v>
      </c>
      <c r="B21" s="2" t="s">
        <v>21</v>
      </c>
      <c r="C21" s="2" t="s">
        <v>90</v>
      </c>
      <c r="D21" s="152" t="s">
        <v>91</v>
      </c>
      <c r="E21" s="153"/>
      <c r="F21" s="2" t="s">
        <v>74</v>
      </c>
      <c r="G21" s="7">
        <v>109.093</v>
      </c>
      <c r="H21" s="86">
        <v>0</v>
      </c>
      <c r="I21" s="7">
        <f>G21*AM21</f>
        <v>0</v>
      </c>
      <c r="J21" s="7">
        <f>G21*AN21</f>
        <v>0</v>
      </c>
      <c r="K21" s="7">
        <f>G21*H21</f>
        <v>0</v>
      </c>
      <c r="L21" s="7">
        <v>4.0919999999999998E-2</v>
      </c>
      <c r="M21" s="7">
        <f>G21*L21</f>
        <v>4.46408556</v>
      </c>
      <c r="N21" s="24" t="s">
        <v>76</v>
      </c>
      <c r="X21" s="7">
        <f>IF(AO21="5",BH21,0)</f>
        <v>0</v>
      </c>
      <c r="Z21" s="7">
        <f>IF(AO21="1",BF21,0)</f>
        <v>0</v>
      </c>
      <c r="AA21" s="7">
        <f>IF(AO21="1",BG21,0)</f>
        <v>0</v>
      </c>
      <c r="AB21" s="7">
        <f>IF(AO21="7",BF21,0)</f>
        <v>0</v>
      </c>
      <c r="AC21" s="7">
        <f>IF(AO21="7",BG21,0)</f>
        <v>0</v>
      </c>
      <c r="AD21" s="7">
        <f>IF(AO21="2",BF21,0)</f>
        <v>0</v>
      </c>
      <c r="AE21" s="7">
        <f>IF(AO21="2",BG21,0)</f>
        <v>0</v>
      </c>
      <c r="AF21" s="7">
        <f>IF(AO21="0",BH21,0)</f>
        <v>0</v>
      </c>
      <c r="AG21" s="13" t="s">
        <v>21</v>
      </c>
      <c r="AH21" s="7">
        <f>IF(AL21=0,K21,0)</f>
        <v>0</v>
      </c>
      <c r="AI21" s="7">
        <f>IF(AL21=12,K21,0)</f>
        <v>0</v>
      </c>
      <c r="AJ21" s="7">
        <f>IF(AL21=21,K21,0)</f>
        <v>0</v>
      </c>
      <c r="AL21" s="7">
        <v>21</v>
      </c>
      <c r="AM21" s="7">
        <f>H21*0.122974831</f>
        <v>0</v>
      </c>
      <c r="AN21" s="7">
        <f>H21*(1-0.122974831)</f>
        <v>0</v>
      </c>
      <c r="AO21" s="23" t="s">
        <v>71</v>
      </c>
      <c r="AT21" s="7">
        <f>AU21+AV21</f>
        <v>0</v>
      </c>
      <c r="AU21" s="7">
        <f>G21*AM21</f>
        <v>0</v>
      </c>
      <c r="AV21" s="7">
        <f>G21*AN21</f>
        <v>0</v>
      </c>
      <c r="AW21" s="23" t="s">
        <v>77</v>
      </c>
      <c r="AX21" s="23" t="s">
        <v>78</v>
      </c>
      <c r="AY21" s="13" t="s">
        <v>79</v>
      </c>
      <c r="BA21" s="7">
        <f>AU21+AV21</f>
        <v>0</v>
      </c>
      <c r="BB21" s="7">
        <f>H21/(100-BC21)*100</f>
        <v>0</v>
      </c>
      <c r="BC21" s="7">
        <v>0</v>
      </c>
      <c r="BD21" s="7">
        <f>M21</f>
        <v>4.46408556</v>
      </c>
      <c r="BF21" s="7">
        <f>G21*AM21</f>
        <v>0</v>
      </c>
      <c r="BG21" s="7">
        <f>G21*AN21</f>
        <v>0</v>
      </c>
      <c r="BH21" s="7">
        <f>G21*H21</f>
        <v>0</v>
      </c>
      <c r="BI21" s="7"/>
      <c r="BJ21" s="7">
        <v>96</v>
      </c>
      <c r="BU21" s="7" t="e">
        <f>#REF!</f>
        <v>#REF!</v>
      </c>
      <c r="BV21" s="3" t="s">
        <v>91</v>
      </c>
    </row>
    <row r="22" spans="1:74" ht="14.4" x14ac:dyDescent="0.3">
      <c r="A22" s="75"/>
      <c r="D22" s="25" t="s">
        <v>92</v>
      </c>
      <c r="E22" s="26" t="s">
        <v>93</v>
      </c>
      <c r="G22" s="27">
        <v>104.14</v>
      </c>
      <c r="N22" s="28"/>
    </row>
    <row r="23" spans="1:74" ht="14.4" x14ac:dyDescent="0.3">
      <c r="A23" s="75"/>
      <c r="D23" s="25" t="s">
        <v>94</v>
      </c>
      <c r="E23" s="26" t="s">
        <v>95</v>
      </c>
      <c r="G23" s="27">
        <v>4.9530000000000003</v>
      </c>
      <c r="N23" s="28"/>
    </row>
    <row r="24" spans="1:74" ht="14.4" x14ac:dyDescent="0.3">
      <c r="A24" s="74" t="s">
        <v>96</v>
      </c>
      <c r="B24" s="2" t="s">
        <v>21</v>
      </c>
      <c r="C24" s="2" t="s">
        <v>97</v>
      </c>
      <c r="D24" s="152" t="s">
        <v>98</v>
      </c>
      <c r="E24" s="153"/>
      <c r="F24" s="2" t="s">
        <v>74</v>
      </c>
      <c r="G24" s="7">
        <v>41.496000000000002</v>
      </c>
      <c r="H24" s="86">
        <v>0</v>
      </c>
      <c r="I24" s="7">
        <f>G24*AM24</f>
        <v>0</v>
      </c>
      <c r="J24" s="7">
        <f>G24*AN24</f>
        <v>0</v>
      </c>
      <c r="K24" s="7">
        <f>G24*H24</f>
        <v>0</v>
      </c>
      <c r="L24" s="7">
        <v>5.5489999999999998E-2</v>
      </c>
      <c r="M24" s="7">
        <f>G24*L24</f>
        <v>2.3026130400000002</v>
      </c>
      <c r="N24" s="24" t="s">
        <v>76</v>
      </c>
      <c r="X24" s="7">
        <f>IF(AO24="5",BH24,0)</f>
        <v>0</v>
      </c>
      <c r="Z24" s="7">
        <f>IF(AO24="1",BF24,0)</f>
        <v>0</v>
      </c>
      <c r="AA24" s="7">
        <f>IF(AO24="1",BG24,0)</f>
        <v>0</v>
      </c>
      <c r="AB24" s="7">
        <f>IF(AO24="7",BF24,0)</f>
        <v>0</v>
      </c>
      <c r="AC24" s="7">
        <f>IF(AO24="7",BG24,0)</f>
        <v>0</v>
      </c>
      <c r="AD24" s="7">
        <f>IF(AO24="2",BF24,0)</f>
        <v>0</v>
      </c>
      <c r="AE24" s="7">
        <f>IF(AO24="2",BG24,0)</f>
        <v>0</v>
      </c>
      <c r="AF24" s="7">
        <f>IF(AO24="0",BH24,0)</f>
        <v>0</v>
      </c>
      <c r="AG24" s="13" t="s">
        <v>21</v>
      </c>
      <c r="AH24" s="7">
        <f>IF(AL24=0,K24,0)</f>
        <v>0</v>
      </c>
      <c r="AI24" s="7">
        <f>IF(AL24=12,K24,0)</f>
        <v>0</v>
      </c>
      <c r="AJ24" s="7">
        <f>IF(AL24=21,K24,0)</f>
        <v>0</v>
      </c>
      <c r="AL24" s="7">
        <v>21</v>
      </c>
      <c r="AM24" s="7">
        <f>H24*0.105514631</f>
        <v>0</v>
      </c>
      <c r="AN24" s="7">
        <f>H24*(1-0.105514631)</f>
        <v>0</v>
      </c>
      <c r="AO24" s="23" t="s">
        <v>71</v>
      </c>
      <c r="AT24" s="7">
        <f>AU24+AV24</f>
        <v>0</v>
      </c>
      <c r="AU24" s="7">
        <f>G24*AM24</f>
        <v>0</v>
      </c>
      <c r="AV24" s="7">
        <f>G24*AN24</f>
        <v>0</v>
      </c>
      <c r="AW24" s="23" t="s">
        <v>77</v>
      </c>
      <c r="AX24" s="23" t="s">
        <v>78</v>
      </c>
      <c r="AY24" s="13" t="s">
        <v>79</v>
      </c>
      <c r="BA24" s="7">
        <f>AU24+AV24</f>
        <v>0</v>
      </c>
      <c r="BB24" s="7">
        <f>H24/(100-BC24)*100</f>
        <v>0</v>
      </c>
      <c r="BC24" s="7">
        <v>0</v>
      </c>
      <c r="BD24" s="7">
        <f>M24</f>
        <v>2.3026130400000002</v>
      </c>
      <c r="BF24" s="7">
        <f>G24*AM24</f>
        <v>0</v>
      </c>
      <c r="BG24" s="7">
        <f>G24*AN24</f>
        <v>0</v>
      </c>
      <c r="BH24" s="7">
        <f>G24*H24</f>
        <v>0</v>
      </c>
      <c r="BI24" s="7"/>
      <c r="BJ24" s="7">
        <v>96</v>
      </c>
      <c r="BU24" s="7" t="e">
        <f>#REF!</f>
        <v>#REF!</v>
      </c>
      <c r="BV24" s="3" t="s">
        <v>98</v>
      </c>
    </row>
    <row r="25" spans="1:74" ht="14.4" x14ac:dyDescent="0.3">
      <c r="A25" s="75"/>
      <c r="D25" s="25" t="s">
        <v>99</v>
      </c>
      <c r="E25" s="26" t="s">
        <v>100</v>
      </c>
      <c r="G25" s="27">
        <v>41.496000000000002</v>
      </c>
      <c r="N25" s="28"/>
    </row>
    <row r="26" spans="1:74" ht="14.4" x14ac:dyDescent="0.3">
      <c r="A26" s="74" t="s">
        <v>101</v>
      </c>
      <c r="B26" s="2" t="s">
        <v>21</v>
      </c>
      <c r="C26" s="2" t="s">
        <v>102</v>
      </c>
      <c r="D26" s="152" t="s">
        <v>103</v>
      </c>
      <c r="E26" s="153"/>
      <c r="F26" s="2" t="s">
        <v>74</v>
      </c>
      <c r="G26" s="7">
        <v>3.915</v>
      </c>
      <c r="H26" s="86">
        <v>0</v>
      </c>
      <c r="I26" s="7">
        <f>G26*AM26</f>
        <v>0</v>
      </c>
      <c r="J26" s="7">
        <f>G26*AN26</f>
        <v>0</v>
      </c>
      <c r="K26" s="7">
        <f>G26*H26</f>
        <v>0</v>
      </c>
      <c r="L26" s="7">
        <v>4.2200000000000001E-2</v>
      </c>
      <c r="M26" s="7">
        <f>G26*L26</f>
        <v>0.165213</v>
      </c>
      <c r="N26" s="24" t="s">
        <v>76</v>
      </c>
      <c r="X26" s="7">
        <f>IF(AO26="5",BH26,0)</f>
        <v>0</v>
      </c>
      <c r="Z26" s="7">
        <f>IF(AO26="1",BF26,0)</f>
        <v>0</v>
      </c>
      <c r="AA26" s="7">
        <f>IF(AO26="1",BG26,0)</f>
        <v>0</v>
      </c>
      <c r="AB26" s="7">
        <f>IF(AO26="7",BF26,0)</f>
        <v>0</v>
      </c>
      <c r="AC26" s="7">
        <f>IF(AO26="7",BG26,0)</f>
        <v>0</v>
      </c>
      <c r="AD26" s="7">
        <f>IF(AO26="2",BF26,0)</f>
        <v>0</v>
      </c>
      <c r="AE26" s="7">
        <f>IF(AO26="2",BG26,0)</f>
        <v>0</v>
      </c>
      <c r="AF26" s="7">
        <f>IF(AO26="0",BH26,0)</f>
        <v>0</v>
      </c>
      <c r="AG26" s="13" t="s">
        <v>21</v>
      </c>
      <c r="AH26" s="7">
        <f>IF(AL26=0,K26,0)</f>
        <v>0</v>
      </c>
      <c r="AI26" s="7">
        <f>IF(AL26=12,K26,0)</f>
        <v>0</v>
      </c>
      <c r="AJ26" s="7">
        <f>IF(AL26=21,K26,0)</f>
        <v>0</v>
      </c>
      <c r="AL26" s="7">
        <v>21</v>
      </c>
      <c r="AM26" s="7">
        <f>H26*0.102852113</f>
        <v>0</v>
      </c>
      <c r="AN26" s="7">
        <f>H26*(1-0.102852113)</f>
        <v>0</v>
      </c>
      <c r="AO26" s="23" t="s">
        <v>71</v>
      </c>
      <c r="AT26" s="7">
        <f>AU26+AV26</f>
        <v>0</v>
      </c>
      <c r="AU26" s="7">
        <f>G26*AM26</f>
        <v>0</v>
      </c>
      <c r="AV26" s="7">
        <f>G26*AN26</f>
        <v>0</v>
      </c>
      <c r="AW26" s="23" t="s">
        <v>77</v>
      </c>
      <c r="AX26" s="23" t="s">
        <v>78</v>
      </c>
      <c r="AY26" s="13" t="s">
        <v>79</v>
      </c>
      <c r="BA26" s="7">
        <f>AU26+AV26</f>
        <v>0</v>
      </c>
      <c r="BB26" s="7">
        <f>H26/(100-BC26)*100</f>
        <v>0</v>
      </c>
      <c r="BC26" s="7">
        <v>0</v>
      </c>
      <c r="BD26" s="7">
        <f>M26</f>
        <v>0.165213</v>
      </c>
      <c r="BF26" s="7">
        <f>G26*AM26</f>
        <v>0</v>
      </c>
      <c r="BG26" s="7">
        <f>G26*AN26</f>
        <v>0</v>
      </c>
      <c r="BH26" s="7">
        <f>G26*H26</f>
        <v>0</v>
      </c>
      <c r="BI26" s="7"/>
      <c r="BJ26" s="7">
        <v>96</v>
      </c>
      <c r="BU26" s="7" t="e">
        <f>#REF!</f>
        <v>#REF!</v>
      </c>
      <c r="BV26" s="3" t="s">
        <v>103</v>
      </c>
    </row>
    <row r="27" spans="1:74" ht="14.4" x14ac:dyDescent="0.3">
      <c r="A27" s="75"/>
      <c r="D27" s="25" t="s">
        <v>104</v>
      </c>
      <c r="E27" s="26" t="s">
        <v>105</v>
      </c>
      <c r="G27" s="27">
        <v>3.915</v>
      </c>
      <c r="N27" s="28"/>
    </row>
    <row r="28" spans="1:74" ht="14.4" x14ac:dyDescent="0.3">
      <c r="A28" s="74" t="s">
        <v>106</v>
      </c>
      <c r="B28" s="2" t="s">
        <v>21</v>
      </c>
      <c r="C28" s="2" t="s">
        <v>107</v>
      </c>
      <c r="D28" s="152" t="s">
        <v>108</v>
      </c>
      <c r="E28" s="153"/>
      <c r="F28" s="2" t="s">
        <v>74</v>
      </c>
      <c r="G28" s="7">
        <v>2.214</v>
      </c>
      <c r="H28" s="86">
        <v>0</v>
      </c>
      <c r="I28" s="7">
        <f>G28*AM28</f>
        <v>0</v>
      </c>
      <c r="J28" s="7">
        <f>G28*AN28</f>
        <v>0</v>
      </c>
      <c r="K28" s="7">
        <f>G28*H28</f>
        <v>0</v>
      </c>
      <c r="L28" s="7">
        <v>3.8199999999999998E-2</v>
      </c>
      <c r="M28" s="7">
        <f>G28*L28</f>
        <v>8.4574799999999992E-2</v>
      </c>
      <c r="N28" s="24" t="s">
        <v>76</v>
      </c>
      <c r="X28" s="7">
        <f>IF(AO28="5",BH28,0)</f>
        <v>0</v>
      </c>
      <c r="Z28" s="7">
        <f>IF(AO28="1",BF28,0)</f>
        <v>0</v>
      </c>
      <c r="AA28" s="7">
        <f>IF(AO28="1",BG28,0)</f>
        <v>0</v>
      </c>
      <c r="AB28" s="7">
        <f>IF(AO28="7",BF28,0)</f>
        <v>0</v>
      </c>
      <c r="AC28" s="7">
        <f>IF(AO28="7",BG28,0)</f>
        <v>0</v>
      </c>
      <c r="AD28" s="7">
        <f>IF(AO28="2",BF28,0)</f>
        <v>0</v>
      </c>
      <c r="AE28" s="7">
        <f>IF(AO28="2",BG28,0)</f>
        <v>0</v>
      </c>
      <c r="AF28" s="7">
        <f>IF(AO28="0",BH28,0)</f>
        <v>0</v>
      </c>
      <c r="AG28" s="13" t="s">
        <v>21</v>
      </c>
      <c r="AH28" s="7">
        <f>IF(AL28=0,K28,0)</f>
        <v>0</v>
      </c>
      <c r="AI28" s="7">
        <f>IF(AL28=12,K28,0)</f>
        <v>0</v>
      </c>
      <c r="AJ28" s="7">
        <f>IF(AL28=21,K28,0)</f>
        <v>0</v>
      </c>
      <c r="AL28" s="7">
        <v>21</v>
      </c>
      <c r="AM28" s="7">
        <f>H28*0.102851458</f>
        <v>0</v>
      </c>
      <c r="AN28" s="7">
        <f>H28*(1-0.102851458)</f>
        <v>0</v>
      </c>
      <c r="AO28" s="23" t="s">
        <v>71</v>
      </c>
      <c r="AT28" s="7">
        <f>AU28+AV28</f>
        <v>0</v>
      </c>
      <c r="AU28" s="7">
        <f>G28*AM28</f>
        <v>0</v>
      </c>
      <c r="AV28" s="7">
        <f>G28*AN28</f>
        <v>0</v>
      </c>
      <c r="AW28" s="23" t="s">
        <v>77</v>
      </c>
      <c r="AX28" s="23" t="s">
        <v>78</v>
      </c>
      <c r="AY28" s="13" t="s">
        <v>79</v>
      </c>
      <c r="BA28" s="7">
        <f>AU28+AV28</f>
        <v>0</v>
      </c>
      <c r="BB28" s="7">
        <f>H28/(100-BC28)*100</f>
        <v>0</v>
      </c>
      <c r="BC28" s="7">
        <v>0</v>
      </c>
      <c r="BD28" s="7">
        <f>M28</f>
        <v>8.4574799999999992E-2</v>
      </c>
      <c r="BF28" s="7">
        <f>G28*AM28</f>
        <v>0</v>
      </c>
      <c r="BG28" s="7">
        <f>G28*AN28</f>
        <v>0</v>
      </c>
      <c r="BH28" s="7">
        <f>G28*H28</f>
        <v>0</v>
      </c>
      <c r="BI28" s="7"/>
      <c r="BJ28" s="7">
        <v>96</v>
      </c>
      <c r="BU28" s="7" t="e">
        <f>#REF!</f>
        <v>#REF!</v>
      </c>
      <c r="BV28" s="3" t="s">
        <v>108</v>
      </c>
    </row>
    <row r="29" spans="1:74" ht="14.4" x14ac:dyDescent="0.3">
      <c r="A29" s="75"/>
      <c r="D29" s="25" t="s">
        <v>109</v>
      </c>
      <c r="E29" s="26" t="s">
        <v>110</v>
      </c>
      <c r="G29" s="27">
        <v>2.214</v>
      </c>
      <c r="N29" s="28"/>
    </row>
    <row r="30" spans="1:74" ht="14.4" x14ac:dyDescent="0.3">
      <c r="A30" s="74" t="s">
        <v>111</v>
      </c>
      <c r="B30" s="2" t="s">
        <v>21</v>
      </c>
      <c r="C30" s="2" t="s">
        <v>112</v>
      </c>
      <c r="D30" s="152" t="s">
        <v>113</v>
      </c>
      <c r="E30" s="153"/>
      <c r="F30" s="2" t="s">
        <v>114</v>
      </c>
      <c r="G30" s="7">
        <v>120.77</v>
      </c>
      <c r="H30" s="86">
        <v>0</v>
      </c>
      <c r="I30" s="7">
        <f>G30*AM30</f>
        <v>0</v>
      </c>
      <c r="J30" s="7">
        <f>G30*AN30</f>
        <v>0</v>
      </c>
      <c r="K30" s="7">
        <f>G30*H30</f>
        <v>0</v>
      </c>
      <c r="L30" s="7">
        <v>1.383E-2</v>
      </c>
      <c r="M30" s="7">
        <f>G30*L30</f>
        <v>1.6702490999999999</v>
      </c>
      <c r="N30" s="24" t="s">
        <v>76</v>
      </c>
      <c r="X30" s="7">
        <f>IF(AO30="5",BH30,0)</f>
        <v>0</v>
      </c>
      <c r="Z30" s="7">
        <f>IF(AO30="1",BF30,0)</f>
        <v>0</v>
      </c>
      <c r="AA30" s="7">
        <f>IF(AO30="1",BG30,0)</f>
        <v>0</v>
      </c>
      <c r="AB30" s="7">
        <f>IF(AO30="7",BF30,0)</f>
        <v>0</v>
      </c>
      <c r="AC30" s="7">
        <f>IF(AO30="7",BG30,0)</f>
        <v>0</v>
      </c>
      <c r="AD30" s="7">
        <f>IF(AO30="2",BF30,0)</f>
        <v>0</v>
      </c>
      <c r="AE30" s="7">
        <f>IF(AO30="2",BG30,0)</f>
        <v>0</v>
      </c>
      <c r="AF30" s="7">
        <f>IF(AO30="0",BH30,0)</f>
        <v>0</v>
      </c>
      <c r="AG30" s="13" t="s">
        <v>21</v>
      </c>
      <c r="AH30" s="7">
        <f>IF(AL30=0,K30,0)</f>
        <v>0</v>
      </c>
      <c r="AI30" s="7">
        <f>IF(AL30=12,K30,0)</f>
        <v>0</v>
      </c>
      <c r="AJ30" s="7">
        <f>IF(AL30=21,K30,0)</f>
        <v>0</v>
      </c>
      <c r="AL30" s="7">
        <v>21</v>
      </c>
      <c r="AM30" s="7">
        <f>H30*0</f>
        <v>0</v>
      </c>
      <c r="AN30" s="7">
        <f>H30*(1-0)</f>
        <v>0</v>
      </c>
      <c r="AO30" s="23" t="s">
        <v>71</v>
      </c>
      <c r="AT30" s="7">
        <f>AU30+AV30</f>
        <v>0</v>
      </c>
      <c r="AU30" s="7">
        <f>G30*AM30</f>
        <v>0</v>
      </c>
      <c r="AV30" s="7">
        <f>G30*AN30</f>
        <v>0</v>
      </c>
      <c r="AW30" s="23" t="s">
        <v>77</v>
      </c>
      <c r="AX30" s="23" t="s">
        <v>78</v>
      </c>
      <c r="AY30" s="13" t="s">
        <v>79</v>
      </c>
      <c r="BA30" s="7">
        <f>AU30+AV30</f>
        <v>0</v>
      </c>
      <c r="BB30" s="7">
        <f>H30/(100-BC30)*100</f>
        <v>0</v>
      </c>
      <c r="BC30" s="7">
        <v>0</v>
      </c>
      <c r="BD30" s="7">
        <f>M30</f>
        <v>1.6702490999999999</v>
      </c>
      <c r="BF30" s="7">
        <f>G30*AM30</f>
        <v>0</v>
      </c>
      <c r="BG30" s="7">
        <f>G30*AN30</f>
        <v>0</v>
      </c>
      <c r="BH30" s="7">
        <f>G30*H30</f>
        <v>0</v>
      </c>
      <c r="BI30" s="7"/>
      <c r="BJ30" s="7">
        <v>96</v>
      </c>
      <c r="BU30" s="7" t="e">
        <f>#REF!</f>
        <v>#REF!</v>
      </c>
      <c r="BV30" s="3" t="s">
        <v>113</v>
      </c>
    </row>
    <row r="31" spans="1:74" ht="14.4" x14ac:dyDescent="0.3">
      <c r="A31" s="75"/>
      <c r="D31" s="25" t="s">
        <v>115</v>
      </c>
      <c r="E31" s="26" t="s">
        <v>81</v>
      </c>
      <c r="G31" s="27">
        <v>8.5</v>
      </c>
      <c r="N31" s="28"/>
    </row>
    <row r="32" spans="1:74" ht="14.4" x14ac:dyDescent="0.3">
      <c r="A32" s="75"/>
      <c r="D32" s="25" t="s">
        <v>116</v>
      </c>
      <c r="E32" s="26" t="s">
        <v>93</v>
      </c>
      <c r="G32" s="27">
        <v>50.8</v>
      </c>
      <c r="N32" s="28"/>
    </row>
    <row r="33" spans="1:74" ht="14.4" x14ac:dyDescent="0.3">
      <c r="A33" s="75"/>
      <c r="D33" s="25" t="s">
        <v>117</v>
      </c>
      <c r="E33" s="26" t="s">
        <v>95</v>
      </c>
      <c r="G33" s="27">
        <v>2.54</v>
      </c>
      <c r="N33" s="28"/>
    </row>
    <row r="34" spans="1:74" ht="14.4" x14ac:dyDescent="0.3">
      <c r="A34" s="75"/>
      <c r="D34" s="25" t="s">
        <v>118</v>
      </c>
      <c r="E34" s="26" t="s">
        <v>119</v>
      </c>
      <c r="G34" s="27">
        <v>21.28</v>
      </c>
      <c r="N34" s="28"/>
    </row>
    <row r="35" spans="1:74" ht="14.4" x14ac:dyDescent="0.3">
      <c r="A35" s="75"/>
      <c r="D35" s="25" t="s">
        <v>120</v>
      </c>
      <c r="E35" s="26" t="s">
        <v>121</v>
      </c>
      <c r="G35" s="27">
        <v>35.1</v>
      </c>
      <c r="N35" s="28"/>
    </row>
    <row r="36" spans="1:74" ht="14.4" x14ac:dyDescent="0.3">
      <c r="A36" s="75"/>
      <c r="D36" s="25" t="s">
        <v>122</v>
      </c>
      <c r="E36" s="26" t="s">
        <v>88</v>
      </c>
      <c r="G36" s="27">
        <v>2.5499999999999998</v>
      </c>
      <c r="N36" s="28"/>
    </row>
    <row r="37" spans="1:74" ht="14.4" x14ac:dyDescent="0.3">
      <c r="A37" s="74" t="s">
        <v>123</v>
      </c>
      <c r="B37" s="2" t="s">
        <v>21</v>
      </c>
      <c r="C37" s="2" t="s">
        <v>124</v>
      </c>
      <c r="D37" s="152" t="s">
        <v>125</v>
      </c>
      <c r="E37" s="153"/>
      <c r="F37" s="2" t="s">
        <v>74</v>
      </c>
      <c r="G37" s="7">
        <v>33.825000000000003</v>
      </c>
      <c r="H37" s="86">
        <v>0</v>
      </c>
      <c r="I37" s="7">
        <f>G37*AM37</f>
        <v>0</v>
      </c>
      <c r="J37" s="7">
        <f>G37*AN37</f>
        <v>0</v>
      </c>
      <c r="K37" s="7">
        <f>G37*H37</f>
        <v>0</v>
      </c>
      <c r="L37" s="7">
        <v>5.5E-2</v>
      </c>
      <c r="M37" s="7">
        <f>G37*L37</f>
        <v>1.8603750000000001</v>
      </c>
      <c r="N37" s="24" t="s">
        <v>76</v>
      </c>
      <c r="X37" s="7">
        <f>IF(AO37="5",BH37,0)</f>
        <v>0</v>
      </c>
      <c r="Z37" s="7">
        <f>IF(AO37="1",BF37,0)</f>
        <v>0</v>
      </c>
      <c r="AA37" s="7">
        <f>IF(AO37="1",BG37,0)</f>
        <v>0</v>
      </c>
      <c r="AB37" s="7">
        <f>IF(AO37="7",BF37,0)</f>
        <v>0</v>
      </c>
      <c r="AC37" s="7">
        <f>IF(AO37="7",BG37,0)</f>
        <v>0</v>
      </c>
      <c r="AD37" s="7">
        <f>IF(AO37="2",BF37,0)</f>
        <v>0</v>
      </c>
      <c r="AE37" s="7">
        <f>IF(AO37="2",BG37,0)</f>
        <v>0</v>
      </c>
      <c r="AF37" s="7">
        <f>IF(AO37="0",BH37,0)</f>
        <v>0</v>
      </c>
      <c r="AG37" s="13" t="s">
        <v>21</v>
      </c>
      <c r="AH37" s="7">
        <f>IF(AL37=0,K37,0)</f>
        <v>0</v>
      </c>
      <c r="AI37" s="7">
        <f>IF(AL37=12,K37,0)</f>
        <v>0</v>
      </c>
      <c r="AJ37" s="7">
        <f>IF(AL37=21,K37,0)</f>
        <v>0</v>
      </c>
      <c r="AL37" s="7">
        <v>21</v>
      </c>
      <c r="AM37" s="7">
        <f>H37*0</f>
        <v>0</v>
      </c>
      <c r="AN37" s="7">
        <f>H37*(1-0)</f>
        <v>0</v>
      </c>
      <c r="AO37" s="23" t="s">
        <v>71</v>
      </c>
      <c r="AT37" s="7">
        <f>AU37+AV37</f>
        <v>0</v>
      </c>
      <c r="AU37" s="7">
        <f>G37*AM37</f>
        <v>0</v>
      </c>
      <c r="AV37" s="7">
        <f>G37*AN37</f>
        <v>0</v>
      </c>
      <c r="AW37" s="23" t="s">
        <v>77</v>
      </c>
      <c r="AX37" s="23" t="s">
        <v>78</v>
      </c>
      <c r="AY37" s="13" t="s">
        <v>79</v>
      </c>
      <c r="BA37" s="7">
        <f>AU37+AV37</f>
        <v>0</v>
      </c>
      <c r="BB37" s="7">
        <f>H37/(100-BC37)*100</f>
        <v>0</v>
      </c>
      <c r="BC37" s="7">
        <v>0</v>
      </c>
      <c r="BD37" s="7">
        <f>M37</f>
        <v>1.8603750000000001</v>
      </c>
      <c r="BF37" s="7">
        <f>G37*AM37</f>
        <v>0</v>
      </c>
      <c r="BG37" s="7">
        <f>G37*AN37</f>
        <v>0</v>
      </c>
      <c r="BH37" s="7">
        <f>G37*H37</f>
        <v>0</v>
      </c>
      <c r="BI37" s="7"/>
      <c r="BJ37" s="7">
        <v>96</v>
      </c>
      <c r="BU37" s="7" t="e">
        <f>#REF!</f>
        <v>#REF!</v>
      </c>
      <c r="BV37" s="3" t="s">
        <v>125</v>
      </c>
    </row>
    <row r="38" spans="1:74" ht="14.4" x14ac:dyDescent="0.3">
      <c r="A38" s="75"/>
      <c r="D38" s="25" t="s">
        <v>126</v>
      </c>
      <c r="E38" s="26" t="s">
        <v>127</v>
      </c>
      <c r="G38" s="27">
        <v>33.825000000000003</v>
      </c>
      <c r="N38" s="28"/>
    </row>
    <row r="39" spans="1:74" ht="14.4" x14ac:dyDescent="0.3">
      <c r="A39" s="74" t="s">
        <v>128</v>
      </c>
      <c r="B39" s="2" t="s">
        <v>21</v>
      </c>
      <c r="C39" s="2" t="s">
        <v>129</v>
      </c>
      <c r="D39" s="152" t="s">
        <v>130</v>
      </c>
      <c r="E39" s="153"/>
      <c r="F39" s="2" t="s">
        <v>74</v>
      </c>
      <c r="G39" s="7">
        <v>26.838000000000001</v>
      </c>
      <c r="H39" s="86">
        <v>0</v>
      </c>
      <c r="I39" s="7">
        <f>G39*AM39</f>
        <v>0</v>
      </c>
      <c r="J39" s="7">
        <f>G39*AN39</f>
        <v>0</v>
      </c>
      <c r="K39" s="7">
        <f>G39*H39</f>
        <v>0</v>
      </c>
      <c r="L39" s="7">
        <v>6.8000000000000005E-2</v>
      </c>
      <c r="M39" s="7">
        <f>G39*L39</f>
        <v>1.8249840000000002</v>
      </c>
      <c r="N39" s="24" t="s">
        <v>76</v>
      </c>
      <c r="X39" s="7">
        <f>IF(AO39="5",BH39,0)</f>
        <v>0</v>
      </c>
      <c r="Z39" s="7">
        <f>IF(AO39="1",BF39,0)</f>
        <v>0</v>
      </c>
      <c r="AA39" s="7">
        <f>IF(AO39="1",BG39,0)</f>
        <v>0</v>
      </c>
      <c r="AB39" s="7">
        <f>IF(AO39="7",BF39,0)</f>
        <v>0</v>
      </c>
      <c r="AC39" s="7">
        <f>IF(AO39="7",BG39,0)</f>
        <v>0</v>
      </c>
      <c r="AD39" s="7">
        <f>IF(AO39="2",BF39,0)</f>
        <v>0</v>
      </c>
      <c r="AE39" s="7">
        <f>IF(AO39="2",BG39,0)</f>
        <v>0</v>
      </c>
      <c r="AF39" s="7">
        <f>IF(AO39="0",BH39,0)</f>
        <v>0</v>
      </c>
      <c r="AG39" s="13" t="s">
        <v>21</v>
      </c>
      <c r="AH39" s="7">
        <f>IF(AL39=0,K39,0)</f>
        <v>0</v>
      </c>
      <c r="AI39" s="7">
        <f>IF(AL39=12,K39,0)</f>
        <v>0</v>
      </c>
      <c r="AJ39" s="7">
        <f>IF(AL39=21,K39,0)</f>
        <v>0</v>
      </c>
      <c r="AL39" s="7">
        <v>21</v>
      </c>
      <c r="AM39" s="7">
        <f>H39*0</f>
        <v>0</v>
      </c>
      <c r="AN39" s="7">
        <f>H39*(1-0)</f>
        <v>0</v>
      </c>
      <c r="AO39" s="23" t="s">
        <v>71</v>
      </c>
      <c r="AT39" s="7">
        <f>AU39+AV39</f>
        <v>0</v>
      </c>
      <c r="AU39" s="7">
        <f>G39*AM39</f>
        <v>0</v>
      </c>
      <c r="AV39" s="7">
        <f>G39*AN39</f>
        <v>0</v>
      </c>
      <c r="AW39" s="23" t="s">
        <v>77</v>
      </c>
      <c r="AX39" s="23" t="s">
        <v>78</v>
      </c>
      <c r="AY39" s="13" t="s">
        <v>79</v>
      </c>
      <c r="BA39" s="7">
        <f>AU39+AV39</f>
        <v>0</v>
      </c>
      <c r="BB39" s="7">
        <f>H39/(100-BC39)*100</f>
        <v>0</v>
      </c>
      <c r="BC39" s="7">
        <v>0</v>
      </c>
      <c r="BD39" s="7">
        <f>M39</f>
        <v>1.8249840000000002</v>
      </c>
      <c r="BF39" s="7">
        <f>G39*AM39</f>
        <v>0</v>
      </c>
      <c r="BG39" s="7">
        <f>G39*AN39</f>
        <v>0</v>
      </c>
      <c r="BH39" s="7">
        <f>G39*H39</f>
        <v>0</v>
      </c>
      <c r="BI39" s="7"/>
      <c r="BJ39" s="7">
        <v>96</v>
      </c>
      <c r="BU39" s="7" t="e">
        <f>#REF!</f>
        <v>#REF!</v>
      </c>
      <c r="BV39" s="3" t="s">
        <v>130</v>
      </c>
    </row>
    <row r="40" spans="1:74" ht="14.4" x14ac:dyDescent="0.3">
      <c r="A40" s="75"/>
      <c r="D40" s="25" t="s">
        <v>131</v>
      </c>
      <c r="E40" s="26" t="s">
        <v>21</v>
      </c>
      <c r="G40" s="27">
        <v>12.888</v>
      </c>
      <c r="N40" s="28"/>
    </row>
    <row r="41" spans="1:74" ht="14.4" x14ac:dyDescent="0.3">
      <c r="A41" s="75"/>
      <c r="D41" s="25" t="s">
        <v>132</v>
      </c>
      <c r="E41" s="26" t="s">
        <v>21</v>
      </c>
      <c r="G41" s="27">
        <v>7.65</v>
      </c>
      <c r="N41" s="28"/>
    </row>
    <row r="42" spans="1:74" ht="14.4" x14ac:dyDescent="0.3">
      <c r="A42" s="75"/>
      <c r="D42" s="25" t="s">
        <v>133</v>
      </c>
      <c r="E42" s="26" t="s">
        <v>21</v>
      </c>
      <c r="G42" s="27">
        <v>6.3</v>
      </c>
      <c r="N42" s="28"/>
    </row>
    <row r="43" spans="1:74" ht="14.4" x14ac:dyDescent="0.3">
      <c r="A43" s="74" t="s">
        <v>134</v>
      </c>
      <c r="B43" s="2" t="s">
        <v>21</v>
      </c>
      <c r="C43" s="2" t="s">
        <v>135</v>
      </c>
      <c r="D43" s="152" t="s">
        <v>136</v>
      </c>
      <c r="E43" s="153"/>
      <c r="F43" s="2" t="s">
        <v>114</v>
      </c>
      <c r="G43" s="7">
        <v>120.77</v>
      </c>
      <c r="H43" s="86">
        <v>0</v>
      </c>
      <c r="I43" s="7">
        <f>G43*AM43</f>
        <v>0</v>
      </c>
      <c r="J43" s="7">
        <f>G43*AN43</f>
        <v>0</v>
      </c>
      <c r="K43" s="7">
        <f>G43*H43</f>
        <v>0</v>
      </c>
      <c r="L43" s="7">
        <v>1.3500000000000001E-3</v>
      </c>
      <c r="M43" s="7">
        <f>G43*L43</f>
        <v>0.1630395</v>
      </c>
      <c r="N43" s="24" t="s">
        <v>76</v>
      </c>
      <c r="X43" s="7">
        <f>IF(AO43="5",BH43,0)</f>
        <v>0</v>
      </c>
      <c r="Z43" s="7">
        <f>IF(AO43="1",BF43,0)</f>
        <v>0</v>
      </c>
      <c r="AA43" s="7">
        <f>IF(AO43="1",BG43,0)</f>
        <v>0</v>
      </c>
      <c r="AB43" s="7">
        <f>IF(AO43="7",BF43,0)</f>
        <v>0</v>
      </c>
      <c r="AC43" s="7">
        <f>IF(AO43="7",BG43,0)</f>
        <v>0</v>
      </c>
      <c r="AD43" s="7">
        <f>IF(AO43="2",BF43,0)</f>
        <v>0</v>
      </c>
      <c r="AE43" s="7">
        <f>IF(AO43="2",BG43,0)</f>
        <v>0</v>
      </c>
      <c r="AF43" s="7">
        <f>IF(AO43="0",BH43,0)</f>
        <v>0</v>
      </c>
      <c r="AG43" s="13" t="s">
        <v>21</v>
      </c>
      <c r="AH43" s="7">
        <f>IF(AL43=0,K43,0)</f>
        <v>0</v>
      </c>
      <c r="AI43" s="7">
        <f>IF(AL43=12,K43,0)</f>
        <v>0</v>
      </c>
      <c r="AJ43" s="7">
        <f>IF(AL43=21,K43,0)</f>
        <v>0</v>
      </c>
      <c r="AL43" s="7">
        <v>21</v>
      </c>
      <c r="AM43" s="7">
        <f>H43*0</f>
        <v>0</v>
      </c>
      <c r="AN43" s="7">
        <f>H43*(1-0)</f>
        <v>0</v>
      </c>
      <c r="AO43" s="23" t="s">
        <v>71</v>
      </c>
      <c r="AT43" s="7">
        <f>AU43+AV43</f>
        <v>0</v>
      </c>
      <c r="AU43" s="7">
        <f>G43*AM43</f>
        <v>0</v>
      </c>
      <c r="AV43" s="7">
        <f>G43*AN43</f>
        <v>0</v>
      </c>
      <c r="AW43" s="23" t="s">
        <v>77</v>
      </c>
      <c r="AX43" s="23" t="s">
        <v>78</v>
      </c>
      <c r="AY43" s="13" t="s">
        <v>79</v>
      </c>
      <c r="BA43" s="7">
        <f>AU43+AV43</f>
        <v>0</v>
      </c>
      <c r="BB43" s="7">
        <f>H43/(100-BC43)*100</f>
        <v>0</v>
      </c>
      <c r="BC43" s="7">
        <v>0</v>
      </c>
      <c r="BD43" s="7">
        <f>M43</f>
        <v>0.1630395</v>
      </c>
      <c r="BF43" s="7">
        <f>G43*AM43</f>
        <v>0</v>
      </c>
      <c r="BG43" s="7">
        <f>G43*AN43</f>
        <v>0</v>
      </c>
      <c r="BH43" s="7">
        <f>G43*H43</f>
        <v>0</v>
      </c>
      <c r="BI43" s="7"/>
      <c r="BJ43" s="7">
        <v>96</v>
      </c>
      <c r="BU43" s="7" t="e">
        <f>#REF!</f>
        <v>#REF!</v>
      </c>
      <c r="BV43" s="3" t="s">
        <v>136</v>
      </c>
    </row>
    <row r="44" spans="1:74" ht="14.4" x14ac:dyDescent="0.3">
      <c r="A44" s="75"/>
      <c r="D44" s="25" t="s">
        <v>115</v>
      </c>
      <c r="E44" s="26" t="s">
        <v>81</v>
      </c>
      <c r="G44" s="27">
        <v>8.5</v>
      </c>
      <c r="N44" s="28"/>
    </row>
    <row r="45" spans="1:74" ht="14.4" x14ac:dyDescent="0.3">
      <c r="A45" s="75"/>
      <c r="D45" s="25" t="s">
        <v>116</v>
      </c>
      <c r="E45" s="26" t="s">
        <v>93</v>
      </c>
      <c r="G45" s="27">
        <v>50.8</v>
      </c>
      <c r="N45" s="28"/>
    </row>
    <row r="46" spans="1:74" ht="14.4" x14ac:dyDescent="0.3">
      <c r="A46" s="75"/>
      <c r="D46" s="25" t="s">
        <v>117</v>
      </c>
      <c r="E46" s="26" t="s">
        <v>95</v>
      </c>
      <c r="G46" s="27">
        <v>2.54</v>
      </c>
      <c r="N46" s="28"/>
    </row>
    <row r="47" spans="1:74" ht="14.4" x14ac:dyDescent="0.3">
      <c r="A47" s="75"/>
      <c r="D47" s="25" t="s">
        <v>118</v>
      </c>
      <c r="E47" s="26" t="s">
        <v>119</v>
      </c>
      <c r="G47" s="27">
        <v>21.28</v>
      </c>
      <c r="N47" s="28"/>
    </row>
    <row r="48" spans="1:74" ht="14.4" x14ac:dyDescent="0.3">
      <c r="A48" s="75"/>
      <c r="D48" s="25" t="s">
        <v>120</v>
      </c>
      <c r="E48" s="26" t="s">
        <v>121</v>
      </c>
      <c r="G48" s="27">
        <v>35.1</v>
      </c>
      <c r="N48" s="28"/>
    </row>
    <row r="49" spans="1:74" ht="14.4" x14ac:dyDescent="0.3">
      <c r="A49" s="75"/>
      <c r="D49" s="25" t="s">
        <v>122</v>
      </c>
      <c r="E49" s="26" t="s">
        <v>88</v>
      </c>
      <c r="G49" s="27">
        <v>2.5499999999999998</v>
      </c>
      <c r="N49" s="28"/>
    </row>
    <row r="50" spans="1:74" ht="14.4" x14ac:dyDescent="0.3">
      <c r="A50" s="74" t="s">
        <v>137</v>
      </c>
      <c r="B50" s="2" t="s">
        <v>21</v>
      </c>
      <c r="C50" s="2" t="s">
        <v>138</v>
      </c>
      <c r="D50" s="152" t="s">
        <v>139</v>
      </c>
      <c r="E50" s="153"/>
      <c r="F50" s="2" t="s">
        <v>140</v>
      </c>
      <c r="G50" s="7">
        <v>12.933</v>
      </c>
      <c r="H50" s="86">
        <v>0</v>
      </c>
      <c r="I50" s="7">
        <f t="shared" ref="I50:I55" si="0">G50*AM50</f>
        <v>0</v>
      </c>
      <c r="J50" s="7">
        <f t="shared" ref="J50:J55" si="1">G50*AN50</f>
        <v>0</v>
      </c>
      <c r="K50" s="7">
        <f t="shared" ref="K50:K55" si="2">G50*H50</f>
        <v>0</v>
      </c>
      <c r="L50" s="7">
        <v>0</v>
      </c>
      <c r="M50" s="7">
        <f t="shared" ref="M50:M55" si="3">G50*L50</f>
        <v>0</v>
      </c>
      <c r="N50" s="24" t="s">
        <v>76</v>
      </c>
      <c r="X50" s="7">
        <f t="shared" ref="X50:X55" si="4">IF(AO50="5",BH50,0)</f>
        <v>0</v>
      </c>
      <c r="Z50" s="7">
        <f t="shared" ref="Z50:Z55" si="5">IF(AO50="1",BF50,0)</f>
        <v>0</v>
      </c>
      <c r="AA50" s="7">
        <f t="shared" ref="AA50:AA55" si="6">IF(AO50="1",BG50,0)</f>
        <v>0</v>
      </c>
      <c r="AB50" s="7">
        <f t="shared" ref="AB50:AB55" si="7">IF(AO50="7",BF50,0)</f>
        <v>0</v>
      </c>
      <c r="AC50" s="7">
        <f t="shared" ref="AC50:AC55" si="8">IF(AO50="7",BG50,0)</f>
        <v>0</v>
      </c>
      <c r="AD50" s="7">
        <f t="shared" ref="AD50:AD55" si="9">IF(AO50="2",BF50,0)</f>
        <v>0</v>
      </c>
      <c r="AE50" s="7">
        <f t="shared" ref="AE50:AE55" si="10">IF(AO50="2",BG50,0)</f>
        <v>0</v>
      </c>
      <c r="AF50" s="7">
        <f t="shared" ref="AF50:AF55" si="11">IF(AO50="0",BH50,0)</f>
        <v>0</v>
      </c>
      <c r="AG50" s="13" t="s">
        <v>21</v>
      </c>
      <c r="AH50" s="7">
        <f t="shared" ref="AH50:AH55" si="12">IF(AL50=0,K50,0)</f>
        <v>0</v>
      </c>
      <c r="AI50" s="7">
        <f t="shared" ref="AI50:AI55" si="13">IF(AL50=12,K50,0)</f>
        <v>0</v>
      </c>
      <c r="AJ50" s="7">
        <f t="shared" ref="AJ50:AJ55" si="14">IF(AL50=21,K50,0)</f>
        <v>0</v>
      </c>
      <c r="AL50" s="7">
        <v>21</v>
      </c>
      <c r="AM50" s="7">
        <f>H50*0</f>
        <v>0</v>
      </c>
      <c r="AN50" s="7">
        <f>H50*(1-0)</f>
        <v>0</v>
      </c>
      <c r="AO50" s="23" t="s">
        <v>106</v>
      </c>
      <c r="AT50" s="7">
        <f t="shared" ref="AT50:AT55" si="15">AU50+AV50</f>
        <v>0</v>
      </c>
      <c r="AU50" s="7">
        <f t="shared" ref="AU50:AU55" si="16">G50*AM50</f>
        <v>0</v>
      </c>
      <c r="AV50" s="7">
        <f t="shared" ref="AV50:AV55" si="17">G50*AN50</f>
        <v>0</v>
      </c>
      <c r="AW50" s="23" t="s">
        <v>77</v>
      </c>
      <c r="AX50" s="23" t="s">
        <v>78</v>
      </c>
      <c r="AY50" s="13" t="s">
        <v>79</v>
      </c>
      <c r="BA50" s="7">
        <f t="shared" ref="BA50:BA55" si="18">AU50+AV50</f>
        <v>0</v>
      </c>
      <c r="BB50" s="7">
        <f t="shared" ref="BB50:BB55" si="19">H50/(100-BC50)*100</f>
        <v>0</v>
      </c>
      <c r="BC50" s="7">
        <v>0</v>
      </c>
      <c r="BD50" s="7">
        <f t="shared" ref="BD50:BD55" si="20">M50</f>
        <v>0</v>
      </c>
      <c r="BF50" s="7">
        <f t="shared" ref="BF50:BF55" si="21">G50*AM50</f>
        <v>0</v>
      </c>
      <c r="BG50" s="7">
        <f t="shared" ref="BG50:BG55" si="22">G50*AN50</f>
        <v>0</v>
      </c>
      <c r="BH50" s="7">
        <f t="shared" ref="BH50:BH55" si="23">G50*H50</f>
        <v>0</v>
      </c>
      <c r="BI50" s="7"/>
      <c r="BJ50" s="7">
        <v>96</v>
      </c>
      <c r="BU50" s="7" t="e">
        <f>#REF!</f>
        <v>#REF!</v>
      </c>
      <c r="BV50" s="3" t="s">
        <v>139</v>
      </c>
    </row>
    <row r="51" spans="1:74" ht="14.4" x14ac:dyDescent="0.3">
      <c r="A51" s="74" t="s">
        <v>141</v>
      </c>
      <c r="B51" s="2" t="s">
        <v>21</v>
      </c>
      <c r="C51" s="2" t="s">
        <v>142</v>
      </c>
      <c r="D51" s="152" t="s">
        <v>143</v>
      </c>
      <c r="E51" s="153"/>
      <c r="F51" s="2" t="s">
        <v>140</v>
      </c>
      <c r="G51" s="7">
        <v>12.933</v>
      </c>
      <c r="H51" s="86">
        <v>0</v>
      </c>
      <c r="I51" s="7">
        <f t="shared" si="0"/>
        <v>0</v>
      </c>
      <c r="J51" s="7">
        <f t="shared" si="1"/>
        <v>0</v>
      </c>
      <c r="K51" s="7">
        <f t="shared" si="2"/>
        <v>0</v>
      </c>
      <c r="L51" s="7">
        <v>0</v>
      </c>
      <c r="M51" s="7">
        <f t="shared" si="3"/>
        <v>0</v>
      </c>
      <c r="N51" s="24" t="s">
        <v>144</v>
      </c>
      <c r="X51" s="7">
        <f t="shared" si="4"/>
        <v>0</v>
      </c>
      <c r="Z51" s="7">
        <f t="shared" si="5"/>
        <v>0</v>
      </c>
      <c r="AA51" s="7">
        <f t="shared" si="6"/>
        <v>0</v>
      </c>
      <c r="AB51" s="7">
        <f t="shared" si="7"/>
        <v>0</v>
      </c>
      <c r="AC51" s="7">
        <f t="shared" si="8"/>
        <v>0</v>
      </c>
      <c r="AD51" s="7">
        <f t="shared" si="9"/>
        <v>0</v>
      </c>
      <c r="AE51" s="7">
        <f t="shared" si="10"/>
        <v>0</v>
      </c>
      <c r="AF51" s="7">
        <f t="shared" si="11"/>
        <v>0</v>
      </c>
      <c r="AG51" s="13" t="s">
        <v>21</v>
      </c>
      <c r="AH51" s="7">
        <f t="shared" si="12"/>
        <v>0</v>
      </c>
      <c r="AI51" s="7">
        <f t="shared" si="13"/>
        <v>0</v>
      </c>
      <c r="AJ51" s="7">
        <f t="shared" si="14"/>
        <v>0</v>
      </c>
      <c r="AL51" s="7">
        <v>21</v>
      </c>
      <c r="AM51" s="7">
        <f>H51*0</f>
        <v>0</v>
      </c>
      <c r="AN51" s="7">
        <f>H51*(1-0)</f>
        <v>0</v>
      </c>
      <c r="AO51" s="23" t="s">
        <v>106</v>
      </c>
      <c r="AT51" s="7">
        <f t="shared" si="15"/>
        <v>0</v>
      </c>
      <c r="AU51" s="7">
        <f t="shared" si="16"/>
        <v>0</v>
      </c>
      <c r="AV51" s="7">
        <f t="shared" si="17"/>
        <v>0</v>
      </c>
      <c r="AW51" s="23" t="s">
        <v>77</v>
      </c>
      <c r="AX51" s="23" t="s">
        <v>78</v>
      </c>
      <c r="AY51" s="13" t="s">
        <v>79</v>
      </c>
      <c r="BA51" s="7">
        <f t="shared" si="18"/>
        <v>0</v>
      </c>
      <c r="BB51" s="7">
        <f t="shared" si="19"/>
        <v>0</v>
      </c>
      <c r="BC51" s="7">
        <v>0</v>
      </c>
      <c r="BD51" s="7">
        <f t="shared" si="20"/>
        <v>0</v>
      </c>
      <c r="BF51" s="7">
        <f t="shared" si="21"/>
        <v>0</v>
      </c>
      <c r="BG51" s="7">
        <f t="shared" si="22"/>
        <v>0</v>
      </c>
      <c r="BH51" s="7">
        <f t="shared" si="23"/>
        <v>0</v>
      </c>
      <c r="BI51" s="7"/>
      <c r="BJ51" s="7">
        <v>96</v>
      </c>
      <c r="BU51" s="7" t="e">
        <f>#REF!</f>
        <v>#REF!</v>
      </c>
      <c r="BV51" s="3" t="s">
        <v>143</v>
      </c>
    </row>
    <row r="52" spans="1:74" ht="14.4" x14ac:dyDescent="0.3">
      <c r="A52" s="74" t="s">
        <v>145</v>
      </c>
      <c r="B52" s="2" t="s">
        <v>21</v>
      </c>
      <c r="C52" s="2" t="s">
        <v>146</v>
      </c>
      <c r="D52" s="152" t="s">
        <v>147</v>
      </c>
      <c r="E52" s="153"/>
      <c r="F52" s="2" t="s">
        <v>140</v>
      </c>
      <c r="G52" s="7">
        <v>12.933</v>
      </c>
      <c r="H52" s="86">
        <v>0</v>
      </c>
      <c r="I52" s="7">
        <f t="shared" si="0"/>
        <v>0</v>
      </c>
      <c r="J52" s="7">
        <f t="shared" si="1"/>
        <v>0</v>
      </c>
      <c r="K52" s="7">
        <f t="shared" si="2"/>
        <v>0</v>
      </c>
      <c r="L52" s="7">
        <v>0</v>
      </c>
      <c r="M52" s="7">
        <f t="shared" si="3"/>
        <v>0</v>
      </c>
      <c r="N52" s="24" t="s">
        <v>76</v>
      </c>
      <c r="X52" s="7">
        <f t="shared" si="4"/>
        <v>0</v>
      </c>
      <c r="Z52" s="7">
        <f t="shared" si="5"/>
        <v>0</v>
      </c>
      <c r="AA52" s="7">
        <f t="shared" si="6"/>
        <v>0</v>
      </c>
      <c r="AB52" s="7">
        <f t="shared" si="7"/>
        <v>0</v>
      </c>
      <c r="AC52" s="7">
        <f t="shared" si="8"/>
        <v>0</v>
      </c>
      <c r="AD52" s="7">
        <f t="shared" si="9"/>
        <v>0</v>
      </c>
      <c r="AE52" s="7">
        <f t="shared" si="10"/>
        <v>0</v>
      </c>
      <c r="AF52" s="7">
        <f t="shared" si="11"/>
        <v>0</v>
      </c>
      <c r="AG52" s="13" t="s">
        <v>21</v>
      </c>
      <c r="AH52" s="7">
        <f t="shared" si="12"/>
        <v>0</v>
      </c>
      <c r="AI52" s="7">
        <f t="shared" si="13"/>
        <v>0</v>
      </c>
      <c r="AJ52" s="7">
        <f t="shared" si="14"/>
        <v>0</v>
      </c>
      <c r="AL52" s="7">
        <v>21</v>
      </c>
      <c r="AM52" s="7">
        <f>H52*0.014323045</f>
        <v>0</v>
      </c>
      <c r="AN52" s="7">
        <f>H52*(1-0.014323045)</f>
        <v>0</v>
      </c>
      <c r="AO52" s="23" t="s">
        <v>106</v>
      </c>
      <c r="AT52" s="7">
        <f t="shared" si="15"/>
        <v>0</v>
      </c>
      <c r="AU52" s="7">
        <f t="shared" si="16"/>
        <v>0</v>
      </c>
      <c r="AV52" s="7">
        <f t="shared" si="17"/>
        <v>0</v>
      </c>
      <c r="AW52" s="23" t="s">
        <v>77</v>
      </c>
      <c r="AX52" s="23" t="s">
        <v>78</v>
      </c>
      <c r="AY52" s="13" t="s">
        <v>79</v>
      </c>
      <c r="BA52" s="7">
        <f t="shared" si="18"/>
        <v>0</v>
      </c>
      <c r="BB52" s="7">
        <f t="shared" si="19"/>
        <v>0</v>
      </c>
      <c r="BC52" s="7">
        <v>0</v>
      </c>
      <c r="BD52" s="7">
        <f t="shared" si="20"/>
        <v>0</v>
      </c>
      <c r="BF52" s="7">
        <f t="shared" si="21"/>
        <v>0</v>
      </c>
      <c r="BG52" s="7">
        <f t="shared" si="22"/>
        <v>0</v>
      </c>
      <c r="BH52" s="7">
        <f t="shared" si="23"/>
        <v>0</v>
      </c>
      <c r="BI52" s="7"/>
      <c r="BJ52" s="7">
        <v>96</v>
      </c>
      <c r="BU52" s="7" t="e">
        <f>#REF!</f>
        <v>#REF!</v>
      </c>
      <c r="BV52" s="3" t="s">
        <v>147</v>
      </c>
    </row>
    <row r="53" spans="1:74" ht="14.4" x14ac:dyDescent="0.3">
      <c r="A53" s="74" t="s">
        <v>148</v>
      </c>
      <c r="B53" s="2" t="s">
        <v>21</v>
      </c>
      <c r="C53" s="2" t="s">
        <v>149</v>
      </c>
      <c r="D53" s="152" t="s">
        <v>150</v>
      </c>
      <c r="E53" s="153"/>
      <c r="F53" s="2" t="s">
        <v>140</v>
      </c>
      <c r="G53" s="7">
        <v>9.0839999999999996</v>
      </c>
      <c r="H53" s="86">
        <v>0</v>
      </c>
      <c r="I53" s="7">
        <f t="shared" si="0"/>
        <v>0</v>
      </c>
      <c r="J53" s="7">
        <f t="shared" si="1"/>
        <v>0</v>
      </c>
      <c r="K53" s="7">
        <f t="shared" si="2"/>
        <v>0</v>
      </c>
      <c r="L53" s="7">
        <v>0</v>
      </c>
      <c r="M53" s="7">
        <f t="shared" si="3"/>
        <v>0</v>
      </c>
      <c r="N53" s="24" t="s">
        <v>76</v>
      </c>
      <c r="X53" s="7">
        <f t="shared" si="4"/>
        <v>0</v>
      </c>
      <c r="Z53" s="7">
        <f t="shared" si="5"/>
        <v>0</v>
      </c>
      <c r="AA53" s="7">
        <f t="shared" si="6"/>
        <v>0</v>
      </c>
      <c r="AB53" s="7">
        <f t="shared" si="7"/>
        <v>0</v>
      </c>
      <c r="AC53" s="7">
        <f t="shared" si="8"/>
        <v>0</v>
      </c>
      <c r="AD53" s="7">
        <f t="shared" si="9"/>
        <v>0</v>
      </c>
      <c r="AE53" s="7">
        <f t="shared" si="10"/>
        <v>0</v>
      </c>
      <c r="AF53" s="7">
        <f t="shared" si="11"/>
        <v>0</v>
      </c>
      <c r="AG53" s="13" t="s">
        <v>21</v>
      </c>
      <c r="AH53" s="7">
        <f t="shared" si="12"/>
        <v>0</v>
      </c>
      <c r="AI53" s="7">
        <f t="shared" si="13"/>
        <v>0</v>
      </c>
      <c r="AJ53" s="7">
        <f t="shared" si="14"/>
        <v>0</v>
      </c>
      <c r="AL53" s="7">
        <v>21</v>
      </c>
      <c r="AM53" s="7">
        <f>H53*0</f>
        <v>0</v>
      </c>
      <c r="AN53" s="7">
        <f>H53*(1-0)</f>
        <v>0</v>
      </c>
      <c r="AO53" s="23" t="s">
        <v>106</v>
      </c>
      <c r="AT53" s="7">
        <f t="shared" si="15"/>
        <v>0</v>
      </c>
      <c r="AU53" s="7">
        <f t="shared" si="16"/>
        <v>0</v>
      </c>
      <c r="AV53" s="7">
        <f t="shared" si="17"/>
        <v>0</v>
      </c>
      <c r="AW53" s="23" t="s">
        <v>77</v>
      </c>
      <c r="AX53" s="23" t="s">
        <v>78</v>
      </c>
      <c r="AY53" s="13" t="s">
        <v>79</v>
      </c>
      <c r="BA53" s="7">
        <f t="shared" si="18"/>
        <v>0</v>
      </c>
      <c r="BB53" s="7">
        <f t="shared" si="19"/>
        <v>0</v>
      </c>
      <c r="BC53" s="7">
        <v>0</v>
      </c>
      <c r="BD53" s="7">
        <f t="shared" si="20"/>
        <v>0</v>
      </c>
      <c r="BF53" s="7">
        <f t="shared" si="21"/>
        <v>0</v>
      </c>
      <c r="BG53" s="7">
        <f t="shared" si="22"/>
        <v>0</v>
      </c>
      <c r="BH53" s="7">
        <f t="shared" si="23"/>
        <v>0</v>
      </c>
      <c r="BI53" s="7"/>
      <c r="BJ53" s="7">
        <v>96</v>
      </c>
      <c r="BU53" s="7" t="e">
        <f>#REF!</f>
        <v>#REF!</v>
      </c>
      <c r="BV53" s="3" t="s">
        <v>150</v>
      </c>
    </row>
    <row r="54" spans="1:74" ht="14.4" x14ac:dyDescent="0.3">
      <c r="A54" s="74" t="s">
        <v>151</v>
      </c>
      <c r="B54" s="2" t="s">
        <v>21</v>
      </c>
      <c r="C54" s="2" t="s">
        <v>152</v>
      </c>
      <c r="D54" s="152" t="s">
        <v>153</v>
      </c>
      <c r="E54" s="153"/>
      <c r="F54" s="2" t="s">
        <v>140</v>
      </c>
      <c r="G54" s="7">
        <v>3.6850000000000001</v>
      </c>
      <c r="H54" s="86">
        <v>0</v>
      </c>
      <c r="I54" s="7">
        <f t="shared" si="0"/>
        <v>0</v>
      </c>
      <c r="J54" s="7">
        <f t="shared" si="1"/>
        <v>0</v>
      </c>
      <c r="K54" s="7">
        <f t="shared" si="2"/>
        <v>0</v>
      </c>
      <c r="L54" s="7">
        <v>0</v>
      </c>
      <c r="M54" s="7">
        <f t="shared" si="3"/>
        <v>0</v>
      </c>
      <c r="N54" s="24" t="s">
        <v>76</v>
      </c>
      <c r="X54" s="7">
        <f t="shared" si="4"/>
        <v>0</v>
      </c>
      <c r="Z54" s="7">
        <f t="shared" si="5"/>
        <v>0</v>
      </c>
      <c r="AA54" s="7">
        <f t="shared" si="6"/>
        <v>0</v>
      </c>
      <c r="AB54" s="7">
        <f t="shared" si="7"/>
        <v>0</v>
      </c>
      <c r="AC54" s="7">
        <f t="shared" si="8"/>
        <v>0</v>
      </c>
      <c r="AD54" s="7">
        <f t="shared" si="9"/>
        <v>0</v>
      </c>
      <c r="AE54" s="7">
        <f t="shared" si="10"/>
        <v>0</v>
      </c>
      <c r="AF54" s="7">
        <f t="shared" si="11"/>
        <v>0</v>
      </c>
      <c r="AG54" s="13" t="s">
        <v>21</v>
      </c>
      <c r="AH54" s="7">
        <f t="shared" si="12"/>
        <v>0</v>
      </c>
      <c r="AI54" s="7">
        <f t="shared" si="13"/>
        <v>0</v>
      </c>
      <c r="AJ54" s="7">
        <f t="shared" si="14"/>
        <v>0</v>
      </c>
      <c r="AL54" s="7">
        <v>21</v>
      </c>
      <c r="AM54" s="7">
        <f>H54*0</f>
        <v>0</v>
      </c>
      <c r="AN54" s="7">
        <f>H54*(1-0)</f>
        <v>0</v>
      </c>
      <c r="AO54" s="23" t="s">
        <v>106</v>
      </c>
      <c r="AT54" s="7">
        <f t="shared" si="15"/>
        <v>0</v>
      </c>
      <c r="AU54" s="7">
        <f t="shared" si="16"/>
        <v>0</v>
      </c>
      <c r="AV54" s="7">
        <f t="shared" si="17"/>
        <v>0</v>
      </c>
      <c r="AW54" s="23" t="s">
        <v>77</v>
      </c>
      <c r="AX54" s="23" t="s">
        <v>78</v>
      </c>
      <c r="AY54" s="13" t="s">
        <v>79</v>
      </c>
      <c r="BA54" s="7">
        <f t="shared" si="18"/>
        <v>0</v>
      </c>
      <c r="BB54" s="7">
        <f t="shared" si="19"/>
        <v>0</v>
      </c>
      <c r="BC54" s="7">
        <v>0</v>
      </c>
      <c r="BD54" s="7">
        <f t="shared" si="20"/>
        <v>0</v>
      </c>
      <c r="BF54" s="7">
        <f t="shared" si="21"/>
        <v>0</v>
      </c>
      <c r="BG54" s="7">
        <f t="shared" si="22"/>
        <v>0</v>
      </c>
      <c r="BH54" s="7">
        <f t="shared" si="23"/>
        <v>0</v>
      </c>
      <c r="BI54" s="7"/>
      <c r="BJ54" s="7">
        <v>96</v>
      </c>
      <c r="BU54" s="7" t="e">
        <f>#REF!</f>
        <v>#REF!</v>
      </c>
      <c r="BV54" s="3" t="s">
        <v>153</v>
      </c>
    </row>
    <row r="55" spans="1:74" ht="14.4" x14ac:dyDescent="0.3">
      <c r="A55" s="74" t="s">
        <v>154</v>
      </c>
      <c r="B55" s="2" t="s">
        <v>21</v>
      </c>
      <c r="C55" s="2" t="s">
        <v>155</v>
      </c>
      <c r="D55" s="152" t="s">
        <v>156</v>
      </c>
      <c r="E55" s="153"/>
      <c r="F55" s="2" t="s">
        <v>140</v>
      </c>
      <c r="G55" s="7">
        <v>0.16300000000000001</v>
      </c>
      <c r="H55" s="86">
        <v>0</v>
      </c>
      <c r="I55" s="7">
        <f t="shared" si="0"/>
        <v>0</v>
      </c>
      <c r="J55" s="7">
        <f t="shared" si="1"/>
        <v>0</v>
      </c>
      <c r="K55" s="7">
        <f t="shared" si="2"/>
        <v>0</v>
      </c>
      <c r="L55" s="7">
        <v>0</v>
      </c>
      <c r="M55" s="7">
        <f t="shared" si="3"/>
        <v>0</v>
      </c>
      <c r="N55" s="24" t="s">
        <v>76</v>
      </c>
      <c r="X55" s="7">
        <f t="shared" si="4"/>
        <v>0</v>
      </c>
      <c r="Z55" s="7">
        <f t="shared" si="5"/>
        <v>0</v>
      </c>
      <c r="AA55" s="7">
        <f t="shared" si="6"/>
        <v>0</v>
      </c>
      <c r="AB55" s="7">
        <f t="shared" si="7"/>
        <v>0</v>
      </c>
      <c r="AC55" s="7">
        <f t="shared" si="8"/>
        <v>0</v>
      </c>
      <c r="AD55" s="7">
        <f t="shared" si="9"/>
        <v>0</v>
      </c>
      <c r="AE55" s="7">
        <f t="shared" si="10"/>
        <v>0</v>
      </c>
      <c r="AF55" s="7">
        <f t="shared" si="11"/>
        <v>0</v>
      </c>
      <c r="AG55" s="13" t="s">
        <v>21</v>
      </c>
      <c r="AH55" s="7">
        <f t="shared" si="12"/>
        <v>0</v>
      </c>
      <c r="AI55" s="7">
        <f t="shared" si="13"/>
        <v>0</v>
      </c>
      <c r="AJ55" s="7">
        <f t="shared" si="14"/>
        <v>0</v>
      </c>
      <c r="AL55" s="7">
        <v>21</v>
      </c>
      <c r="AM55" s="7">
        <f>H55*0</f>
        <v>0</v>
      </c>
      <c r="AN55" s="7">
        <f>H55*(1-0)</f>
        <v>0</v>
      </c>
      <c r="AO55" s="23" t="s">
        <v>106</v>
      </c>
      <c r="AT55" s="7">
        <f t="shared" si="15"/>
        <v>0</v>
      </c>
      <c r="AU55" s="7">
        <f t="shared" si="16"/>
        <v>0</v>
      </c>
      <c r="AV55" s="7">
        <f t="shared" si="17"/>
        <v>0</v>
      </c>
      <c r="AW55" s="23" t="s">
        <v>77</v>
      </c>
      <c r="AX55" s="23" t="s">
        <v>78</v>
      </c>
      <c r="AY55" s="13" t="s">
        <v>79</v>
      </c>
      <c r="BA55" s="7">
        <f t="shared" si="18"/>
        <v>0</v>
      </c>
      <c r="BB55" s="7">
        <f t="shared" si="19"/>
        <v>0</v>
      </c>
      <c r="BC55" s="7">
        <v>0</v>
      </c>
      <c r="BD55" s="7">
        <f t="shared" si="20"/>
        <v>0</v>
      </c>
      <c r="BF55" s="7">
        <f t="shared" si="21"/>
        <v>0</v>
      </c>
      <c r="BG55" s="7">
        <f t="shared" si="22"/>
        <v>0</v>
      </c>
      <c r="BH55" s="7">
        <f t="shared" si="23"/>
        <v>0</v>
      </c>
      <c r="BI55" s="7"/>
      <c r="BJ55" s="7">
        <v>96</v>
      </c>
      <c r="BU55" s="7" t="e">
        <f>#REF!</f>
        <v>#REF!</v>
      </c>
      <c r="BV55" s="3" t="s">
        <v>156</v>
      </c>
    </row>
    <row r="56" spans="1:74" ht="14.4" x14ac:dyDescent="0.3">
      <c r="A56" s="73" t="s">
        <v>21</v>
      </c>
      <c r="B56" s="20" t="s">
        <v>21</v>
      </c>
      <c r="C56" s="20" t="s">
        <v>26</v>
      </c>
      <c r="D56" s="158" t="s">
        <v>27</v>
      </c>
      <c r="E56" s="159"/>
      <c r="F56" s="21" t="s">
        <v>12</v>
      </c>
      <c r="G56" s="21" t="s">
        <v>12</v>
      </c>
      <c r="H56" s="21" t="s">
        <v>12</v>
      </c>
      <c r="I56" s="12">
        <f>SUM(I57:I99)</f>
        <v>0</v>
      </c>
      <c r="J56" s="12">
        <f>SUM(J57:J99)</f>
        <v>0</v>
      </c>
      <c r="K56" s="12">
        <f>SUM(K57:K99)</f>
        <v>0</v>
      </c>
      <c r="L56" s="13" t="s">
        <v>21</v>
      </c>
      <c r="M56" s="12">
        <f>SUM(M57:M99)</f>
        <v>4.6342660999999996</v>
      </c>
      <c r="N56" s="22" t="s">
        <v>21</v>
      </c>
      <c r="AG56" s="13" t="s">
        <v>21</v>
      </c>
      <c r="AQ56" s="12">
        <f>SUM(AH57:AH99)</f>
        <v>0</v>
      </c>
      <c r="AR56" s="12">
        <f>SUM(AI57:AI99)</f>
        <v>0</v>
      </c>
      <c r="AS56" s="12">
        <f>SUM(AJ57:AJ99)</f>
        <v>0</v>
      </c>
    </row>
    <row r="57" spans="1:74" ht="14.4" x14ac:dyDescent="0.3">
      <c r="A57" s="74" t="s">
        <v>157</v>
      </c>
      <c r="B57" s="2" t="s">
        <v>21</v>
      </c>
      <c r="C57" s="2" t="s">
        <v>158</v>
      </c>
      <c r="D57" s="152" t="s">
        <v>159</v>
      </c>
      <c r="E57" s="153"/>
      <c r="F57" s="2" t="s">
        <v>114</v>
      </c>
      <c r="G57" s="7">
        <v>496.89</v>
      </c>
      <c r="H57" s="86">
        <v>0</v>
      </c>
      <c r="I57" s="7">
        <f>G57*AM57</f>
        <v>0</v>
      </c>
      <c r="J57" s="7">
        <f>G57*AN57</f>
        <v>0</v>
      </c>
      <c r="K57" s="7">
        <f>G57*H57</f>
        <v>0</v>
      </c>
      <c r="L57" s="7">
        <v>4.0000000000000001E-3</v>
      </c>
      <c r="M57" s="7">
        <f>G57*L57</f>
        <v>1.98756</v>
      </c>
      <c r="N57" s="24" t="s">
        <v>144</v>
      </c>
      <c r="X57" s="7">
        <f>IF(AO57="5",BH57,0)</f>
        <v>0</v>
      </c>
      <c r="Z57" s="7">
        <f>IF(AO57="1",BF57,0)</f>
        <v>0</v>
      </c>
      <c r="AA57" s="7">
        <f>IF(AO57="1",BG57,0)</f>
        <v>0</v>
      </c>
      <c r="AB57" s="7">
        <f>IF(AO57="7",BF57,0)</f>
        <v>0</v>
      </c>
      <c r="AC57" s="7">
        <f>IF(AO57="7",BG57,0)</f>
        <v>0</v>
      </c>
      <c r="AD57" s="7">
        <f>IF(AO57="2",BF57,0)</f>
        <v>0</v>
      </c>
      <c r="AE57" s="7">
        <f>IF(AO57="2",BG57,0)</f>
        <v>0</v>
      </c>
      <c r="AF57" s="7">
        <f>IF(AO57="0",BH57,0)</f>
        <v>0</v>
      </c>
      <c r="AG57" s="13" t="s">
        <v>21</v>
      </c>
      <c r="AH57" s="7">
        <f>IF(AL57=0,K57,0)</f>
        <v>0</v>
      </c>
      <c r="AI57" s="7">
        <f>IF(AL57=12,K57,0)</f>
        <v>0</v>
      </c>
      <c r="AJ57" s="7">
        <f>IF(AL57=21,K57,0)</f>
        <v>0</v>
      </c>
      <c r="AL57" s="7">
        <v>21</v>
      </c>
      <c r="AM57" s="7">
        <f>H57*0.223540541</f>
        <v>0</v>
      </c>
      <c r="AN57" s="7">
        <f>H57*(1-0.223540541)</f>
        <v>0</v>
      </c>
      <c r="AO57" s="23" t="s">
        <v>71</v>
      </c>
      <c r="AT57" s="7">
        <f>AU57+AV57</f>
        <v>0</v>
      </c>
      <c r="AU57" s="7">
        <f>G57*AM57</f>
        <v>0</v>
      </c>
      <c r="AV57" s="7">
        <f>G57*AN57</f>
        <v>0</v>
      </c>
      <c r="AW57" s="23" t="s">
        <v>160</v>
      </c>
      <c r="AX57" s="23" t="s">
        <v>161</v>
      </c>
      <c r="AY57" s="13" t="s">
        <v>79</v>
      </c>
      <c r="BA57" s="7">
        <f>AU57+AV57</f>
        <v>0</v>
      </c>
      <c r="BB57" s="7">
        <f>H57/(100-BC57)*100</f>
        <v>0</v>
      </c>
      <c r="BC57" s="7">
        <v>0</v>
      </c>
      <c r="BD57" s="7">
        <f>M57</f>
        <v>1.98756</v>
      </c>
      <c r="BF57" s="7">
        <f>G57*AM57</f>
        <v>0</v>
      </c>
      <c r="BG57" s="7">
        <f>G57*AN57</f>
        <v>0</v>
      </c>
      <c r="BH57" s="7">
        <f>G57*H57</f>
        <v>0</v>
      </c>
      <c r="BI57" s="7"/>
      <c r="BJ57" s="7">
        <v>61</v>
      </c>
      <c r="BU57" s="7" t="e">
        <f>#REF!</f>
        <v>#REF!</v>
      </c>
      <c r="BV57" s="3" t="s">
        <v>159</v>
      </c>
    </row>
    <row r="58" spans="1:74" ht="14.4" x14ac:dyDescent="0.3">
      <c r="A58" s="75"/>
      <c r="D58" s="25" t="s">
        <v>162</v>
      </c>
      <c r="E58" s="26" t="s">
        <v>81</v>
      </c>
      <c r="G58" s="27">
        <v>34</v>
      </c>
      <c r="N58" s="28"/>
    </row>
    <row r="59" spans="1:74" ht="14.4" x14ac:dyDescent="0.3">
      <c r="A59" s="75"/>
      <c r="D59" s="25" t="s">
        <v>163</v>
      </c>
      <c r="E59" s="26" t="s">
        <v>93</v>
      </c>
      <c r="G59" s="27">
        <v>252.32</v>
      </c>
      <c r="N59" s="28"/>
    </row>
    <row r="60" spans="1:74" ht="14.4" x14ac:dyDescent="0.3">
      <c r="A60" s="75"/>
      <c r="D60" s="25" t="s">
        <v>164</v>
      </c>
      <c r="E60" s="26" t="s">
        <v>95</v>
      </c>
      <c r="G60" s="27">
        <v>12.88</v>
      </c>
      <c r="N60" s="28"/>
    </row>
    <row r="61" spans="1:74" ht="14.4" x14ac:dyDescent="0.3">
      <c r="A61" s="75"/>
      <c r="D61" s="25" t="s">
        <v>165</v>
      </c>
      <c r="E61" s="26" t="s">
        <v>119</v>
      </c>
      <c r="G61" s="27">
        <v>58.16</v>
      </c>
      <c r="N61" s="28"/>
    </row>
    <row r="62" spans="1:74" ht="14.4" x14ac:dyDescent="0.3">
      <c r="A62" s="75"/>
      <c r="D62" s="25" t="s">
        <v>166</v>
      </c>
      <c r="E62" s="26" t="s">
        <v>121</v>
      </c>
      <c r="G62" s="27">
        <v>117</v>
      </c>
      <c r="N62" s="28"/>
    </row>
    <row r="63" spans="1:74" ht="14.4" x14ac:dyDescent="0.3">
      <c r="A63" s="75"/>
      <c r="D63" s="25" t="s">
        <v>167</v>
      </c>
      <c r="E63" s="26" t="s">
        <v>88</v>
      </c>
      <c r="G63" s="27">
        <v>10.199999999999999</v>
      </c>
      <c r="N63" s="28"/>
    </row>
    <row r="64" spans="1:74" ht="14.4" x14ac:dyDescent="0.3">
      <c r="A64" s="75"/>
      <c r="D64" s="25" t="s">
        <v>168</v>
      </c>
      <c r="E64" s="26" t="s">
        <v>169</v>
      </c>
      <c r="G64" s="27">
        <v>7.15</v>
      </c>
      <c r="N64" s="28"/>
    </row>
    <row r="65" spans="1:74" ht="14.4" x14ac:dyDescent="0.3">
      <c r="A65" s="75"/>
      <c r="D65" s="25" t="s">
        <v>170</v>
      </c>
      <c r="E65" s="26" t="s">
        <v>171</v>
      </c>
      <c r="G65" s="27">
        <v>5.18</v>
      </c>
      <c r="N65" s="28"/>
    </row>
    <row r="66" spans="1:74" ht="14.4" x14ac:dyDescent="0.3">
      <c r="A66" s="74" t="s">
        <v>172</v>
      </c>
      <c r="B66" s="2" t="s">
        <v>21</v>
      </c>
      <c r="C66" s="2" t="s">
        <v>173</v>
      </c>
      <c r="D66" s="152" t="s">
        <v>174</v>
      </c>
      <c r="E66" s="153"/>
      <c r="F66" s="2" t="s">
        <v>114</v>
      </c>
      <c r="G66" s="7">
        <v>496.89</v>
      </c>
      <c r="H66" s="86">
        <v>0</v>
      </c>
      <c r="I66" s="7">
        <f>G66*AM66</f>
        <v>0</v>
      </c>
      <c r="J66" s="7">
        <f>G66*AN66</f>
        <v>0</v>
      </c>
      <c r="K66" s="7">
        <f>G66*H66</f>
        <v>0</v>
      </c>
      <c r="L66" s="7">
        <v>1.6000000000000001E-4</v>
      </c>
      <c r="M66" s="7">
        <f>G66*L66</f>
        <v>7.9502400000000001E-2</v>
      </c>
      <c r="N66" s="24" t="s">
        <v>76</v>
      </c>
      <c r="X66" s="7">
        <f>IF(AO66="5",BH66,0)</f>
        <v>0</v>
      </c>
      <c r="Z66" s="7">
        <f>IF(AO66="1",BF66,0)</f>
        <v>0</v>
      </c>
      <c r="AA66" s="7">
        <f>IF(AO66="1",BG66,0)</f>
        <v>0</v>
      </c>
      <c r="AB66" s="7">
        <f>IF(AO66="7",BF66,0)</f>
        <v>0</v>
      </c>
      <c r="AC66" s="7">
        <f>IF(AO66="7",BG66,0)</f>
        <v>0</v>
      </c>
      <c r="AD66" s="7">
        <f>IF(AO66="2",BF66,0)</f>
        <v>0</v>
      </c>
      <c r="AE66" s="7">
        <f>IF(AO66="2",BG66,0)</f>
        <v>0</v>
      </c>
      <c r="AF66" s="7">
        <f>IF(AO66="0",BH66,0)</f>
        <v>0</v>
      </c>
      <c r="AG66" s="13" t="s">
        <v>21</v>
      </c>
      <c r="AH66" s="7">
        <f>IF(AL66=0,K66,0)</f>
        <v>0</v>
      </c>
      <c r="AI66" s="7">
        <f>IF(AL66=12,K66,0)</f>
        <v>0</v>
      </c>
      <c r="AJ66" s="7">
        <f>IF(AL66=21,K66,0)</f>
        <v>0</v>
      </c>
      <c r="AL66" s="7">
        <v>21</v>
      </c>
      <c r="AM66" s="7">
        <f>H66*1</f>
        <v>0</v>
      </c>
      <c r="AN66" s="7">
        <f>H66*(1-1)</f>
        <v>0</v>
      </c>
      <c r="AO66" s="23" t="s">
        <v>71</v>
      </c>
      <c r="AT66" s="7">
        <f>AU66+AV66</f>
        <v>0</v>
      </c>
      <c r="AU66" s="7">
        <f>G66*AM66</f>
        <v>0</v>
      </c>
      <c r="AV66" s="7">
        <f>G66*AN66</f>
        <v>0</v>
      </c>
      <c r="AW66" s="23" t="s">
        <v>160</v>
      </c>
      <c r="AX66" s="23" t="s">
        <v>161</v>
      </c>
      <c r="AY66" s="13" t="s">
        <v>79</v>
      </c>
      <c r="BA66" s="7">
        <f>AU66+AV66</f>
        <v>0</v>
      </c>
      <c r="BB66" s="7">
        <f>H66/(100-BC66)*100</f>
        <v>0</v>
      </c>
      <c r="BC66" s="7">
        <v>0</v>
      </c>
      <c r="BD66" s="7">
        <f>M66</f>
        <v>7.9502400000000001E-2</v>
      </c>
      <c r="BF66" s="7">
        <f>G66*AM66</f>
        <v>0</v>
      </c>
      <c r="BG66" s="7">
        <f>G66*AN66</f>
        <v>0</v>
      </c>
      <c r="BH66" s="7">
        <f>G66*H66</f>
        <v>0</v>
      </c>
      <c r="BI66" s="7"/>
      <c r="BJ66" s="7">
        <v>61</v>
      </c>
      <c r="BU66" s="7" t="e">
        <f>#REF!</f>
        <v>#REF!</v>
      </c>
      <c r="BV66" s="3" t="s">
        <v>174</v>
      </c>
    </row>
    <row r="67" spans="1:74" ht="14.4" x14ac:dyDescent="0.3">
      <c r="A67" s="75"/>
      <c r="D67" s="25" t="s">
        <v>162</v>
      </c>
      <c r="E67" s="26" t="s">
        <v>81</v>
      </c>
      <c r="G67" s="27">
        <v>34</v>
      </c>
      <c r="N67" s="28"/>
    </row>
    <row r="68" spans="1:74" ht="14.4" x14ac:dyDescent="0.3">
      <c r="A68" s="75"/>
      <c r="D68" s="25" t="s">
        <v>163</v>
      </c>
      <c r="E68" s="26" t="s">
        <v>93</v>
      </c>
      <c r="G68" s="27">
        <v>252.32</v>
      </c>
      <c r="N68" s="28"/>
    </row>
    <row r="69" spans="1:74" ht="14.4" x14ac:dyDescent="0.3">
      <c r="A69" s="75"/>
      <c r="D69" s="25" t="s">
        <v>164</v>
      </c>
      <c r="E69" s="26" t="s">
        <v>95</v>
      </c>
      <c r="G69" s="27">
        <v>12.88</v>
      </c>
      <c r="N69" s="28"/>
    </row>
    <row r="70" spans="1:74" ht="14.4" x14ac:dyDescent="0.3">
      <c r="A70" s="75"/>
      <c r="D70" s="25" t="s">
        <v>165</v>
      </c>
      <c r="E70" s="26" t="s">
        <v>119</v>
      </c>
      <c r="G70" s="27">
        <v>58.16</v>
      </c>
      <c r="N70" s="28"/>
    </row>
    <row r="71" spans="1:74" ht="14.4" x14ac:dyDescent="0.3">
      <c r="A71" s="75"/>
      <c r="D71" s="25" t="s">
        <v>166</v>
      </c>
      <c r="E71" s="26" t="s">
        <v>121</v>
      </c>
      <c r="G71" s="27">
        <v>117</v>
      </c>
      <c r="N71" s="28"/>
    </row>
    <row r="72" spans="1:74" ht="14.4" x14ac:dyDescent="0.3">
      <c r="A72" s="75"/>
      <c r="D72" s="25" t="s">
        <v>167</v>
      </c>
      <c r="E72" s="26" t="s">
        <v>88</v>
      </c>
      <c r="G72" s="27">
        <v>10.199999999999999</v>
      </c>
      <c r="N72" s="28"/>
    </row>
    <row r="73" spans="1:74" ht="14.4" x14ac:dyDescent="0.3">
      <c r="A73" s="75"/>
      <c r="D73" s="25" t="s">
        <v>168</v>
      </c>
      <c r="E73" s="26" t="s">
        <v>169</v>
      </c>
      <c r="G73" s="27">
        <v>7.15</v>
      </c>
      <c r="N73" s="28"/>
    </row>
    <row r="74" spans="1:74" ht="14.4" x14ac:dyDescent="0.3">
      <c r="A74" s="75"/>
      <c r="D74" s="25" t="s">
        <v>170</v>
      </c>
      <c r="E74" s="26" t="s">
        <v>171</v>
      </c>
      <c r="G74" s="27">
        <v>5.18</v>
      </c>
      <c r="N74" s="28"/>
    </row>
    <row r="75" spans="1:74" ht="14.4" x14ac:dyDescent="0.3">
      <c r="A75" s="74" t="s">
        <v>175</v>
      </c>
      <c r="B75" s="2" t="s">
        <v>21</v>
      </c>
      <c r="C75" s="2" t="s">
        <v>176</v>
      </c>
      <c r="D75" s="152" t="s">
        <v>177</v>
      </c>
      <c r="E75" s="153"/>
      <c r="F75" s="2" t="s">
        <v>114</v>
      </c>
      <c r="G75" s="7">
        <v>378.66</v>
      </c>
      <c r="H75" s="86">
        <v>0</v>
      </c>
      <c r="I75" s="7">
        <f>G75*AM75</f>
        <v>0</v>
      </c>
      <c r="J75" s="7">
        <f>G75*AN75</f>
        <v>0</v>
      </c>
      <c r="K75" s="7">
        <f>G75*H75</f>
        <v>0</v>
      </c>
      <c r="L75" s="7">
        <v>1.2E-4</v>
      </c>
      <c r="M75" s="7">
        <f>G75*L75</f>
        <v>4.5439200000000006E-2</v>
      </c>
      <c r="N75" s="24" t="s">
        <v>76</v>
      </c>
      <c r="X75" s="7">
        <f>IF(AO75="5",BH75,0)</f>
        <v>0</v>
      </c>
      <c r="Z75" s="7">
        <f>IF(AO75="1",BF75,0)</f>
        <v>0</v>
      </c>
      <c r="AA75" s="7">
        <f>IF(AO75="1",BG75,0)</f>
        <v>0</v>
      </c>
      <c r="AB75" s="7">
        <f>IF(AO75="7",BF75,0)</f>
        <v>0</v>
      </c>
      <c r="AC75" s="7">
        <f>IF(AO75="7",BG75,0)</f>
        <v>0</v>
      </c>
      <c r="AD75" s="7">
        <f>IF(AO75="2",BF75,0)</f>
        <v>0</v>
      </c>
      <c r="AE75" s="7">
        <f>IF(AO75="2",BG75,0)</f>
        <v>0</v>
      </c>
      <c r="AF75" s="7">
        <f>IF(AO75="0",BH75,0)</f>
        <v>0</v>
      </c>
      <c r="AG75" s="13" t="s">
        <v>21</v>
      </c>
      <c r="AH75" s="7">
        <f>IF(AL75=0,K75,0)</f>
        <v>0</v>
      </c>
      <c r="AI75" s="7">
        <f>IF(AL75=12,K75,0)</f>
        <v>0</v>
      </c>
      <c r="AJ75" s="7">
        <f>IF(AL75=21,K75,0)</f>
        <v>0</v>
      </c>
      <c r="AL75" s="7">
        <v>21</v>
      </c>
      <c r="AM75" s="7">
        <f>H75*0.631425187</f>
        <v>0</v>
      </c>
      <c r="AN75" s="7">
        <f>H75*(1-0.631425187)</f>
        <v>0</v>
      </c>
      <c r="AO75" s="23" t="s">
        <v>71</v>
      </c>
      <c r="AT75" s="7">
        <f>AU75+AV75</f>
        <v>0</v>
      </c>
      <c r="AU75" s="7">
        <f>G75*AM75</f>
        <v>0</v>
      </c>
      <c r="AV75" s="7">
        <f>G75*AN75</f>
        <v>0</v>
      </c>
      <c r="AW75" s="23" t="s">
        <v>160</v>
      </c>
      <c r="AX75" s="23" t="s">
        <v>161</v>
      </c>
      <c r="AY75" s="13" t="s">
        <v>79</v>
      </c>
      <c r="BA75" s="7">
        <f>AU75+AV75</f>
        <v>0</v>
      </c>
      <c r="BB75" s="7">
        <f>H75/(100-BC75)*100</f>
        <v>0</v>
      </c>
      <c r="BC75" s="7">
        <v>0</v>
      </c>
      <c r="BD75" s="7">
        <f>M75</f>
        <v>4.5439200000000006E-2</v>
      </c>
      <c r="BF75" s="7">
        <f>G75*AM75</f>
        <v>0</v>
      </c>
      <c r="BG75" s="7">
        <f>G75*AN75</f>
        <v>0</v>
      </c>
      <c r="BH75" s="7">
        <f>G75*H75</f>
        <v>0</v>
      </c>
      <c r="BI75" s="7"/>
      <c r="BJ75" s="7">
        <v>61</v>
      </c>
      <c r="BU75" s="7" t="e">
        <f>#REF!</f>
        <v>#REF!</v>
      </c>
      <c r="BV75" s="3" t="s">
        <v>177</v>
      </c>
    </row>
    <row r="76" spans="1:74" ht="14.4" x14ac:dyDescent="0.3">
      <c r="A76" s="75"/>
      <c r="D76" s="25" t="s">
        <v>178</v>
      </c>
      <c r="E76" s="26" t="s">
        <v>81</v>
      </c>
      <c r="G76" s="27">
        <v>25.5</v>
      </c>
      <c r="N76" s="28"/>
    </row>
    <row r="77" spans="1:74" ht="14.4" x14ac:dyDescent="0.3">
      <c r="A77" s="75"/>
      <c r="D77" s="25" t="s">
        <v>179</v>
      </c>
      <c r="E77" s="26" t="s">
        <v>93</v>
      </c>
      <c r="G77" s="27">
        <v>204.06</v>
      </c>
      <c r="N77" s="28"/>
    </row>
    <row r="78" spans="1:74" ht="14.4" x14ac:dyDescent="0.3">
      <c r="A78" s="75"/>
      <c r="D78" s="25" t="s">
        <v>180</v>
      </c>
      <c r="E78" s="26" t="s">
        <v>95</v>
      </c>
      <c r="G78" s="27">
        <v>10.34</v>
      </c>
      <c r="N78" s="28"/>
    </row>
    <row r="79" spans="1:74" ht="14.4" x14ac:dyDescent="0.3">
      <c r="A79" s="75"/>
      <c r="D79" s="25" t="s">
        <v>181</v>
      </c>
      <c r="E79" s="26" t="s">
        <v>119</v>
      </c>
      <c r="G79" s="27">
        <v>36.880000000000003</v>
      </c>
      <c r="N79" s="28"/>
    </row>
    <row r="80" spans="1:74" ht="14.4" x14ac:dyDescent="0.3">
      <c r="A80" s="75"/>
      <c r="D80" s="25" t="s">
        <v>182</v>
      </c>
      <c r="E80" s="26" t="s">
        <v>121</v>
      </c>
      <c r="G80" s="27">
        <v>81.900000000000006</v>
      </c>
      <c r="N80" s="28"/>
    </row>
    <row r="81" spans="1:74" ht="14.4" x14ac:dyDescent="0.3">
      <c r="A81" s="75"/>
      <c r="D81" s="25" t="s">
        <v>183</v>
      </c>
      <c r="E81" s="26" t="s">
        <v>88</v>
      </c>
      <c r="G81" s="27">
        <v>7.65</v>
      </c>
      <c r="N81" s="28"/>
    </row>
    <row r="82" spans="1:74" ht="14.4" x14ac:dyDescent="0.3">
      <c r="A82" s="75"/>
      <c r="D82" s="25" t="s">
        <v>168</v>
      </c>
      <c r="E82" s="26" t="s">
        <v>169</v>
      </c>
      <c r="G82" s="27">
        <v>7.15</v>
      </c>
      <c r="N82" s="28"/>
    </row>
    <row r="83" spans="1:74" ht="14.4" x14ac:dyDescent="0.3">
      <c r="A83" s="75"/>
      <c r="D83" s="25" t="s">
        <v>170</v>
      </c>
      <c r="E83" s="26" t="s">
        <v>171</v>
      </c>
      <c r="G83" s="27">
        <v>5.18</v>
      </c>
      <c r="N83" s="28"/>
    </row>
    <row r="84" spans="1:74" ht="14.4" x14ac:dyDescent="0.3">
      <c r="A84" s="74" t="s">
        <v>184</v>
      </c>
      <c r="B84" s="2" t="s">
        <v>21</v>
      </c>
      <c r="C84" s="2" t="s">
        <v>185</v>
      </c>
      <c r="D84" s="152" t="s">
        <v>186</v>
      </c>
      <c r="E84" s="153"/>
      <c r="F84" s="2" t="s">
        <v>187</v>
      </c>
      <c r="G84" s="7">
        <v>3.722</v>
      </c>
      <c r="H84" s="86">
        <v>0</v>
      </c>
      <c r="I84" s="7">
        <f>G84*AM84</f>
        <v>0</v>
      </c>
      <c r="J84" s="7">
        <f>G84*AN84</f>
        <v>0</v>
      </c>
      <c r="K84" s="7">
        <f>G84*H84</f>
        <v>0</v>
      </c>
      <c r="L84" s="7">
        <v>0.58179999999999998</v>
      </c>
      <c r="M84" s="7">
        <f>G84*L84</f>
        <v>2.1654595999999997</v>
      </c>
      <c r="N84" s="24" t="s">
        <v>76</v>
      </c>
      <c r="X84" s="7">
        <f>IF(AO84="5",BH84,0)</f>
        <v>0</v>
      </c>
      <c r="Z84" s="7">
        <f>IF(AO84="1",BF84,0)</f>
        <v>0</v>
      </c>
      <c r="AA84" s="7">
        <f>IF(AO84="1",BG84,0)</f>
        <v>0</v>
      </c>
      <c r="AB84" s="7">
        <f>IF(AO84="7",BF84,0)</f>
        <v>0</v>
      </c>
      <c r="AC84" s="7">
        <f>IF(AO84="7",BG84,0)</f>
        <v>0</v>
      </c>
      <c r="AD84" s="7">
        <f>IF(AO84="2",BF84,0)</f>
        <v>0</v>
      </c>
      <c r="AE84" s="7">
        <f>IF(AO84="2",BG84,0)</f>
        <v>0</v>
      </c>
      <c r="AF84" s="7">
        <f>IF(AO84="0",BH84,0)</f>
        <v>0</v>
      </c>
      <c r="AG84" s="13" t="s">
        <v>21</v>
      </c>
      <c r="AH84" s="7">
        <f>IF(AL84=0,K84,0)</f>
        <v>0</v>
      </c>
      <c r="AI84" s="7">
        <f>IF(AL84=12,K84,0)</f>
        <v>0</v>
      </c>
      <c r="AJ84" s="7">
        <f>IF(AL84=21,K84,0)</f>
        <v>0</v>
      </c>
      <c r="AL84" s="7">
        <v>21</v>
      </c>
      <c r="AM84" s="7">
        <f>H84*0.595737298</f>
        <v>0</v>
      </c>
      <c r="AN84" s="7">
        <f>H84*(1-0.595737298)</f>
        <v>0</v>
      </c>
      <c r="AO84" s="23" t="s">
        <v>71</v>
      </c>
      <c r="AT84" s="7">
        <f>AU84+AV84</f>
        <v>0</v>
      </c>
      <c r="AU84" s="7">
        <f>G84*AM84</f>
        <v>0</v>
      </c>
      <c r="AV84" s="7">
        <f>G84*AN84</f>
        <v>0</v>
      </c>
      <c r="AW84" s="23" t="s">
        <v>160</v>
      </c>
      <c r="AX84" s="23" t="s">
        <v>161</v>
      </c>
      <c r="AY84" s="13" t="s">
        <v>79</v>
      </c>
      <c r="BA84" s="7">
        <f>AU84+AV84</f>
        <v>0</v>
      </c>
      <c r="BB84" s="7">
        <f>H84/(100-BC84)*100</f>
        <v>0</v>
      </c>
      <c r="BC84" s="7">
        <v>0</v>
      </c>
      <c r="BD84" s="7">
        <f>M84</f>
        <v>2.1654595999999997</v>
      </c>
      <c r="BF84" s="7">
        <f>G84*AM84</f>
        <v>0</v>
      </c>
      <c r="BG84" s="7">
        <f>G84*AN84</f>
        <v>0</v>
      </c>
      <c r="BH84" s="7">
        <f>G84*H84</f>
        <v>0</v>
      </c>
      <c r="BI84" s="7"/>
      <c r="BJ84" s="7">
        <v>61</v>
      </c>
      <c r="BU84" s="7" t="e">
        <f>#REF!</f>
        <v>#REF!</v>
      </c>
      <c r="BV84" s="3" t="s">
        <v>186</v>
      </c>
    </row>
    <row r="85" spans="1:74" ht="14.4" x14ac:dyDescent="0.3">
      <c r="A85" s="75"/>
      <c r="D85" s="25" t="s">
        <v>188</v>
      </c>
      <c r="E85" s="26" t="s">
        <v>189</v>
      </c>
      <c r="G85" s="27">
        <v>1.5620000000000001</v>
      </c>
      <c r="N85" s="28"/>
    </row>
    <row r="86" spans="1:74" ht="14.4" x14ac:dyDescent="0.3">
      <c r="A86" s="75"/>
      <c r="D86" s="25" t="s">
        <v>190</v>
      </c>
      <c r="E86" s="26" t="s">
        <v>191</v>
      </c>
      <c r="G86" s="27">
        <v>2.16</v>
      </c>
      <c r="N86" s="28"/>
    </row>
    <row r="87" spans="1:74" ht="14.4" x14ac:dyDescent="0.3">
      <c r="A87" s="74" t="s">
        <v>192</v>
      </c>
      <c r="B87" s="2" t="s">
        <v>21</v>
      </c>
      <c r="C87" s="2" t="s">
        <v>193</v>
      </c>
      <c r="D87" s="152" t="s">
        <v>194</v>
      </c>
      <c r="E87" s="153"/>
      <c r="F87" s="2" t="s">
        <v>74</v>
      </c>
      <c r="G87" s="7">
        <v>23.812999999999999</v>
      </c>
      <c r="H87" s="86">
        <v>0</v>
      </c>
      <c r="I87" s="7">
        <f>G87*AM87</f>
        <v>0</v>
      </c>
      <c r="J87" s="7">
        <f>G87*AN87</f>
        <v>0</v>
      </c>
      <c r="K87" s="7">
        <f>G87*H87</f>
        <v>0</v>
      </c>
      <c r="L87" s="7">
        <v>8.9999999999999998E-4</v>
      </c>
      <c r="M87" s="7">
        <f>G87*L87</f>
        <v>2.1431699999999998E-2</v>
      </c>
      <c r="N87" s="24" t="s">
        <v>76</v>
      </c>
      <c r="X87" s="7">
        <f>IF(AO87="5",BH87,0)</f>
        <v>0</v>
      </c>
      <c r="Z87" s="7">
        <f>IF(AO87="1",BF87,0)</f>
        <v>0</v>
      </c>
      <c r="AA87" s="7">
        <f>IF(AO87="1",BG87,0)</f>
        <v>0</v>
      </c>
      <c r="AB87" s="7">
        <f>IF(AO87="7",BF87,0)</f>
        <v>0</v>
      </c>
      <c r="AC87" s="7">
        <f>IF(AO87="7",BG87,0)</f>
        <v>0</v>
      </c>
      <c r="AD87" s="7">
        <f>IF(AO87="2",BF87,0)</f>
        <v>0</v>
      </c>
      <c r="AE87" s="7">
        <f>IF(AO87="2",BG87,0)</f>
        <v>0</v>
      </c>
      <c r="AF87" s="7">
        <f>IF(AO87="0",BH87,0)</f>
        <v>0</v>
      </c>
      <c r="AG87" s="13" t="s">
        <v>21</v>
      </c>
      <c r="AH87" s="7">
        <f>IF(AL87=0,K87,0)</f>
        <v>0</v>
      </c>
      <c r="AI87" s="7">
        <f>IF(AL87=12,K87,0)</f>
        <v>0</v>
      </c>
      <c r="AJ87" s="7">
        <f>IF(AL87=21,K87,0)</f>
        <v>0</v>
      </c>
      <c r="AL87" s="7">
        <v>21</v>
      </c>
      <c r="AM87" s="7">
        <f>H87*0.002320667</f>
        <v>0</v>
      </c>
      <c r="AN87" s="7">
        <f>H87*(1-0.002320667)</f>
        <v>0</v>
      </c>
      <c r="AO87" s="23" t="s">
        <v>71</v>
      </c>
      <c r="AT87" s="7">
        <f>AU87+AV87</f>
        <v>0</v>
      </c>
      <c r="AU87" s="7">
        <f>G87*AM87</f>
        <v>0</v>
      </c>
      <c r="AV87" s="7">
        <f>G87*AN87</f>
        <v>0</v>
      </c>
      <c r="AW87" s="23" t="s">
        <v>160</v>
      </c>
      <c r="AX87" s="23" t="s">
        <v>161</v>
      </c>
      <c r="AY87" s="13" t="s">
        <v>79</v>
      </c>
      <c r="BA87" s="7">
        <f>AU87+AV87</f>
        <v>0</v>
      </c>
      <c r="BB87" s="7">
        <f>H87/(100-BC87)*100</f>
        <v>0</v>
      </c>
      <c r="BC87" s="7">
        <v>0</v>
      </c>
      <c r="BD87" s="7">
        <f>M87</f>
        <v>2.1431699999999998E-2</v>
      </c>
      <c r="BF87" s="7">
        <f>G87*AM87</f>
        <v>0</v>
      </c>
      <c r="BG87" s="7">
        <f>G87*AN87</f>
        <v>0</v>
      </c>
      <c r="BH87" s="7">
        <f>G87*H87</f>
        <v>0</v>
      </c>
      <c r="BI87" s="7"/>
      <c r="BJ87" s="7">
        <v>61</v>
      </c>
      <c r="BU87" s="7" t="e">
        <f>#REF!</f>
        <v>#REF!</v>
      </c>
      <c r="BV87" s="3" t="s">
        <v>194</v>
      </c>
    </row>
    <row r="88" spans="1:74" ht="14.4" x14ac:dyDescent="0.3">
      <c r="A88" s="75"/>
      <c r="D88" s="25" t="s">
        <v>195</v>
      </c>
      <c r="E88" s="26" t="s">
        <v>196</v>
      </c>
      <c r="G88" s="27">
        <v>5.3330000000000002</v>
      </c>
      <c r="N88" s="28"/>
    </row>
    <row r="89" spans="1:74" ht="14.4" x14ac:dyDescent="0.3">
      <c r="A89" s="75"/>
      <c r="D89" s="25" t="s">
        <v>197</v>
      </c>
      <c r="E89" s="26" t="s">
        <v>198</v>
      </c>
      <c r="G89" s="27">
        <v>18.48</v>
      </c>
      <c r="N89" s="28"/>
    </row>
    <row r="90" spans="1:74" ht="14.4" x14ac:dyDescent="0.3">
      <c r="A90" s="74" t="s">
        <v>75</v>
      </c>
      <c r="B90" s="2" t="s">
        <v>21</v>
      </c>
      <c r="C90" s="2" t="s">
        <v>199</v>
      </c>
      <c r="D90" s="152" t="s">
        <v>200</v>
      </c>
      <c r="E90" s="153"/>
      <c r="F90" s="2" t="s">
        <v>74</v>
      </c>
      <c r="G90" s="7">
        <v>31.18</v>
      </c>
      <c r="H90" s="86">
        <v>0</v>
      </c>
      <c r="I90" s="7">
        <f>G90*AM90</f>
        <v>0</v>
      </c>
      <c r="J90" s="7">
        <f>G90*AN90</f>
        <v>0</v>
      </c>
      <c r="K90" s="7">
        <f>G90*H90</f>
        <v>0</v>
      </c>
      <c r="L90" s="7">
        <v>2.3000000000000001E-4</v>
      </c>
      <c r="M90" s="7">
        <f>G90*L90</f>
        <v>7.1714000000000005E-3</v>
      </c>
      <c r="N90" s="24" t="s">
        <v>76</v>
      </c>
      <c r="X90" s="7">
        <f>IF(AO90="5",BH90,0)</f>
        <v>0</v>
      </c>
      <c r="Z90" s="7">
        <f>IF(AO90="1",BF90,0)</f>
        <v>0</v>
      </c>
      <c r="AA90" s="7">
        <f>IF(AO90="1",BG90,0)</f>
        <v>0</v>
      </c>
      <c r="AB90" s="7">
        <f>IF(AO90="7",BF90,0)</f>
        <v>0</v>
      </c>
      <c r="AC90" s="7">
        <f>IF(AO90="7",BG90,0)</f>
        <v>0</v>
      </c>
      <c r="AD90" s="7">
        <f>IF(AO90="2",BF90,0)</f>
        <v>0</v>
      </c>
      <c r="AE90" s="7">
        <f>IF(AO90="2",BG90,0)</f>
        <v>0</v>
      </c>
      <c r="AF90" s="7">
        <f>IF(AO90="0",BH90,0)</f>
        <v>0</v>
      </c>
      <c r="AG90" s="13" t="s">
        <v>21</v>
      </c>
      <c r="AH90" s="7">
        <f>IF(AL90=0,K90,0)</f>
        <v>0</v>
      </c>
      <c r="AI90" s="7">
        <f>IF(AL90=12,K90,0)</f>
        <v>0</v>
      </c>
      <c r="AJ90" s="7">
        <f>IF(AL90=21,K90,0)</f>
        <v>0</v>
      </c>
      <c r="AL90" s="7">
        <v>21</v>
      </c>
      <c r="AM90" s="7">
        <f>H90*0.415746385</f>
        <v>0</v>
      </c>
      <c r="AN90" s="7">
        <f>H90*(1-0.415746385)</f>
        <v>0</v>
      </c>
      <c r="AO90" s="23" t="s">
        <v>71</v>
      </c>
      <c r="AT90" s="7">
        <f>AU90+AV90</f>
        <v>0</v>
      </c>
      <c r="AU90" s="7">
        <f>G90*AM90</f>
        <v>0</v>
      </c>
      <c r="AV90" s="7">
        <f>G90*AN90</f>
        <v>0</v>
      </c>
      <c r="AW90" s="23" t="s">
        <v>160</v>
      </c>
      <c r="AX90" s="23" t="s">
        <v>161</v>
      </c>
      <c r="AY90" s="13" t="s">
        <v>79</v>
      </c>
      <c r="BA90" s="7">
        <f>AU90+AV90</f>
        <v>0</v>
      </c>
      <c r="BB90" s="7">
        <f>H90/(100-BC90)*100</f>
        <v>0</v>
      </c>
      <c r="BC90" s="7">
        <v>0</v>
      </c>
      <c r="BD90" s="7">
        <f>M90</f>
        <v>7.1714000000000005E-3</v>
      </c>
      <c r="BF90" s="7">
        <f>G90*AM90</f>
        <v>0</v>
      </c>
      <c r="BG90" s="7">
        <f>G90*AN90</f>
        <v>0</v>
      </c>
      <c r="BH90" s="7">
        <f>G90*H90</f>
        <v>0</v>
      </c>
      <c r="BI90" s="7"/>
      <c r="BJ90" s="7">
        <v>61</v>
      </c>
      <c r="BU90" s="7" t="e">
        <f>#REF!</f>
        <v>#REF!</v>
      </c>
      <c r="BV90" s="3" t="s">
        <v>200</v>
      </c>
    </row>
    <row r="91" spans="1:74" ht="14.4" x14ac:dyDescent="0.3">
      <c r="A91" s="75"/>
      <c r="D91" s="25" t="s">
        <v>201</v>
      </c>
      <c r="E91" s="26" t="s">
        <v>202</v>
      </c>
      <c r="G91" s="27">
        <v>10.54</v>
      </c>
      <c r="N91" s="28"/>
    </row>
    <row r="92" spans="1:74" ht="14.4" x14ac:dyDescent="0.3">
      <c r="A92" s="75"/>
      <c r="D92" s="25" t="s">
        <v>203</v>
      </c>
      <c r="E92" s="26" t="s">
        <v>204</v>
      </c>
      <c r="G92" s="27">
        <v>20.64</v>
      </c>
      <c r="N92" s="28"/>
    </row>
    <row r="93" spans="1:74" ht="14.4" x14ac:dyDescent="0.3">
      <c r="A93" s="74" t="s">
        <v>205</v>
      </c>
      <c r="B93" s="2" t="s">
        <v>21</v>
      </c>
      <c r="C93" s="2" t="s">
        <v>206</v>
      </c>
      <c r="D93" s="152" t="s">
        <v>207</v>
      </c>
      <c r="E93" s="153"/>
      <c r="F93" s="2" t="s">
        <v>74</v>
      </c>
      <c r="G93" s="7">
        <v>31.18</v>
      </c>
      <c r="H93" s="86">
        <v>0</v>
      </c>
      <c r="I93" s="7">
        <f>G93*AM93</f>
        <v>0</v>
      </c>
      <c r="J93" s="7">
        <f>G93*AN93</f>
        <v>0</v>
      </c>
      <c r="K93" s="7">
        <f>G93*H93</f>
        <v>0</v>
      </c>
      <c r="L93" s="7">
        <v>3.6099999999999999E-3</v>
      </c>
      <c r="M93" s="7">
        <f>G93*L93</f>
        <v>0.1125598</v>
      </c>
      <c r="N93" s="24" t="s">
        <v>76</v>
      </c>
      <c r="X93" s="7">
        <f>IF(AO93="5",BH93,0)</f>
        <v>0</v>
      </c>
      <c r="Z93" s="7">
        <f>IF(AO93="1",BF93,0)</f>
        <v>0</v>
      </c>
      <c r="AA93" s="7">
        <f>IF(AO93="1",BG93,0)</f>
        <v>0</v>
      </c>
      <c r="AB93" s="7">
        <f>IF(AO93="7",BF93,0)</f>
        <v>0</v>
      </c>
      <c r="AC93" s="7">
        <f>IF(AO93="7",BG93,0)</f>
        <v>0</v>
      </c>
      <c r="AD93" s="7">
        <f>IF(AO93="2",BF93,0)</f>
        <v>0</v>
      </c>
      <c r="AE93" s="7">
        <f>IF(AO93="2",BG93,0)</f>
        <v>0</v>
      </c>
      <c r="AF93" s="7">
        <f>IF(AO93="0",BH93,0)</f>
        <v>0</v>
      </c>
      <c r="AG93" s="13" t="s">
        <v>21</v>
      </c>
      <c r="AH93" s="7">
        <f>IF(AL93=0,K93,0)</f>
        <v>0</v>
      </c>
      <c r="AI93" s="7">
        <f>IF(AL93=12,K93,0)</f>
        <v>0</v>
      </c>
      <c r="AJ93" s="7">
        <f>IF(AL93=21,K93,0)</f>
        <v>0</v>
      </c>
      <c r="AL93" s="7">
        <v>21</v>
      </c>
      <c r="AM93" s="7">
        <f>H93*0.294564565</f>
        <v>0</v>
      </c>
      <c r="AN93" s="7">
        <f>H93*(1-0.294564565)</f>
        <v>0</v>
      </c>
      <c r="AO93" s="23" t="s">
        <v>71</v>
      </c>
      <c r="AT93" s="7">
        <f>AU93+AV93</f>
        <v>0</v>
      </c>
      <c r="AU93" s="7">
        <f>G93*AM93</f>
        <v>0</v>
      </c>
      <c r="AV93" s="7">
        <f>G93*AN93</f>
        <v>0</v>
      </c>
      <c r="AW93" s="23" t="s">
        <v>160</v>
      </c>
      <c r="AX93" s="23" t="s">
        <v>161</v>
      </c>
      <c r="AY93" s="13" t="s">
        <v>79</v>
      </c>
      <c r="BA93" s="7">
        <f>AU93+AV93</f>
        <v>0</v>
      </c>
      <c r="BB93" s="7">
        <f>H93/(100-BC93)*100</f>
        <v>0</v>
      </c>
      <c r="BC93" s="7">
        <v>0</v>
      </c>
      <c r="BD93" s="7">
        <f>M93</f>
        <v>0.1125598</v>
      </c>
      <c r="BF93" s="7">
        <f>G93*AM93</f>
        <v>0</v>
      </c>
      <c r="BG93" s="7">
        <f>G93*AN93</f>
        <v>0</v>
      </c>
      <c r="BH93" s="7">
        <f>G93*H93</f>
        <v>0</v>
      </c>
      <c r="BI93" s="7"/>
      <c r="BJ93" s="7">
        <v>61</v>
      </c>
      <c r="BU93" s="7" t="e">
        <f>#REF!</f>
        <v>#REF!</v>
      </c>
      <c r="BV93" s="3" t="s">
        <v>207</v>
      </c>
    </row>
    <row r="94" spans="1:74" ht="14.4" x14ac:dyDescent="0.3">
      <c r="A94" s="75"/>
      <c r="D94" s="25" t="s">
        <v>201</v>
      </c>
      <c r="E94" s="26" t="s">
        <v>202</v>
      </c>
      <c r="G94" s="27">
        <v>10.54</v>
      </c>
      <c r="N94" s="28"/>
    </row>
    <row r="95" spans="1:74" ht="14.4" x14ac:dyDescent="0.3">
      <c r="A95" s="75"/>
      <c r="D95" s="25" t="s">
        <v>203</v>
      </c>
      <c r="E95" s="26" t="s">
        <v>204</v>
      </c>
      <c r="G95" s="27">
        <v>20.64</v>
      </c>
      <c r="N95" s="28"/>
    </row>
    <row r="96" spans="1:74" ht="14.4" x14ac:dyDescent="0.3">
      <c r="A96" s="74" t="s">
        <v>208</v>
      </c>
      <c r="B96" s="2" t="s">
        <v>21</v>
      </c>
      <c r="C96" s="2" t="s">
        <v>209</v>
      </c>
      <c r="D96" s="152" t="s">
        <v>210</v>
      </c>
      <c r="E96" s="153"/>
      <c r="F96" s="2" t="s">
        <v>74</v>
      </c>
      <c r="G96" s="7">
        <v>31.18</v>
      </c>
      <c r="H96" s="86">
        <v>0</v>
      </c>
      <c r="I96" s="7">
        <f>G96*AM96</f>
        <v>0</v>
      </c>
      <c r="J96" s="7">
        <f>G96*AN96</f>
        <v>0</v>
      </c>
      <c r="K96" s="7">
        <f>G96*H96</f>
        <v>0</v>
      </c>
      <c r="L96" s="7">
        <v>6.8999999999999999E-3</v>
      </c>
      <c r="M96" s="7">
        <f>G96*L96</f>
        <v>0.215142</v>
      </c>
      <c r="N96" s="24" t="s">
        <v>76</v>
      </c>
      <c r="X96" s="7">
        <f>IF(AO96="5",BH96,0)</f>
        <v>0</v>
      </c>
      <c r="Z96" s="7">
        <f>IF(AO96="1",BF96,0)</f>
        <v>0</v>
      </c>
      <c r="AA96" s="7">
        <f>IF(AO96="1",BG96,0)</f>
        <v>0</v>
      </c>
      <c r="AB96" s="7">
        <f>IF(AO96="7",BF96,0)</f>
        <v>0</v>
      </c>
      <c r="AC96" s="7">
        <f>IF(AO96="7",BG96,0)</f>
        <v>0</v>
      </c>
      <c r="AD96" s="7">
        <f>IF(AO96="2",BF96,0)</f>
        <v>0</v>
      </c>
      <c r="AE96" s="7">
        <f>IF(AO96="2",BG96,0)</f>
        <v>0</v>
      </c>
      <c r="AF96" s="7">
        <f>IF(AO96="0",BH96,0)</f>
        <v>0</v>
      </c>
      <c r="AG96" s="13" t="s">
        <v>21</v>
      </c>
      <c r="AH96" s="7">
        <f>IF(AL96=0,K96,0)</f>
        <v>0</v>
      </c>
      <c r="AI96" s="7">
        <f>IF(AL96=12,K96,0)</f>
        <v>0</v>
      </c>
      <c r="AJ96" s="7">
        <f>IF(AL96=21,K96,0)</f>
        <v>0</v>
      </c>
      <c r="AL96" s="7">
        <v>21</v>
      </c>
      <c r="AM96" s="7">
        <f>H96*0.205511811</f>
        <v>0</v>
      </c>
      <c r="AN96" s="7">
        <f>H96*(1-0.205511811)</f>
        <v>0</v>
      </c>
      <c r="AO96" s="23" t="s">
        <v>71</v>
      </c>
      <c r="AT96" s="7">
        <f>AU96+AV96</f>
        <v>0</v>
      </c>
      <c r="AU96" s="7">
        <f>G96*AM96</f>
        <v>0</v>
      </c>
      <c r="AV96" s="7">
        <f>G96*AN96</f>
        <v>0</v>
      </c>
      <c r="AW96" s="23" t="s">
        <v>160</v>
      </c>
      <c r="AX96" s="23" t="s">
        <v>161</v>
      </c>
      <c r="AY96" s="13" t="s">
        <v>79</v>
      </c>
      <c r="BA96" s="7">
        <f>AU96+AV96</f>
        <v>0</v>
      </c>
      <c r="BB96" s="7">
        <f>H96/(100-BC96)*100</f>
        <v>0</v>
      </c>
      <c r="BC96" s="7">
        <v>0</v>
      </c>
      <c r="BD96" s="7">
        <f>M96</f>
        <v>0.215142</v>
      </c>
      <c r="BF96" s="7">
        <f>G96*AM96</f>
        <v>0</v>
      </c>
      <c r="BG96" s="7">
        <f>G96*AN96</f>
        <v>0</v>
      </c>
      <c r="BH96" s="7">
        <f>G96*H96</f>
        <v>0</v>
      </c>
      <c r="BI96" s="7"/>
      <c r="BJ96" s="7">
        <v>61</v>
      </c>
      <c r="BU96" s="7" t="e">
        <f>#REF!</f>
        <v>#REF!</v>
      </c>
      <c r="BV96" s="3" t="s">
        <v>210</v>
      </c>
    </row>
    <row r="97" spans="1:74" ht="14.4" x14ac:dyDescent="0.3">
      <c r="A97" s="75"/>
      <c r="D97" s="25" t="s">
        <v>201</v>
      </c>
      <c r="E97" s="26" t="s">
        <v>202</v>
      </c>
      <c r="G97" s="27">
        <v>10.54</v>
      </c>
      <c r="N97" s="28"/>
    </row>
    <row r="98" spans="1:74" ht="14.4" x14ac:dyDescent="0.3">
      <c r="A98" s="75"/>
      <c r="D98" s="25" t="s">
        <v>203</v>
      </c>
      <c r="E98" s="26" t="s">
        <v>204</v>
      </c>
      <c r="G98" s="27">
        <v>20.64</v>
      </c>
      <c r="N98" s="28"/>
    </row>
    <row r="99" spans="1:74" ht="14.4" x14ac:dyDescent="0.3">
      <c r="A99" s="74" t="s">
        <v>211</v>
      </c>
      <c r="B99" s="2" t="s">
        <v>21</v>
      </c>
      <c r="C99" s="2" t="s">
        <v>212</v>
      </c>
      <c r="D99" s="152" t="s">
        <v>213</v>
      </c>
      <c r="E99" s="153"/>
      <c r="F99" s="2" t="s">
        <v>140</v>
      </c>
      <c r="G99" s="7">
        <v>4.6340000000000003</v>
      </c>
      <c r="H99" s="86">
        <v>0</v>
      </c>
      <c r="I99" s="7">
        <f>G99*AM99</f>
        <v>0</v>
      </c>
      <c r="J99" s="7">
        <f>G99*AN99</f>
        <v>0</v>
      </c>
      <c r="K99" s="7">
        <f>G99*H99</f>
        <v>0</v>
      </c>
      <c r="L99" s="7">
        <v>0</v>
      </c>
      <c r="M99" s="7">
        <f>G99*L99</f>
        <v>0</v>
      </c>
      <c r="N99" s="24" t="s">
        <v>76</v>
      </c>
      <c r="X99" s="7">
        <f>IF(AO99="5",BH99,0)</f>
        <v>0</v>
      </c>
      <c r="Z99" s="7">
        <f>IF(AO99="1",BF99,0)</f>
        <v>0</v>
      </c>
      <c r="AA99" s="7">
        <f>IF(AO99="1",BG99,0)</f>
        <v>0</v>
      </c>
      <c r="AB99" s="7">
        <f>IF(AO99="7",BF99,0)</f>
        <v>0</v>
      </c>
      <c r="AC99" s="7">
        <f>IF(AO99="7",BG99,0)</f>
        <v>0</v>
      </c>
      <c r="AD99" s="7">
        <f>IF(AO99="2",BF99,0)</f>
        <v>0</v>
      </c>
      <c r="AE99" s="7">
        <f>IF(AO99="2",BG99,0)</f>
        <v>0</v>
      </c>
      <c r="AF99" s="7">
        <f>IF(AO99="0",BH99,0)</f>
        <v>0</v>
      </c>
      <c r="AG99" s="13" t="s">
        <v>21</v>
      </c>
      <c r="AH99" s="7">
        <f>IF(AL99=0,K99,0)</f>
        <v>0</v>
      </c>
      <c r="AI99" s="7">
        <f>IF(AL99=12,K99,0)</f>
        <v>0</v>
      </c>
      <c r="AJ99" s="7">
        <f>IF(AL99=21,K99,0)</f>
        <v>0</v>
      </c>
      <c r="AL99" s="7">
        <v>21</v>
      </c>
      <c r="AM99" s="7">
        <f>H99*0</f>
        <v>0</v>
      </c>
      <c r="AN99" s="7">
        <f>H99*(1-0)</f>
        <v>0</v>
      </c>
      <c r="AO99" s="23" t="s">
        <v>106</v>
      </c>
      <c r="AT99" s="7">
        <f>AU99+AV99</f>
        <v>0</v>
      </c>
      <c r="AU99" s="7">
        <f>G99*AM99</f>
        <v>0</v>
      </c>
      <c r="AV99" s="7">
        <f>G99*AN99</f>
        <v>0</v>
      </c>
      <c r="AW99" s="23" t="s">
        <v>160</v>
      </c>
      <c r="AX99" s="23" t="s">
        <v>161</v>
      </c>
      <c r="AY99" s="13" t="s">
        <v>79</v>
      </c>
      <c r="BA99" s="7">
        <f>AU99+AV99</f>
        <v>0</v>
      </c>
      <c r="BB99" s="7">
        <f>H99/(100-BC99)*100</f>
        <v>0</v>
      </c>
      <c r="BC99" s="7">
        <v>0</v>
      </c>
      <c r="BD99" s="7">
        <f>M99</f>
        <v>0</v>
      </c>
      <c r="BF99" s="7">
        <f>G99*AM99</f>
        <v>0</v>
      </c>
      <c r="BG99" s="7">
        <f>G99*AN99</f>
        <v>0</v>
      </c>
      <c r="BH99" s="7">
        <f>G99*H99</f>
        <v>0</v>
      </c>
      <c r="BI99" s="7"/>
      <c r="BJ99" s="7">
        <v>61</v>
      </c>
      <c r="BU99" s="7" t="e">
        <f>#REF!</f>
        <v>#REF!</v>
      </c>
      <c r="BV99" s="3" t="s">
        <v>213</v>
      </c>
    </row>
    <row r="100" spans="1:74" ht="14.4" x14ac:dyDescent="0.3">
      <c r="A100" s="73" t="s">
        <v>21</v>
      </c>
      <c r="B100" s="20" t="s">
        <v>21</v>
      </c>
      <c r="C100" s="20" t="s">
        <v>28</v>
      </c>
      <c r="D100" s="158" t="s">
        <v>29</v>
      </c>
      <c r="E100" s="159"/>
      <c r="F100" s="21" t="s">
        <v>12</v>
      </c>
      <c r="G100" s="21" t="s">
        <v>12</v>
      </c>
      <c r="H100" s="21" t="s">
        <v>12</v>
      </c>
      <c r="I100" s="12">
        <f>SUM(I101:I115)</f>
        <v>0</v>
      </c>
      <c r="J100" s="12">
        <f>SUM(J101:J115)</f>
        <v>0</v>
      </c>
      <c r="K100" s="12">
        <f>SUM(K101:K115)</f>
        <v>0</v>
      </c>
      <c r="L100" s="13" t="s">
        <v>21</v>
      </c>
      <c r="M100" s="12">
        <f>SUM(M101:M115)</f>
        <v>0.332372</v>
      </c>
      <c r="N100" s="22" t="s">
        <v>21</v>
      </c>
      <c r="AG100" s="13" t="s">
        <v>21</v>
      </c>
      <c r="AQ100" s="12">
        <f>SUM(AH101:AH115)</f>
        <v>0</v>
      </c>
      <c r="AR100" s="12">
        <f>SUM(AI101:AI115)</f>
        <v>0</v>
      </c>
      <c r="AS100" s="12">
        <f>SUM(AJ101:AJ115)</f>
        <v>0</v>
      </c>
    </row>
    <row r="101" spans="1:74" ht="14.4" x14ac:dyDescent="0.3">
      <c r="A101" s="74" t="s">
        <v>214</v>
      </c>
      <c r="B101" s="2" t="s">
        <v>21</v>
      </c>
      <c r="C101" s="2" t="s">
        <v>215</v>
      </c>
      <c r="D101" s="152" t="s">
        <v>216</v>
      </c>
      <c r="E101" s="153"/>
      <c r="F101" s="2" t="s">
        <v>114</v>
      </c>
      <c r="G101" s="7">
        <v>61.85</v>
      </c>
      <c r="H101" s="86">
        <v>0</v>
      </c>
      <c r="I101" s="7">
        <f>G101*AM101</f>
        <v>0</v>
      </c>
      <c r="J101" s="7">
        <f>G101*AN101</f>
        <v>0</v>
      </c>
      <c r="K101" s="7">
        <f>G101*H101</f>
        <v>0</v>
      </c>
      <c r="L101" s="7">
        <v>1.7600000000000001E-3</v>
      </c>
      <c r="M101" s="7">
        <f>G101*L101</f>
        <v>0.10885600000000001</v>
      </c>
      <c r="N101" s="24" t="s">
        <v>76</v>
      </c>
      <c r="X101" s="7">
        <f>IF(AO101="5",BH101,0)</f>
        <v>0</v>
      </c>
      <c r="Z101" s="7">
        <f>IF(AO101="1",BF101,0)</f>
        <v>0</v>
      </c>
      <c r="AA101" s="7">
        <f>IF(AO101="1",BG101,0)</f>
        <v>0</v>
      </c>
      <c r="AB101" s="7">
        <f>IF(AO101="7",BF101,0)</f>
        <v>0</v>
      </c>
      <c r="AC101" s="7">
        <f>IF(AO101="7",BG101,0)</f>
        <v>0</v>
      </c>
      <c r="AD101" s="7">
        <f>IF(AO101="2",BF101,0)</f>
        <v>0</v>
      </c>
      <c r="AE101" s="7">
        <f>IF(AO101="2",BG101,0)</f>
        <v>0</v>
      </c>
      <c r="AF101" s="7">
        <f>IF(AO101="0",BH101,0)</f>
        <v>0</v>
      </c>
      <c r="AG101" s="13" t="s">
        <v>21</v>
      </c>
      <c r="AH101" s="7">
        <f>IF(AL101=0,K101,0)</f>
        <v>0</v>
      </c>
      <c r="AI101" s="7">
        <f>IF(AL101=12,K101,0)</f>
        <v>0</v>
      </c>
      <c r="AJ101" s="7">
        <f>IF(AL101=21,K101,0)</f>
        <v>0</v>
      </c>
      <c r="AL101" s="7">
        <v>21</v>
      </c>
      <c r="AM101" s="7">
        <f>H101*0.804900134</f>
        <v>0</v>
      </c>
      <c r="AN101" s="7">
        <f>H101*(1-0.804900134)</f>
        <v>0</v>
      </c>
      <c r="AO101" s="23" t="s">
        <v>123</v>
      </c>
      <c r="AT101" s="7">
        <f>AU101+AV101</f>
        <v>0</v>
      </c>
      <c r="AU101" s="7">
        <f>G101*AM101</f>
        <v>0</v>
      </c>
      <c r="AV101" s="7">
        <f>G101*AN101</f>
        <v>0</v>
      </c>
      <c r="AW101" s="23" t="s">
        <v>217</v>
      </c>
      <c r="AX101" s="23" t="s">
        <v>218</v>
      </c>
      <c r="AY101" s="13" t="s">
        <v>79</v>
      </c>
      <c r="BA101" s="7">
        <f>AU101+AV101</f>
        <v>0</v>
      </c>
      <c r="BB101" s="7">
        <f>H101/(100-BC101)*100</f>
        <v>0</v>
      </c>
      <c r="BC101" s="7">
        <v>0</v>
      </c>
      <c r="BD101" s="7">
        <f>M101</f>
        <v>0.10885600000000001</v>
      </c>
      <c r="BF101" s="7">
        <f>G101*AM101</f>
        <v>0</v>
      </c>
      <c r="BG101" s="7">
        <f>G101*AN101</f>
        <v>0</v>
      </c>
      <c r="BH101" s="7">
        <f>G101*H101</f>
        <v>0</v>
      </c>
      <c r="BI101" s="7"/>
      <c r="BJ101" s="7">
        <v>764</v>
      </c>
      <c r="BU101" s="7" t="e">
        <f>#REF!</f>
        <v>#REF!</v>
      </c>
      <c r="BV101" s="3" t="s">
        <v>216</v>
      </c>
    </row>
    <row r="102" spans="1:74" ht="14.4" x14ac:dyDescent="0.3">
      <c r="A102" s="75"/>
      <c r="D102" s="25" t="s">
        <v>219</v>
      </c>
      <c r="E102" s="26" t="s">
        <v>220</v>
      </c>
      <c r="G102" s="27">
        <v>16.95</v>
      </c>
      <c r="N102" s="28"/>
    </row>
    <row r="103" spans="1:74" ht="14.4" x14ac:dyDescent="0.3">
      <c r="A103" s="75"/>
      <c r="D103" s="25" t="s">
        <v>221</v>
      </c>
      <c r="E103" s="26" t="s">
        <v>222</v>
      </c>
      <c r="G103" s="27">
        <v>42.3</v>
      </c>
      <c r="N103" s="28"/>
    </row>
    <row r="104" spans="1:74" ht="14.4" x14ac:dyDescent="0.3">
      <c r="A104" s="75"/>
      <c r="D104" s="25" t="s">
        <v>223</v>
      </c>
      <c r="E104" s="26" t="s">
        <v>224</v>
      </c>
      <c r="G104" s="27">
        <v>2.6</v>
      </c>
      <c r="N104" s="28"/>
    </row>
    <row r="105" spans="1:74" ht="14.4" x14ac:dyDescent="0.3">
      <c r="A105" s="74" t="s">
        <v>225</v>
      </c>
      <c r="B105" s="2" t="s">
        <v>21</v>
      </c>
      <c r="C105" s="2" t="s">
        <v>226</v>
      </c>
      <c r="D105" s="152" t="s">
        <v>227</v>
      </c>
      <c r="E105" s="153"/>
      <c r="F105" s="2" t="s">
        <v>114</v>
      </c>
      <c r="G105" s="7">
        <v>69.2</v>
      </c>
      <c r="H105" s="86">
        <v>0</v>
      </c>
      <c r="I105" s="7">
        <f>G105*AM105</f>
        <v>0</v>
      </c>
      <c r="J105" s="7">
        <f>G105*AN105</f>
        <v>0</v>
      </c>
      <c r="K105" s="7">
        <f>G105*H105</f>
        <v>0</v>
      </c>
      <c r="L105" s="7">
        <v>3.2299999999999998E-3</v>
      </c>
      <c r="M105" s="7">
        <f>G105*L105</f>
        <v>0.22351599999999999</v>
      </c>
      <c r="N105" s="24" t="s">
        <v>76</v>
      </c>
      <c r="X105" s="7">
        <f>IF(AO105="5",BH105,0)</f>
        <v>0</v>
      </c>
      <c r="Z105" s="7">
        <f>IF(AO105="1",BF105,0)</f>
        <v>0</v>
      </c>
      <c r="AA105" s="7">
        <f>IF(AO105="1",BG105,0)</f>
        <v>0</v>
      </c>
      <c r="AB105" s="7">
        <f>IF(AO105="7",BF105,0)</f>
        <v>0</v>
      </c>
      <c r="AC105" s="7">
        <f>IF(AO105="7",BG105,0)</f>
        <v>0</v>
      </c>
      <c r="AD105" s="7">
        <f>IF(AO105="2",BF105,0)</f>
        <v>0</v>
      </c>
      <c r="AE105" s="7">
        <f>IF(AO105="2",BG105,0)</f>
        <v>0</v>
      </c>
      <c r="AF105" s="7">
        <f>IF(AO105="0",BH105,0)</f>
        <v>0</v>
      </c>
      <c r="AG105" s="13" t="s">
        <v>21</v>
      </c>
      <c r="AH105" s="7">
        <f>IF(AL105=0,K105,0)</f>
        <v>0</v>
      </c>
      <c r="AI105" s="7">
        <f>IF(AL105=12,K105,0)</f>
        <v>0</v>
      </c>
      <c r="AJ105" s="7">
        <f>IF(AL105=21,K105,0)</f>
        <v>0</v>
      </c>
      <c r="AL105" s="7">
        <v>21</v>
      </c>
      <c r="AM105" s="7">
        <f>H105*0.858997175</f>
        <v>0</v>
      </c>
      <c r="AN105" s="7">
        <f>H105*(1-0.858997175)</f>
        <v>0</v>
      </c>
      <c r="AO105" s="23" t="s">
        <v>123</v>
      </c>
      <c r="AT105" s="7">
        <f>AU105+AV105</f>
        <v>0</v>
      </c>
      <c r="AU105" s="7">
        <f>G105*AM105</f>
        <v>0</v>
      </c>
      <c r="AV105" s="7">
        <f>G105*AN105</f>
        <v>0</v>
      </c>
      <c r="AW105" s="23" t="s">
        <v>217</v>
      </c>
      <c r="AX105" s="23" t="s">
        <v>218</v>
      </c>
      <c r="AY105" s="13" t="s">
        <v>79</v>
      </c>
      <c r="BA105" s="7">
        <f>AU105+AV105</f>
        <v>0</v>
      </c>
      <c r="BB105" s="7">
        <f>H105/(100-BC105)*100</f>
        <v>0</v>
      </c>
      <c r="BC105" s="7">
        <v>0</v>
      </c>
      <c r="BD105" s="7">
        <f>M105</f>
        <v>0.22351599999999999</v>
      </c>
      <c r="BF105" s="7">
        <f>G105*AM105</f>
        <v>0</v>
      </c>
      <c r="BG105" s="7">
        <f>G105*AN105</f>
        <v>0</v>
      </c>
      <c r="BH105" s="7">
        <f>G105*H105</f>
        <v>0</v>
      </c>
      <c r="BI105" s="7"/>
      <c r="BJ105" s="7">
        <v>764</v>
      </c>
      <c r="BU105" s="7" t="e">
        <f>#REF!</f>
        <v>#REF!</v>
      </c>
      <c r="BV105" s="3" t="s">
        <v>227</v>
      </c>
    </row>
    <row r="106" spans="1:74" ht="14.4" x14ac:dyDescent="0.3">
      <c r="A106" s="75"/>
      <c r="D106" s="25" t="s">
        <v>228</v>
      </c>
      <c r="E106" s="26" t="s">
        <v>229</v>
      </c>
      <c r="G106" s="27">
        <v>11.7</v>
      </c>
      <c r="N106" s="28"/>
    </row>
    <row r="107" spans="1:74" ht="14.4" x14ac:dyDescent="0.3">
      <c r="A107" s="75"/>
      <c r="D107" s="25" t="s">
        <v>230</v>
      </c>
      <c r="E107" s="26" t="s">
        <v>231</v>
      </c>
      <c r="G107" s="27">
        <v>22.4</v>
      </c>
      <c r="N107" s="28"/>
    </row>
    <row r="108" spans="1:74" ht="14.4" x14ac:dyDescent="0.3">
      <c r="A108" s="75"/>
      <c r="D108" s="25" t="s">
        <v>232</v>
      </c>
      <c r="E108" s="26" t="s">
        <v>233</v>
      </c>
      <c r="G108" s="27">
        <v>35.1</v>
      </c>
      <c r="N108" s="28"/>
    </row>
    <row r="109" spans="1:74" ht="14.4" x14ac:dyDescent="0.3">
      <c r="A109" s="74" t="s">
        <v>234</v>
      </c>
      <c r="B109" s="2" t="s">
        <v>21</v>
      </c>
      <c r="C109" s="2" t="s">
        <v>235</v>
      </c>
      <c r="D109" s="152" t="s">
        <v>236</v>
      </c>
      <c r="E109" s="153"/>
      <c r="F109" s="2" t="s">
        <v>237</v>
      </c>
      <c r="G109" s="7">
        <v>4</v>
      </c>
      <c r="H109" s="86">
        <v>0</v>
      </c>
      <c r="I109" s="7">
        <f>G109*AM109</f>
        <v>0</v>
      </c>
      <c r="J109" s="7">
        <f>G109*AN109</f>
        <v>0</v>
      </c>
      <c r="K109" s="7">
        <f>G109*H109</f>
        <v>0</v>
      </c>
      <c r="L109" s="7">
        <v>0</v>
      </c>
      <c r="M109" s="7">
        <f>G109*L109</f>
        <v>0</v>
      </c>
      <c r="N109" s="24" t="s">
        <v>76</v>
      </c>
      <c r="X109" s="7">
        <f>IF(AO109="5",BH109,0)</f>
        <v>0</v>
      </c>
      <c r="Z109" s="7">
        <f>IF(AO109="1",BF109,0)</f>
        <v>0</v>
      </c>
      <c r="AA109" s="7">
        <f>IF(AO109="1",BG109,0)</f>
        <v>0</v>
      </c>
      <c r="AB109" s="7">
        <f>IF(AO109="7",BF109,0)</f>
        <v>0</v>
      </c>
      <c r="AC109" s="7">
        <f>IF(AO109="7",BG109,0)</f>
        <v>0</v>
      </c>
      <c r="AD109" s="7">
        <f>IF(AO109="2",BF109,0)</f>
        <v>0</v>
      </c>
      <c r="AE109" s="7">
        <f>IF(AO109="2",BG109,0)</f>
        <v>0</v>
      </c>
      <c r="AF109" s="7">
        <f>IF(AO109="0",BH109,0)</f>
        <v>0</v>
      </c>
      <c r="AG109" s="13" t="s">
        <v>21</v>
      </c>
      <c r="AH109" s="7">
        <f>IF(AL109=0,K109,0)</f>
        <v>0</v>
      </c>
      <c r="AI109" s="7">
        <f>IF(AL109=12,K109,0)</f>
        <v>0</v>
      </c>
      <c r="AJ109" s="7">
        <f>IF(AL109=21,K109,0)</f>
        <v>0</v>
      </c>
      <c r="AL109" s="7">
        <v>21</v>
      </c>
      <c r="AM109" s="7">
        <f>H109*0.961853282</f>
        <v>0</v>
      </c>
      <c r="AN109" s="7">
        <f>H109*(1-0.961853282)</f>
        <v>0</v>
      </c>
      <c r="AO109" s="23" t="s">
        <v>123</v>
      </c>
      <c r="AT109" s="7">
        <f>AU109+AV109</f>
        <v>0</v>
      </c>
      <c r="AU109" s="7">
        <f>G109*AM109</f>
        <v>0</v>
      </c>
      <c r="AV109" s="7">
        <f>G109*AN109</f>
        <v>0</v>
      </c>
      <c r="AW109" s="23" t="s">
        <v>217</v>
      </c>
      <c r="AX109" s="23" t="s">
        <v>218</v>
      </c>
      <c r="AY109" s="13" t="s">
        <v>79</v>
      </c>
      <c r="BA109" s="7">
        <f>AU109+AV109</f>
        <v>0</v>
      </c>
      <c r="BB109" s="7">
        <f>H109/(100-BC109)*100</f>
        <v>0</v>
      </c>
      <c r="BC109" s="7">
        <v>0</v>
      </c>
      <c r="BD109" s="7">
        <f>M109</f>
        <v>0</v>
      </c>
      <c r="BF109" s="7">
        <f>G109*AM109</f>
        <v>0</v>
      </c>
      <c r="BG109" s="7">
        <f>G109*AN109</f>
        <v>0</v>
      </c>
      <c r="BH109" s="7">
        <f>G109*H109</f>
        <v>0</v>
      </c>
      <c r="BI109" s="7"/>
      <c r="BJ109" s="7">
        <v>764</v>
      </c>
      <c r="BU109" s="7" t="e">
        <f>#REF!</f>
        <v>#REF!</v>
      </c>
      <c r="BV109" s="3" t="s">
        <v>236</v>
      </c>
    </row>
    <row r="110" spans="1:74" ht="14.4" x14ac:dyDescent="0.3">
      <c r="A110" s="75"/>
      <c r="D110" s="25" t="s">
        <v>238</v>
      </c>
      <c r="E110" s="26" t="s">
        <v>239</v>
      </c>
      <c r="G110" s="27">
        <v>4</v>
      </c>
      <c r="N110" s="28"/>
    </row>
    <row r="111" spans="1:74" ht="14.4" x14ac:dyDescent="0.3">
      <c r="A111" s="74" t="s">
        <v>240</v>
      </c>
      <c r="B111" s="2" t="s">
        <v>21</v>
      </c>
      <c r="C111" s="2" t="s">
        <v>241</v>
      </c>
      <c r="D111" s="152" t="s">
        <v>242</v>
      </c>
      <c r="E111" s="153"/>
      <c r="F111" s="2" t="s">
        <v>237</v>
      </c>
      <c r="G111" s="7">
        <v>56</v>
      </c>
      <c r="H111" s="86">
        <v>0</v>
      </c>
      <c r="I111" s="7">
        <f>G111*AM111</f>
        <v>0</v>
      </c>
      <c r="J111" s="7">
        <f>G111*AN111</f>
        <v>0</v>
      </c>
      <c r="K111" s="7">
        <f>G111*H111</f>
        <v>0</v>
      </c>
      <c r="L111" s="7">
        <v>0</v>
      </c>
      <c r="M111" s="7">
        <f>G111*L111</f>
        <v>0</v>
      </c>
      <c r="N111" s="24" t="s">
        <v>76</v>
      </c>
      <c r="X111" s="7">
        <f>IF(AO111="5",BH111,0)</f>
        <v>0</v>
      </c>
      <c r="Z111" s="7">
        <f>IF(AO111="1",BF111,0)</f>
        <v>0</v>
      </c>
      <c r="AA111" s="7">
        <f>IF(AO111="1",BG111,0)</f>
        <v>0</v>
      </c>
      <c r="AB111" s="7">
        <f>IF(AO111="7",BF111,0)</f>
        <v>0</v>
      </c>
      <c r="AC111" s="7">
        <f>IF(AO111="7",BG111,0)</f>
        <v>0</v>
      </c>
      <c r="AD111" s="7">
        <f>IF(AO111="2",BF111,0)</f>
        <v>0</v>
      </c>
      <c r="AE111" s="7">
        <f>IF(AO111="2",BG111,0)</f>
        <v>0</v>
      </c>
      <c r="AF111" s="7">
        <f>IF(AO111="0",BH111,0)</f>
        <v>0</v>
      </c>
      <c r="AG111" s="13" t="s">
        <v>21</v>
      </c>
      <c r="AH111" s="7">
        <f>IF(AL111=0,K111,0)</f>
        <v>0</v>
      </c>
      <c r="AI111" s="7">
        <f>IF(AL111=12,K111,0)</f>
        <v>0</v>
      </c>
      <c r="AJ111" s="7">
        <f>IF(AL111=21,K111,0)</f>
        <v>0</v>
      </c>
      <c r="AL111" s="7">
        <v>21</v>
      </c>
      <c r="AM111" s="7">
        <f>H111*0.965773672</f>
        <v>0</v>
      </c>
      <c r="AN111" s="7">
        <f>H111*(1-0.965773672)</f>
        <v>0</v>
      </c>
      <c r="AO111" s="23" t="s">
        <v>123</v>
      </c>
      <c r="AT111" s="7">
        <f>AU111+AV111</f>
        <v>0</v>
      </c>
      <c r="AU111" s="7">
        <f>G111*AM111</f>
        <v>0</v>
      </c>
      <c r="AV111" s="7">
        <f>G111*AN111</f>
        <v>0</v>
      </c>
      <c r="AW111" s="23" t="s">
        <v>217</v>
      </c>
      <c r="AX111" s="23" t="s">
        <v>218</v>
      </c>
      <c r="AY111" s="13" t="s">
        <v>79</v>
      </c>
      <c r="BA111" s="7">
        <f>AU111+AV111</f>
        <v>0</v>
      </c>
      <c r="BB111" s="7">
        <f>H111/(100-BC111)*100</f>
        <v>0</v>
      </c>
      <c r="BC111" s="7">
        <v>0</v>
      </c>
      <c r="BD111" s="7">
        <f>M111</f>
        <v>0</v>
      </c>
      <c r="BF111" s="7">
        <f>G111*AM111</f>
        <v>0</v>
      </c>
      <c r="BG111" s="7">
        <f>G111*AN111</f>
        <v>0</v>
      </c>
      <c r="BH111" s="7">
        <f>G111*H111</f>
        <v>0</v>
      </c>
      <c r="BI111" s="7"/>
      <c r="BJ111" s="7">
        <v>764</v>
      </c>
      <c r="BU111" s="7" t="e">
        <f>#REF!</f>
        <v>#REF!</v>
      </c>
      <c r="BV111" s="3" t="s">
        <v>242</v>
      </c>
    </row>
    <row r="112" spans="1:74" ht="14.4" x14ac:dyDescent="0.3">
      <c r="A112" s="75"/>
      <c r="D112" s="25" t="s">
        <v>243</v>
      </c>
      <c r="E112" s="26" t="s">
        <v>244</v>
      </c>
      <c r="G112" s="27">
        <v>56</v>
      </c>
      <c r="N112" s="28"/>
    </row>
    <row r="113" spans="1:74" ht="14.4" x14ac:dyDescent="0.3">
      <c r="A113" s="74" t="s">
        <v>245</v>
      </c>
      <c r="B113" s="2" t="s">
        <v>21</v>
      </c>
      <c r="C113" s="2" t="s">
        <v>246</v>
      </c>
      <c r="D113" s="152" t="s">
        <v>247</v>
      </c>
      <c r="E113" s="153"/>
      <c r="F113" s="2" t="s">
        <v>248</v>
      </c>
      <c r="G113" s="7">
        <v>30</v>
      </c>
      <c r="H113" s="86">
        <v>0</v>
      </c>
      <c r="I113" s="7">
        <f>G113*AM113</f>
        <v>0</v>
      </c>
      <c r="J113" s="7">
        <f>G113*AN113</f>
        <v>0</v>
      </c>
      <c r="K113" s="7">
        <f>G113*H113</f>
        <v>0</v>
      </c>
      <c r="L113" s="7">
        <v>0</v>
      </c>
      <c r="M113" s="7">
        <f>G113*L113</f>
        <v>0</v>
      </c>
      <c r="N113" s="24" t="s">
        <v>76</v>
      </c>
      <c r="X113" s="7">
        <f>IF(AO113="5",BH113,0)</f>
        <v>0</v>
      </c>
      <c r="Z113" s="7">
        <f>IF(AO113="1",BF113,0)</f>
        <v>0</v>
      </c>
      <c r="AA113" s="7">
        <f>IF(AO113="1",BG113,0)</f>
        <v>0</v>
      </c>
      <c r="AB113" s="7">
        <f>IF(AO113="7",BF113,0)</f>
        <v>0</v>
      </c>
      <c r="AC113" s="7">
        <f>IF(AO113="7",BG113,0)</f>
        <v>0</v>
      </c>
      <c r="AD113" s="7">
        <f>IF(AO113="2",BF113,0)</f>
        <v>0</v>
      </c>
      <c r="AE113" s="7">
        <f>IF(AO113="2",BG113,0)</f>
        <v>0</v>
      </c>
      <c r="AF113" s="7">
        <f>IF(AO113="0",BH113,0)</f>
        <v>0</v>
      </c>
      <c r="AG113" s="13" t="s">
        <v>21</v>
      </c>
      <c r="AH113" s="7">
        <f>IF(AL113=0,K113,0)</f>
        <v>0</v>
      </c>
      <c r="AI113" s="7">
        <f>IF(AL113=12,K113,0)</f>
        <v>0</v>
      </c>
      <c r="AJ113" s="7">
        <f>IF(AL113=21,K113,0)</f>
        <v>0</v>
      </c>
      <c r="AL113" s="7">
        <v>21</v>
      </c>
      <c r="AM113" s="7">
        <f>H113*0.982534381</f>
        <v>0</v>
      </c>
      <c r="AN113" s="7">
        <f>H113*(1-0.982534381)</f>
        <v>0</v>
      </c>
      <c r="AO113" s="23" t="s">
        <v>123</v>
      </c>
      <c r="AT113" s="7">
        <f>AU113+AV113</f>
        <v>0</v>
      </c>
      <c r="AU113" s="7">
        <f>G113*AM113</f>
        <v>0</v>
      </c>
      <c r="AV113" s="7">
        <f>G113*AN113</f>
        <v>0</v>
      </c>
      <c r="AW113" s="23" t="s">
        <v>217</v>
      </c>
      <c r="AX113" s="23" t="s">
        <v>218</v>
      </c>
      <c r="AY113" s="13" t="s">
        <v>79</v>
      </c>
      <c r="BA113" s="7">
        <f>AU113+AV113</f>
        <v>0</v>
      </c>
      <c r="BB113" s="7">
        <f>H113/(100-BC113)*100</f>
        <v>0</v>
      </c>
      <c r="BC113" s="7">
        <v>0</v>
      </c>
      <c r="BD113" s="7">
        <f>M113</f>
        <v>0</v>
      </c>
      <c r="BF113" s="7">
        <f>G113*AM113</f>
        <v>0</v>
      </c>
      <c r="BG113" s="7">
        <f>G113*AN113</f>
        <v>0</v>
      </c>
      <c r="BH113" s="7">
        <f>G113*H113</f>
        <v>0</v>
      </c>
      <c r="BI113" s="7"/>
      <c r="BJ113" s="7">
        <v>764</v>
      </c>
      <c r="BU113" s="7" t="e">
        <f>#REF!</f>
        <v>#REF!</v>
      </c>
      <c r="BV113" s="3" t="s">
        <v>247</v>
      </c>
    </row>
    <row r="114" spans="1:74" ht="14.4" x14ac:dyDescent="0.3">
      <c r="A114" s="75"/>
      <c r="D114" s="25" t="s">
        <v>249</v>
      </c>
      <c r="E114" s="26" t="s">
        <v>250</v>
      </c>
      <c r="G114" s="27">
        <v>30</v>
      </c>
      <c r="N114" s="28"/>
    </row>
    <row r="115" spans="1:74" ht="14.4" x14ac:dyDescent="0.3">
      <c r="A115" s="74" t="s">
        <v>249</v>
      </c>
      <c r="B115" s="2" t="s">
        <v>21</v>
      </c>
      <c r="C115" s="2" t="s">
        <v>251</v>
      </c>
      <c r="D115" s="152" t="s">
        <v>252</v>
      </c>
      <c r="E115" s="153"/>
      <c r="F115" s="2" t="s">
        <v>140</v>
      </c>
      <c r="G115" s="7">
        <v>0.33200000000000002</v>
      </c>
      <c r="H115" s="86">
        <v>0</v>
      </c>
      <c r="I115" s="7">
        <f>G115*AM115</f>
        <v>0</v>
      </c>
      <c r="J115" s="7">
        <f>G115*AN115</f>
        <v>0</v>
      </c>
      <c r="K115" s="7">
        <f>G115*H115</f>
        <v>0</v>
      </c>
      <c r="L115" s="7">
        <v>0</v>
      </c>
      <c r="M115" s="7">
        <f>G115*L115</f>
        <v>0</v>
      </c>
      <c r="N115" s="24" t="s">
        <v>253</v>
      </c>
      <c r="X115" s="7">
        <f>IF(AO115="5",BH115,0)</f>
        <v>0</v>
      </c>
      <c r="Z115" s="7">
        <f>IF(AO115="1",BF115,0)</f>
        <v>0</v>
      </c>
      <c r="AA115" s="7">
        <f>IF(AO115="1",BG115,0)</f>
        <v>0</v>
      </c>
      <c r="AB115" s="7">
        <f>IF(AO115="7",BF115,0)</f>
        <v>0</v>
      </c>
      <c r="AC115" s="7">
        <f>IF(AO115="7",BG115,0)</f>
        <v>0</v>
      </c>
      <c r="AD115" s="7">
        <f>IF(AO115="2",BF115,0)</f>
        <v>0</v>
      </c>
      <c r="AE115" s="7">
        <f>IF(AO115="2",BG115,0)</f>
        <v>0</v>
      </c>
      <c r="AF115" s="7">
        <f>IF(AO115="0",BH115,0)</f>
        <v>0</v>
      </c>
      <c r="AG115" s="13" t="s">
        <v>21</v>
      </c>
      <c r="AH115" s="7">
        <f>IF(AL115=0,K115,0)</f>
        <v>0</v>
      </c>
      <c r="AI115" s="7">
        <f>IF(AL115=12,K115,0)</f>
        <v>0</v>
      </c>
      <c r="AJ115" s="7">
        <f>IF(AL115=21,K115,0)</f>
        <v>0</v>
      </c>
      <c r="AL115" s="7">
        <v>21</v>
      </c>
      <c r="AM115" s="7">
        <f>H115*0</f>
        <v>0</v>
      </c>
      <c r="AN115" s="7">
        <f>H115*(1-0)</f>
        <v>0</v>
      </c>
      <c r="AO115" s="23" t="s">
        <v>106</v>
      </c>
      <c r="AT115" s="7">
        <f>AU115+AV115</f>
        <v>0</v>
      </c>
      <c r="AU115" s="7">
        <f>G115*AM115</f>
        <v>0</v>
      </c>
      <c r="AV115" s="7">
        <f>G115*AN115</f>
        <v>0</v>
      </c>
      <c r="AW115" s="23" t="s">
        <v>217</v>
      </c>
      <c r="AX115" s="23" t="s">
        <v>218</v>
      </c>
      <c r="AY115" s="13" t="s">
        <v>79</v>
      </c>
      <c r="BA115" s="7">
        <f>AU115+AV115</f>
        <v>0</v>
      </c>
      <c r="BB115" s="7">
        <f>H115/(100-BC115)*100</f>
        <v>0</v>
      </c>
      <c r="BC115" s="7">
        <v>0</v>
      </c>
      <c r="BD115" s="7">
        <f>M115</f>
        <v>0</v>
      </c>
      <c r="BF115" s="7">
        <f>G115*AM115</f>
        <v>0</v>
      </c>
      <c r="BG115" s="7">
        <f>G115*AN115</f>
        <v>0</v>
      </c>
      <c r="BH115" s="7">
        <f>G115*H115</f>
        <v>0</v>
      </c>
      <c r="BI115" s="7"/>
      <c r="BJ115" s="7">
        <v>764</v>
      </c>
      <c r="BU115" s="7" t="e">
        <f>#REF!</f>
        <v>#REF!</v>
      </c>
      <c r="BV115" s="3" t="s">
        <v>252</v>
      </c>
    </row>
    <row r="116" spans="1:74" ht="14.4" x14ac:dyDescent="0.3">
      <c r="A116" s="73" t="s">
        <v>21</v>
      </c>
      <c r="B116" s="20" t="s">
        <v>21</v>
      </c>
      <c r="C116" s="20" t="s">
        <v>30</v>
      </c>
      <c r="D116" s="158" t="s">
        <v>31</v>
      </c>
      <c r="E116" s="159"/>
      <c r="F116" s="21" t="s">
        <v>12</v>
      </c>
      <c r="G116" s="21" t="s">
        <v>12</v>
      </c>
      <c r="H116" s="21" t="s">
        <v>12</v>
      </c>
      <c r="I116" s="12">
        <f>SUM(I117:I137)</f>
        <v>0</v>
      </c>
      <c r="J116" s="12">
        <f>SUM(J117:J137)</f>
        <v>0</v>
      </c>
      <c r="K116" s="12">
        <f>SUM(K117:K137)</f>
        <v>0</v>
      </c>
      <c r="L116" s="13" t="s">
        <v>21</v>
      </c>
      <c r="M116" s="12">
        <f>SUM(M117:M137)</f>
        <v>0.65133580000000002</v>
      </c>
      <c r="N116" s="22" t="s">
        <v>21</v>
      </c>
      <c r="AG116" s="13" t="s">
        <v>21</v>
      </c>
      <c r="AQ116" s="12">
        <f>SUM(AH117:AH137)</f>
        <v>0</v>
      </c>
      <c r="AR116" s="12">
        <f>SUM(AI117:AI137)</f>
        <v>0</v>
      </c>
      <c r="AS116" s="12">
        <f>SUM(AJ117:AJ137)</f>
        <v>0</v>
      </c>
    </row>
    <row r="117" spans="1:74" ht="14.4" x14ac:dyDescent="0.3">
      <c r="A117" s="74" t="s">
        <v>254</v>
      </c>
      <c r="B117" s="2" t="s">
        <v>21</v>
      </c>
      <c r="C117" s="2" t="s">
        <v>255</v>
      </c>
      <c r="D117" s="152" t="s">
        <v>256</v>
      </c>
      <c r="E117" s="153"/>
      <c r="F117" s="2" t="s">
        <v>248</v>
      </c>
      <c r="G117" s="7">
        <v>52</v>
      </c>
      <c r="H117" s="86">
        <v>0</v>
      </c>
      <c r="I117" s="7">
        <f>G117*AM117</f>
        <v>0</v>
      </c>
      <c r="J117" s="7">
        <f>G117*AN117</f>
        <v>0</v>
      </c>
      <c r="K117" s="7">
        <f>G117*H117</f>
        <v>0</v>
      </c>
      <c r="L117" s="7">
        <v>2.0000000000000002E-5</v>
      </c>
      <c r="M117" s="7">
        <f>G117*L117</f>
        <v>1.0400000000000001E-3</v>
      </c>
      <c r="N117" s="24" t="s">
        <v>76</v>
      </c>
      <c r="X117" s="7">
        <f>IF(AO117="5",BH117,0)</f>
        <v>0</v>
      </c>
      <c r="Z117" s="7">
        <f>IF(AO117="1",BF117,0)</f>
        <v>0</v>
      </c>
      <c r="AA117" s="7">
        <f>IF(AO117="1",BG117,0)</f>
        <v>0</v>
      </c>
      <c r="AB117" s="7">
        <f>IF(AO117="7",BF117,0)</f>
        <v>0</v>
      </c>
      <c r="AC117" s="7">
        <f>IF(AO117="7",BG117,0)</f>
        <v>0</v>
      </c>
      <c r="AD117" s="7">
        <f>IF(AO117="2",BF117,0)</f>
        <v>0</v>
      </c>
      <c r="AE117" s="7">
        <f>IF(AO117="2",BG117,0)</f>
        <v>0</v>
      </c>
      <c r="AF117" s="7">
        <f>IF(AO117="0",BH117,0)</f>
        <v>0</v>
      </c>
      <c r="AG117" s="13" t="s">
        <v>21</v>
      </c>
      <c r="AH117" s="7">
        <f>IF(AL117=0,K117,0)</f>
        <v>0</v>
      </c>
      <c r="AI117" s="7">
        <f>IF(AL117=12,K117,0)</f>
        <v>0</v>
      </c>
      <c r="AJ117" s="7">
        <f>IF(AL117=21,K117,0)</f>
        <v>0</v>
      </c>
      <c r="AL117" s="7">
        <v>21</v>
      </c>
      <c r="AM117" s="7">
        <f>H117*0.029213483</f>
        <v>0</v>
      </c>
      <c r="AN117" s="7">
        <f>H117*(1-0.029213483)</f>
        <v>0</v>
      </c>
      <c r="AO117" s="23" t="s">
        <v>123</v>
      </c>
      <c r="AT117" s="7">
        <f>AU117+AV117</f>
        <v>0</v>
      </c>
      <c r="AU117" s="7">
        <f>G117*AM117</f>
        <v>0</v>
      </c>
      <c r="AV117" s="7">
        <f>G117*AN117</f>
        <v>0</v>
      </c>
      <c r="AW117" s="23" t="s">
        <v>257</v>
      </c>
      <c r="AX117" s="23" t="s">
        <v>218</v>
      </c>
      <c r="AY117" s="13" t="s">
        <v>79</v>
      </c>
      <c r="BA117" s="7">
        <f>AU117+AV117</f>
        <v>0</v>
      </c>
      <c r="BB117" s="7">
        <f>H117/(100-BC117)*100</f>
        <v>0</v>
      </c>
      <c r="BC117" s="7">
        <v>0</v>
      </c>
      <c r="BD117" s="7">
        <f>M117</f>
        <v>1.0400000000000001E-3</v>
      </c>
      <c r="BF117" s="7">
        <f>G117*AM117</f>
        <v>0</v>
      </c>
      <c r="BG117" s="7">
        <f>G117*AN117</f>
        <v>0</v>
      </c>
      <c r="BH117" s="7">
        <f>G117*H117</f>
        <v>0</v>
      </c>
      <c r="BI117" s="7"/>
      <c r="BJ117" s="7">
        <v>766</v>
      </c>
      <c r="BU117" s="7" t="e">
        <f>#REF!</f>
        <v>#REF!</v>
      </c>
      <c r="BV117" s="3" t="s">
        <v>256</v>
      </c>
    </row>
    <row r="118" spans="1:74" ht="14.4" x14ac:dyDescent="0.3">
      <c r="A118" s="75"/>
      <c r="D118" s="25" t="s">
        <v>137</v>
      </c>
      <c r="E118" s="26" t="s">
        <v>81</v>
      </c>
      <c r="G118" s="27">
        <v>10</v>
      </c>
      <c r="N118" s="28"/>
    </row>
    <row r="119" spans="1:74" ht="14.4" x14ac:dyDescent="0.3">
      <c r="A119" s="75"/>
      <c r="D119" s="25" t="s">
        <v>258</v>
      </c>
      <c r="E119" s="26" t="s">
        <v>121</v>
      </c>
      <c r="G119" s="27">
        <v>39</v>
      </c>
      <c r="N119" s="28"/>
    </row>
    <row r="120" spans="1:74" ht="14.4" x14ac:dyDescent="0.3">
      <c r="A120" s="75"/>
      <c r="D120" s="25" t="s">
        <v>96</v>
      </c>
      <c r="E120" s="26" t="s">
        <v>88</v>
      </c>
      <c r="G120" s="27">
        <v>3</v>
      </c>
      <c r="N120" s="28"/>
    </row>
    <row r="121" spans="1:74" ht="14.4" x14ac:dyDescent="0.3">
      <c r="A121" s="74" t="s">
        <v>259</v>
      </c>
      <c r="B121" s="2" t="s">
        <v>21</v>
      </c>
      <c r="C121" s="2" t="s">
        <v>260</v>
      </c>
      <c r="D121" s="152" t="s">
        <v>261</v>
      </c>
      <c r="E121" s="153"/>
      <c r="F121" s="2" t="s">
        <v>248</v>
      </c>
      <c r="G121" s="7">
        <v>40</v>
      </c>
      <c r="H121" s="86">
        <v>0</v>
      </c>
      <c r="I121" s="7">
        <f>G121*AM121</f>
        <v>0</v>
      </c>
      <c r="J121" s="7">
        <f>G121*AN121</f>
        <v>0</v>
      </c>
      <c r="K121" s="7">
        <f>G121*H121</f>
        <v>0</v>
      </c>
      <c r="L121" s="7">
        <v>2.0000000000000002E-5</v>
      </c>
      <c r="M121" s="7">
        <f>G121*L121</f>
        <v>8.0000000000000004E-4</v>
      </c>
      <c r="N121" s="24" t="s">
        <v>76</v>
      </c>
      <c r="X121" s="7">
        <f>IF(AO121="5",BH121,0)</f>
        <v>0</v>
      </c>
      <c r="Z121" s="7">
        <f>IF(AO121="1",BF121,0)</f>
        <v>0</v>
      </c>
      <c r="AA121" s="7">
        <f>IF(AO121="1",BG121,0)</f>
        <v>0</v>
      </c>
      <c r="AB121" s="7">
        <f>IF(AO121="7",BF121,0)</f>
        <v>0</v>
      </c>
      <c r="AC121" s="7">
        <f>IF(AO121="7",BG121,0)</f>
        <v>0</v>
      </c>
      <c r="AD121" s="7">
        <f>IF(AO121="2",BF121,0)</f>
        <v>0</v>
      </c>
      <c r="AE121" s="7">
        <f>IF(AO121="2",BG121,0)</f>
        <v>0</v>
      </c>
      <c r="AF121" s="7">
        <f>IF(AO121="0",BH121,0)</f>
        <v>0</v>
      </c>
      <c r="AG121" s="13" t="s">
        <v>21</v>
      </c>
      <c r="AH121" s="7">
        <f>IF(AL121=0,K121,0)</f>
        <v>0</v>
      </c>
      <c r="AI121" s="7">
        <f>IF(AL121=12,K121,0)</f>
        <v>0</v>
      </c>
      <c r="AJ121" s="7">
        <f>IF(AL121=21,K121,0)</f>
        <v>0</v>
      </c>
      <c r="AL121" s="7">
        <v>21</v>
      </c>
      <c r="AM121" s="7">
        <f>H121*0.022688953</f>
        <v>0</v>
      </c>
      <c r="AN121" s="7">
        <f>H121*(1-0.022688953)</f>
        <v>0</v>
      </c>
      <c r="AO121" s="23" t="s">
        <v>123</v>
      </c>
      <c r="AT121" s="7">
        <f>AU121+AV121</f>
        <v>0</v>
      </c>
      <c r="AU121" s="7">
        <f>G121*AM121</f>
        <v>0</v>
      </c>
      <c r="AV121" s="7">
        <f>G121*AN121</f>
        <v>0</v>
      </c>
      <c r="AW121" s="23" t="s">
        <v>257</v>
      </c>
      <c r="AX121" s="23" t="s">
        <v>218</v>
      </c>
      <c r="AY121" s="13" t="s">
        <v>79</v>
      </c>
      <c r="BA121" s="7">
        <f>AU121+AV121</f>
        <v>0</v>
      </c>
      <c r="BB121" s="7">
        <f>H121/(100-BC121)*100</f>
        <v>0</v>
      </c>
      <c r="BC121" s="7">
        <v>0</v>
      </c>
      <c r="BD121" s="7">
        <f>M121</f>
        <v>8.0000000000000004E-4</v>
      </c>
      <c r="BF121" s="7">
        <f>G121*AM121</f>
        <v>0</v>
      </c>
      <c r="BG121" s="7">
        <f>G121*AN121</f>
        <v>0</v>
      </c>
      <c r="BH121" s="7">
        <f>G121*H121</f>
        <v>0</v>
      </c>
      <c r="BI121" s="7"/>
      <c r="BJ121" s="7">
        <v>766</v>
      </c>
      <c r="BU121" s="7" t="e">
        <f>#REF!</f>
        <v>#REF!</v>
      </c>
      <c r="BV121" s="3" t="s">
        <v>261</v>
      </c>
    </row>
    <row r="122" spans="1:74" ht="14.4" x14ac:dyDescent="0.3">
      <c r="A122" s="75"/>
      <c r="D122" s="25" t="s">
        <v>262</v>
      </c>
      <c r="E122" s="26" t="s">
        <v>263</v>
      </c>
      <c r="G122" s="27">
        <v>38</v>
      </c>
      <c r="N122" s="28"/>
    </row>
    <row r="123" spans="1:74" ht="14.4" x14ac:dyDescent="0.3">
      <c r="A123" s="75"/>
      <c r="D123" s="25" t="s">
        <v>89</v>
      </c>
      <c r="E123" s="26" t="s">
        <v>264</v>
      </c>
      <c r="G123" s="27">
        <v>2</v>
      </c>
      <c r="N123" s="28"/>
    </row>
    <row r="124" spans="1:74" ht="14.4" x14ac:dyDescent="0.3">
      <c r="A124" s="74" t="s">
        <v>265</v>
      </c>
      <c r="B124" s="2" t="s">
        <v>21</v>
      </c>
      <c r="C124" s="2" t="s">
        <v>266</v>
      </c>
      <c r="D124" s="152" t="s">
        <v>267</v>
      </c>
      <c r="E124" s="153"/>
      <c r="F124" s="2" t="s">
        <v>248</v>
      </c>
      <c r="G124" s="7">
        <v>4</v>
      </c>
      <c r="H124" s="86">
        <v>0</v>
      </c>
      <c r="I124" s="7">
        <f>G124*AM124</f>
        <v>0</v>
      </c>
      <c r="J124" s="7">
        <f>G124*AN124</f>
        <v>0</v>
      </c>
      <c r="K124" s="7">
        <f>G124*H124</f>
        <v>0</v>
      </c>
      <c r="L124" s="7">
        <v>3.0000000000000001E-5</v>
      </c>
      <c r="M124" s="7">
        <f>G124*L124</f>
        <v>1.2E-4</v>
      </c>
      <c r="N124" s="24" t="s">
        <v>76</v>
      </c>
      <c r="X124" s="7">
        <f>IF(AO124="5",BH124,0)</f>
        <v>0</v>
      </c>
      <c r="Z124" s="7">
        <f>IF(AO124="1",BF124,0)</f>
        <v>0</v>
      </c>
      <c r="AA124" s="7">
        <f>IF(AO124="1",BG124,0)</f>
        <v>0</v>
      </c>
      <c r="AB124" s="7">
        <f>IF(AO124="7",BF124,0)</f>
        <v>0</v>
      </c>
      <c r="AC124" s="7">
        <f>IF(AO124="7",BG124,0)</f>
        <v>0</v>
      </c>
      <c r="AD124" s="7">
        <f>IF(AO124="2",BF124,0)</f>
        <v>0</v>
      </c>
      <c r="AE124" s="7">
        <f>IF(AO124="2",BG124,0)</f>
        <v>0</v>
      </c>
      <c r="AF124" s="7">
        <f>IF(AO124="0",BH124,0)</f>
        <v>0</v>
      </c>
      <c r="AG124" s="13" t="s">
        <v>21</v>
      </c>
      <c r="AH124" s="7">
        <f>IF(AL124=0,K124,0)</f>
        <v>0</v>
      </c>
      <c r="AI124" s="7">
        <f>IF(AL124=12,K124,0)</f>
        <v>0</v>
      </c>
      <c r="AJ124" s="7">
        <f>IF(AL124=21,K124,0)</f>
        <v>0</v>
      </c>
      <c r="AL124" s="7">
        <v>21</v>
      </c>
      <c r="AM124" s="7">
        <f>H124*0.028942574</f>
        <v>0</v>
      </c>
      <c r="AN124" s="7">
        <f>H124*(1-0.028942574)</f>
        <v>0</v>
      </c>
      <c r="AO124" s="23" t="s">
        <v>123</v>
      </c>
      <c r="AT124" s="7">
        <f>AU124+AV124</f>
        <v>0</v>
      </c>
      <c r="AU124" s="7">
        <f>G124*AM124</f>
        <v>0</v>
      </c>
      <c r="AV124" s="7">
        <f>G124*AN124</f>
        <v>0</v>
      </c>
      <c r="AW124" s="23" t="s">
        <v>257</v>
      </c>
      <c r="AX124" s="23" t="s">
        <v>218</v>
      </c>
      <c r="AY124" s="13" t="s">
        <v>79</v>
      </c>
      <c r="BA124" s="7">
        <f>AU124+AV124</f>
        <v>0</v>
      </c>
      <c r="BB124" s="7">
        <f>H124/(100-BC124)*100</f>
        <v>0</v>
      </c>
      <c r="BC124" s="7">
        <v>0</v>
      </c>
      <c r="BD124" s="7">
        <f>M124</f>
        <v>1.2E-4</v>
      </c>
      <c r="BF124" s="7">
        <f>G124*AM124</f>
        <v>0</v>
      </c>
      <c r="BG124" s="7">
        <f>G124*AN124</f>
        <v>0</v>
      </c>
      <c r="BH124" s="7">
        <f>G124*H124</f>
        <v>0</v>
      </c>
      <c r="BI124" s="7"/>
      <c r="BJ124" s="7">
        <v>766</v>
      </c>
      <c r="BU124" s="7" t="e">
        <f>#REF!</f>
        <v>#REF!</v>
      </c>
      <c r="BV124" s="3" t="s">
        <v>267</v>
      </c>
    </row>
    <row r="125" spans="1:74" ht="14.4" x14ac:dyDescent="0.3">
      <c r="A125" s="75"/>
      <c r="D125" s="25" t="s">
        <v>101</v>
      </c>
      <c r="E125" s="26" t="s">
        <v>268</v>
      </c>
      <c r="G125" s="27">
        <v>4</v>
      </c>
      <c r="N125" s="28"/>
    </row>
    <row r="126" spans="1:74" ht="14.4" x14ac:dyDescent="0.3">
      <c r="A126" s="74" t="s">
        <v>269</v>
      </c>
      <c r="B126" s="2" t="s">
        <v>21</v>
      </c>
      <c r="C126" s="2" t="s">
        <v>270</v>
      </c>
      <c r="D126" s="152" t="s">
        <v>271</v>
      </c>
      <c r="E126" s="153"/>
      <c r="F126" s="2" t="s">
        <v>114</v>
      </c>
      <c r="G126" s="7">
        <v>141.876</v>
      </c>
      <c r="H126" s="86">
        <v>0</v>
      </c>
      <c r="I126" s="7">
        <f>G126*AM126</f>
        <v>0</v>
      </c>
      <c r="J126" s="7">
        <f>G126*AN126</f>
        <v>0</v>
      </c>
      <c r="K126" s="7">
        <f>G126*H126</f>
        <v>0</v>
      </c>
      <c r="L126" s="7">
        <v>4.5500000000000002E-3</v>
      </c>
      <c r="M126" s="7">
        <f>G126*L126</f>
        <v>0.6455358000000001</v>
      </c>
      <c r="N126" s="24" t="s">
        <v>76</v>
      </c>
      <c r="X126" s="7">
        <f>IF(AO126="5",BH126,0)</f>
        <v>0</v>
      </c>
      <c r="Z126" s="7">
        <f>IF(AO126="1",BF126,0)</f>
        <v>0</v>
      </c>
      <c r="AA126" s="7">
        <f>IF(AO126="1",BG126,0)</f>
        <v>0</v>
      </c>
      <c r="AB126" s="7">
        <f>IF(AO126="7",BF126,0)</f>
        <v>0</v>
      </c>
      <c r="AC126" s="7">
        <f>IF(AO126="7",BG126,0)</f>
        <v>0</v>
      </c>
      <c r="AD126" s="7">
        <f>IF(AO126="2",BF126,0)</f>
        <v>0</v>
      </c>
      <c r="AE126" s="7">
        <f>IF(AO126="2",BG126,0)</f>
        <v>0</v>
      </c>
      <c r="AF126" s="7">
        <f>IF(AO126="0",BH126,0)</f>
        <v>0</v>
      </c>
      <c r="AG126" s="13" t="s">
        <v>21</v>
      </c>
      <c r="AH126" s="7">
        <f>IF(AL126=0,K126,0)</f>
        <v>0</v>
      </c>
      <c r="AI126" s="7">
        <f>IF(AL126=12,K126,0)</f>
        <v>0</v>
      </c>
      <c r="AJ126" s="7">
        <f>IF(AL126=21,K126,0)</f>
        <v>0</v>
      </c>
      <c r="AL126" s="7">
        <v>21</v>
      </c>
      <c r="AM126" s="7">
        <f>H126*1</f>
        <v>0</v>
      </c>
      <c r="AN126" s="7">
        <f>H126*(1-1)</f>
        <v>0</v>
      </c>
      <c r="AO126" s="23" t="s">
        <v>123</v>
      </c>
      <c r="AT126" s="7">
        <f>AU126+AV126</f>
        <v>0</v>
      </c>
      <c r="AU126" s="7">
        <f>G126*AM126</f>
        <v>0</v>
      </c>
      <c r="AV126" s="7">
        <f>G126*AN126</f>
        <v>0</v>
      </c>
      <c r="AW126" s="23" t="s">
        <v>257</v>
      </c>
      <c r="AX126" s="23" t="s">
        <v>218</v>
      </c>
      <c r="AY126" s="13" t="s">
        <v>79</v>
      </c>
      <c r="BA126" s="7">
        <f>AU126+AV126</f>
        <v>0</v>
      </c>
      <c r="BB126" s="7">
        <f>H126/(100-BC126)*100</f>
        <v>0</v>
      </c>
      <c r="BC126" s="7">
        <v>0</v>
      </c>
      <c r="BD126" s="7">
        <f>M126</f>
        <v>0.6455358000000001</v>
      </c>
      <c r="BF126" s="7">
        <f>G126*AM126</f>
        <v>0</v>
      </c>
      <c r="BG126" s="7">
        <f>G126*AN126</f>
        <v>0</v>
      </c>
      <c r="BH126" s="7">
        <f>G126*H126</f>
        <v>0</v>
      </c>
      <c r="BI126" s="7"/>
      <c r="BJ126" s="7">
        <v>766</v>
      </c>
      <c r="BU126" s="7" t="e">
        <f>#REF!</f>
        <v>#REF!</v>
      </c>
      <c r="BV126" s="3" t="s">
        <v>271</v>
      </c>
    </row>
    <row r="127" spans="1:74" ht="14.4" x14ac:dyDescent="0.3">
      <c r="A127" s="75"/>
      <c r="D127" s="25" t="s">
        <v>115</v>
      </c>
      <c r="E127" s="26" t="s">
        <v>81</v>
      </c>
      <c r="G127" s="27">
        <v>8.5</v>
      </c>
      <c r="N127" s="28"/>
    </row>
    <row r="128" spans="1:74" ht="14.4" x14ac:dyDescent="0.3">
      <c r="A128" s="75"/>
      <c r="D128" s="25" t="s">
        <v>272</v>
      </c>
      <c r="E128" s="26" t="s">
        <v>93</v>
      </c>
      <c r="G128" s="27">
        <v>48.26</v>
      </c>
      <c r="N128" s="28"/>
    </row>
    <row r="129" spans="1:74" ht="14.4" x14ac:dyDescent="0.3">
      <c r="A129" s="75"/>
      <c r="D129" s="25" t="s">
        <v>117</v>
      </c>
      <c r="E129" s="26" t="s">
        <v>95</v>
      </c>
      <c r="G129" s="27">
        <v>2.54</v>
      </c>
      <c r="N129" s="28"/>
    </row>
    <row r="130" spans="1:74" ht="14.4" x14ac:dyDescent="0.3">
      <c r="A130" s="75"/>
      <c r="D130" s="25" t="s">
        <v>118</v>
      </c>
      <c r="E130" s="26" t="s">
        <v>119</v>
      </c>
      <c r="G130" s="27">
        <v>21.28</v>
      </c>
      <c r="N130" s="28"/>
    </row>
    <row r="131" spans="1:74" ht="14.4" x14ac:dyDescent="0.3">
      <c r="A131" s="75"/>
      <c r="D131" s="25" t="s">
        <v>120</v>
      </c>
      <c r="E131" s="26" t="s">
        <v>121</v>
      </c>
      <c r="G131" s="27">
        <v>35.1</v>
      </c>
      <c r="N131" s="28"/>
    </row>
    <row r="132" spans="1:74" ht="14.4" x14ac:dyDescent="0.3">
      <c r="A132" s="75"/>
      <c r="D132" s="25" t="s">
        <v>122</v>
      </c>
      <c r="E132" s="26" t="s">
        <v>88</v>
      </c>
      <c r="G132" s="27">
        <v>2.5499999999999998</v>
      </c>
      <c r="N132" s="28"/>
    </row>
    <row r="133" spans="1:74" ht="14.4" x14ac:dyDescent="0.3">
      <c r="A133" s="75"/>
      <c r="D133" s="25" t="s">
        <v>273</v>
      </c>
      <c r="E133" s="26" t="s">
        <v>21</v>
      </c>
      <c r="G133" s="27">
        <v>23.646000000000001</v>
      </c>
      <c r="N133" s="28"/>
    </row>
    <row r="134" spans="1:74" ht="14.4" x14ac:dyDescent="0.3">
      <c r="A134" s="74" t="s">
        <v>274</v>
      </c>
      <c r="B134" s="2" t="s">
        <v>21</v>
      </c>
      <c r="C134" s="2" t="s">
        <v>275</v>
      </c>
      <c r="D134" s="152" t="s">
        <v>276</v>
      </c>
      <c r="E134" s="153"/>
      <c r="F134" s="2" t="s">
        <v>248</v>
      </c>
      <c r="G134" s="7">
        <v>192</v>
      </c>
      <c r="H134" s="86">
        <v>0</v>
      </c>
      <c r="I134" s="7">
        <f>G134*AM134</f>
        <v>0</v>
      </c>
      <c r="J134" s="7">
        <f>G134*AN134</f>
        <v>0</v>
      </c>
      <c r="K134" s="7">
        <f>G134*H134</f>
        <v>0</v>
      </c>
      <c r="L134" s="7">
        <v>2.0000000000000002E-5</v>
      </c>
      <c r="M134" s="7">
        <f>G134*L134</f>
        <v>3.8400000000000005E-3</v>
      </c>
      <c r="N134" s="24" t="s">
        <v>76</v>
      </c>
      <c r="X134" s="7">
        <f>IF(AO134="5",BH134,0)</f>
        <v>0</v>
      </c>
      <c r="Z134" s="7">
        <f>IF(AO134="1",BF134,0)</f>
        <v>0</v>
      </c>
      <c r="AA134" s="7">
        <f>IF(AO134="1",BG134,0)</f>
        <v>0</v>
      </c>
      <c r="AB134" s="7">
        <f>IF(AO134="7",BF134,0)</f>
        <v>0</v>
      </c>
      <c r="AC134" s="7">
        <f>IF(AO134="7",BG134,0)</f>
        <v>0</v>
      </c>
      <c r="AD134" s="7">
        <f>IF(AO134="2",BF134,0)</f>
        <v>0</v>
      </c>
      <c r="AE134" s="7">
        <f>IF(AO134="2",BG134,0)</f>
        <v>0</v>
      </c>
      <c r="AF134" s="7">
        <f>IF(AO134="0",BH134,0)</f>
        <v>0</v>
      </c>
      <c r="AG134" s="13" t="s">
        <v>21</v>
      </c>
      <c r="AH134" s="7">
        <f>IF(AL134=0,K134,0)</f>
        <v>0</v>
      </c>
      <c r="AI134" s="7">
        <f>IF(AL134=12,K134,0)</f>
        <v>0</v>
      </c>
      <c r="AJ134" s="7">
        <f>IF(AL134=21,K134,0)</f>
        <v>0</v>
      </c>
      <c r="AL134" s="7">
        <v>21</v>
      </c>
      <c r="AM134" s="7">
        <f>H134*1</f>
        <v>0</v>
      </c>
      <c r="AN134" s="7">
        <f>H134*(1-1)</f>
        <v>0</v>
      </c>
      <c r="AO134" s="23" t="s">
        <v>123</v>
      </c>
      <c r="AT134" s="7">
        <f>AU134+AV134</f>
        <v>0</v>
      </c>
      <c r="AU134" s="7">
        <f>G134*AM134</f>
        <v>0</v>
      </c>
      <c r="AV134" s="7">
        <f>G134*AN134</f>
        <v>0</v>
      </c>
      <c r="AW134" s="23" t="s">
        <v>257</v>
      </c>
      <c r="AX134" s="23" t="s">
        <v>218</v>
      </c>
      <c r="AY134" s="13" t="s">
        <v>79</v>
      </c>
      <c r="BA134" s="7">
        <f>AU134+AV134</f>
        <v>0</v>
      </c>
      <c r="BB134" s="7">
        <f>H134/(100-BC134)*100</f>
        <v>0</v>
      </c>
      <c r="BC134" s="7">
        <v>0</v>
      </c>
      <c r="BD134" s="7">
        <f>M134</f>
        <v>3.8400000000000005E-3</v>
      </c>
      <c r="BF134" s="7">
        <f>G134*AM134</f>
        <v>0</v>
      </c>
      <c r="BG134" s="7">
        <f>G134*AN134</f>
        <v>0</v>
      </c>
      <c r="BH134" s="7">
        <f>G134*H134</f>
        <v>0</v>
      </c>
      <c r="BI134" s="7"/>
      <c r="BJ134" s="7">
        <v>766</v>
      </c>
      <c r="BU134" s="7" t="e">
        <f>#REF!</f>
        <v>#REF!</v>
      </c>
      <c r="BV134" s="3" t="s">
        <v>276</v>
      </c>
    </row>
    <row r="135" spans="1:74" ht="14.4" x14ac:dyDescent="0.3">
      <c r="A135" s="75"/>
      <c r="D135" s="25" t="s">
        <v>277</v>
      </c>
      <c r="E135" s="26" t="s">
        <v>21</v>
      </c>
      <c r="G135" s="27">
        <v>192</v>
      </c>
      <c r="N135" s="28"/>
    </row>
    <row r="136" spans="1:74" ht="14.4" x14ac:dyDescent="0.3">
      <c r="A136" s="74" t="s">
        <v>278</v>
      </c>
      <c r="B136" s="2" t="s">
        <v>21</v>
      </c>
      <c r="C136" s="2" t="s">
        <v>279</v>
      </c>
      <c r="D136" s="152" t="s">
        <v>280</v>
      </c>
      <c r="E136" s="153"/>
      <c r="F136" s="2" t="s">
        <v>248</v>
      </c>
      <c r="G136" s="7">
        <v>30</v>
      </c>
      <c r="H136" s="86">
        <v>0</v>
      </c>
      <c r="I136" s="7">
        <f>G136*AM136</f>
        <v>0</v>
      </c>
      <c r="J136" s="7">
        <f>G136*AN136</f>
        <v>0</v>
      </c>
      <c r="K136" s="7">
        <f>G136*H136</f>
        <v>0</v>
      </c>
      <c r="L136" s="7">
        <v>0</v>
      </c>
      <c r="M136" s="7">
        <f>G136*L136</f>
        <v>0</v>
      </c>
      <c r="N136" s="24" t="s">
        <v>76</v>
      </c>
      <c r="X136" s="7">
        <f>IF(AO136="5",BH136,0)</f>
        <v>0</v>
      </c>
      <c r="Z136" s="7">
        <f>IF(AO136="1",BF136,0)</f>
        <v>0</v>
      </c>
      <c r="AA136" s="7">
        <f>IF(AO136="1",BG136,0)</f>
        <v>0</v>
      </c>
      <c r="AB136" s="7">
        <f>IF(AO136="7",BF136,0)</f>
        <v>0</v>
      </c>
      <c r="AC136" s="7">
        <f>IF(AO136="7",BG136,0)</f>
        <v>0</v>
      </c>
      <c r="AD136" s="7">
        <f>IF(AO136="2",BF136,0)</f>
        <v>0</v>
      </c>
      <c r="AE136" s="7">
        <f>IF(AO136="2",BG136,0)</f>
        <v>0</v>
      </c>
      <c r="AF136" s="7">
        <f>IF(AO136="0",BH136,0)</f>
        <v>0</v>
      </c>
      <c r="AG136" s="13" t="s">
        <v>21</v>
      </c>
      <c r="AH136" s="7">
        <f>IF(AL136=0,K136,0)</f>
        <v>0</v>
      </c>
      <c r="AI136" s="7">
        <f>IF(AL136=12,K136,0)</f>
        <v>0</v>
      </c>
      <c r="AJ136" s="7">
        <f>IF(AL136=21,K136,0)</f>
        <v>0</v>
      </c>
      <c r="AL136" s="7">
        <v>21</v>
      </c>
      <c r="AM136" s="7">
        <f>H136*1</f>
        <v>0</v>
      </c>
      <c r="AN136" s="7">
        <f>H136*(1-1)</f>
        <v>0</v>
      </c>
      <c r="AO136" s="23" t="s">
        <v>123</v>
      </c>
      <c r="AT136" s="7">
        <f>AU136+AV136</f>
        <v>0</v>
      </c>
      <c r="AU136" s="7">
        <f>G136*AM136</f>
        <v>0</v>
      </c>
      <c r="AV136" s="7">
        <f>G136*AN136</f>
        <v>0</v>
      </c>
      <c r="AW136" s="23" t="s">
        <v>257</v>
      </c>
      <c r="AX136" s="23" t="s">
        <v>218</v>
      </c>
      <c r="AY136" s="13" t="s">
        <v>79</v>
      </c>
      <c r="BA136" s="7">
        <f>AU136+AV136</f>
        <v>0</v>
      </c>
      <c r="BB136" s="7">
        <f>H136/(100-BC136)*100</f>
        <v>0</v>
      </c>
      <c r="BC136" s="7">
        <v>0</v>
      </c>
      <c r="BD136" s="7">
        <f>M136</f>
        <v>0</v>
      </c>
      <c r="BF136" s="7">
        <f>G136*AM136</f>
        <v>0</v>
      </c>
      <c r="BG136" s="7">
        <f>G136*AN136</f>
        <v>0</v>
      </c>
      <c r="BH136" s="7">
        <f>G136*H136</f>
        <v>0</v>
      </c>
      <c r="BI136" s="7"/>
      <c r="BJ136" s="7">
        <v>766</v>
      </c>
      <c r="BU136" s="7" t="e">
        <f>#REF!</f>
        <v>#REF!</v>
      </c>
      <c r="BV136" s="3" t="s">
        <v>280</v>
      </c>
    </row>
    <row r="137" spans="1:74" ht="14.4" x14ac:dyDescent="0.3">
      <c r="A137" s="74" t="s">
        <v>281</v>
      </c>
      <c r="B137" s="2" t="s">
        <v>21</v>
      </c>
      <c r="C137" s="2" t="s">
        <v>282</v>
      </c>
      <c r="D137" s="152" t="s">
        <v>283</v>
      </c>
      <c r="E137" s="153"/>
      <c r="F137" s="2" t="s">
        <v>140</v>
      </c>
      <c r="G137" s="7">
        <v>0.65100000000000002</v>
      </c>
      <c r="H137" s="86">
        <v>0</v>
      </c>
      <c r="I137" s="7">
        <f>G137*AM137</f>
        <v>0</v>
      </c>
      <c r="J137" s="7">
        <f>G137*AN137</f>
        <v>0</v>
      </c>
      <c r="K137" s="7">
        <f>G137*H137</f>
        <v>0</v>
      </c>
      <c r="L137" s="7">
        <v>0</v>
      </c>
      <c r="M137" s="7">
        <f>G137*L137</f>
        <v>0</v>
      </c>
      <c r="N137" s="24" t="s">
        <v>253</v>
      </c>
      <c r="X137" s="7">
        <f>IF(AO137="5",BH137,0)</f>
        <v>0</v>
      </c>
      <c r="Z137" s="7">
        <f>IF(AO137="1",BF137,0)</f>
        <v>0</v>
      </c>
      <c r="AA137" s="7">
        <f>IF(AO137="1",BG137,0)</f>
        <v>0</v>
      </c>
      <c r="AB137" s="7">
        <f>IF(AO137="7",BF137,0)</f>
        <v>0</v>
      </c>
      <c r="AC137" s="7">
        <f>IF(AO137="7",BG137,0)</f>
        <v>0</v>
      </c>
      <c r="AD137" s="7">
        <f>IF(AO137="2",BF137,0)</f>
        <v>0</v>
      </c>
      <c r="AE137" s="7">
        <f>IF(AO137="2",BG137,0)</f>
        <v>0</v>
      </c>
      <c r="AF137" s="7">
        <f>IF(AO137="0",BH137,0)</f>
        <v>0</v>
      </c>
      <c r="AG137" s="13" t="s">
        <v>21</v>
      </c>
      <c r="AH137" s="7">
        <f>IF(AL137=0,K137,0)</f>
        <v>0</v>
      </c>
      <c r="AI137" s="7">
        <f>IF(AL137=12,K137,0)</f>
        <v>0</v>
      </c>
      <c r="AJ137" s="7">
        <f>IF(AL137=21,K137,0)</f>
        <v>0</v>
      </c>
      <c r="AL137" s="7">
        <v>21</v>
      </c>
      <c r="AM137" s="7">
        <f>H137*0</f>
        <v>0</v>
      </c>
      <c r="AN137" s="7">
        <f>H137*(1-0)</f>
        <v>0</v>
      </c>
      <c r="AO137" s="23" t="s">
        <v>106</v>
      </c>
      <c r="AT137" s="7">
        <f>AU137+AV137</f>
        <v>0</v>
      </c>
      <c r="AU137" s="7">
        <f>G137*AM137</f>
        <v>0</v>
      </c>
      <c r="AV137" s="7">
        <f>G137*AN137</f>
        <v>0</v>
      </c>
      <c r="AW137" s="23" t="s">
        <v>257</v>
      </c>
      <c r="AX137" s="23" t="s">
        <v>218</v>
      </c>
      <c r="AY137" s="13" t="s">
        <v>79</v>
      </c>
      <c r="BA137" s="7">
        <f>AU137+AV137</f>
        <v>0</v>
      </c>
      <c r="BB137" s="7">
        <f>H137/(100-BC137)*100</f>
        <v>0</v>
      </c>
      <c r="BC137" s="7">
        <v>0</v>
      </c>
      <c r="BD137" s="7">
        <f>M137</f>
        <v>0</v>
      </c>
      <c r="BF137" s="7">
        <f>G137*AM137</f>
        <v>0</v>
      </c>
      <c r="BG137" s="7">
        <f>G137*AN137</f>
        <v>0</v>
      </c>
      <c r="BH137" s="7">
        <f>G137*H137</f>
        <v>0</v>
      </c>
      <c r="BI137" s="7"/>
      <c r="BJ137" s="7">
        <v>766</v>
      </c>
      <c r="BU137" s="7" t="e">
        <f>#REF!</f>
        <v>#REF!</v>
      </c>
      <c r="BV137" s="3" t="s">
        <v>283</v>
      </c>
    </row>
    <row r="138" spans="1:74" ht="14.4" x14ac:dyDescent="0.3">
      <c r="A138" s="73" t="s">
        <v>21</v>
      </c>
      <c r="B138" s="20" t="s">
        <v>21</v>
      </c>
      <c r="C138" s="20" t="s">
        <v>32</v>
      </c>
      <c r="D138" s="158" t="s">
        <v>33</v>
      </c>
      <c r="E138" s="159"/>
      <c r="F138" s="21" t="s">
        <v>12</v>
      </c>
      <c r="G138" s="21" t="s">
        <v>12</v>
      </c>
      <c r="H138" s="21" t="s">
        <v>12</v>
      </c>
      <c r="I138" s="12">
        <f>SUM(I139:I174)</f>
        <v>0</v>
      </c>
      <c r="J138" s="12">
        <f>SUM(J139:J174)</f>
        <v>0</v>
      </c>
      <c r="K138" s="12">
        <f>SUM(K139:K174)</f>
        <v>0</v>
      </c>
      <c r="L138" s="13" t="s">
        <v>21</v>
      </c>
      <c r="M138" s="12">
        <f>SUM(M139:M174)</f>
        <v>18.450147600000001</v>
      </c>
      <c r="N138" s="22" t="s">
        <v>21</v>
      </c>
      <c r="AG138" s="13" t="s">
        <v>21</v>
      </c>
      <c r="AQ138" s="12">
        <f>SUM(AH139:AH174)</f>
        <v>0</v>
      </c>
      <c r="AR138" s="12">
        <f>SUM(AI139:AI174)</f>
        <v>0</v>
      </c>
      <c r="AS138" s="12">
        <f>SUM(AJ139:AJ174)</f>
        <v>0</v>
      </c>
    </row>
    <row r="139" spans="1:74" ht="14.4" x14ac:dyDescent="0.3">
      <c r="A139" s="74" t="s">
        <v>262</v>
      </c>
      <c r="B139" s="2" t="s">
        <v>21</v>
      </c>
      <c r="C139" s="2" t="s">
        <v>284</v>
      </c>
      <c r="D139" s="152" t="s">
        <v>285</v>
      </c>
      <c r="E139" s="153"/>
      <c r="F139" s="2" t="s">
        <v>74</v>
      </c>
      <c r="G139" s="7">
        <v>175.834</v>
      </c>
      <c r="H139" s="86">
        <v>0</v>
      </c>
      <c r="I139" s="7">
        <f>G139*AM139</f>
        <v>0</v>
      </c>
      <c r="J139" s="7">
        <f>G139*AN139</f>
        <v>0</v>
      </c>
      <c r="K139" s="7">
        <f>G139*H139</f>
        <v>0</v>
      </c>
      <c r="L139" s="7">
        <v>0</v>
      </c>
      <c r="M139" s="7">
        <f>G139*L139</f>
        <v>0</v>
      </c>
      <c r="N139" s="24" t="s">
        <v>76</v>
      </c>
      <c r="X139" s="7">
        <f>IF(AO139="5",BH139,0)</f>
        <v>0</v>
      </c>
      <c r="Z139" s="7">
        <f>IF(AO139="1",BF139,0)</f>
        <v>0</v>
      </c>
      <c r="AA139" s="7">
        <f>IF(AO139="1",BG139,0)</f>
        <v>0</v>
      </c>
      <c r="AB139" s="7">
        <f>IF(AO139="7",BF139,0)</f>
        <v>0</v>
      </c>
      <c r="AC139" s="7">
        <f>IF(AO139="7",BG139,0)</f>
        <v>0</v>
      </c>
      <c r="AD139" s="7">
        <f>IF(AO139="2",BF139,0)</f>
        <v>0</v>
      </c>
      <c r="AE139" s="7">
        <f>IF(AO139="2",BG139,0)</f>
        <v>0</v>
      </c>
      <c r="AF139" s="7">
        <f>IF(AO139="0",BH139,0)</f>
        <v>0</v>
      </c>
      <c r="AG139" s="13" t="s">
        <v>21</v>
      </c>
      <c r="AH139" s="7">
        <f>IF(AL139=0,K139,0)</f>
        <v>0</v>
      </c>
      <c r="AI139" s="7">
        <f>IF(AL139=12,K139,0)</f>
        <v>0</v>
      </c>
      <c r="AJ139" s="7">
        <f>IF(AL139=21,K139,0)</f>
        <v>0</v>
      </c>
      <c r="AL139" s="7">
        <v>21</v>
      </c>
      <c r="AM139" s="7">
        <f>H139*0</f>
        <v>0</v>
      </c>
      <c r="AN139" s="7">
        <f>H139*(1-0)</f>
        <v>0</v>
      </c>
      <c r="AO139" s="23" t="s">
        <v>123</v>
      </c>
      <c r="AT139" s="7">
        <f>AU139+AV139</f>
        <v>0</v>
      </c>
      <c r="AU139" s="7">
        <f>G139*AM139</f>
        <v>0</v>
      </c>
      <c r="AV139" s="7">
        <f>G139*AN139</f>
        <v>0</v>
      </c>
      <c r="AW139" s="23" t="s">
        <v>286</v>
      </c>
      <c r="AX139" s="23" t="s">
        <v>218</v>
      </c>
      <c r="AY139" s="13" t="s">
        <v>79</v>
      </c>
      <c r="BA139" s="7">
        <f>AU139+AV139</f>
        <v>0</v>
      </c>
      <c r="BB139" s="7">
        <f>H139/(100-BC139)*100</f>
        <v>0</v>
      </c>
      <c r="BC139" s="7">
        <v>0</v>
      </c>
      <c r="BD139" s="7">
        <f>M139</f>
        <v>0</v>
      </c>
      <c r="BF139" s="7">
        <f>G139*AM139</f>
        <v>0</v>
      </c>
      <c r="BG139" s="7">
        <f>G139*AN139</f>
        <v>0</v>
      </c>
      <c r="BH139" s="7">
        <f>G139*H139</f>
        <v>0</v>
      </c>
      <c r="BI139" s="7"/>
      <c r="BJ139" s="7">
        <v>767</v>
      </c>
      <c r="BU139" s="7" t="e">
        <f>#REF!</f>
        <v>#REF!</v>
      </c>
      <c r="BV139" s="3" t="s">
        <v>285</v>
      </c>
    </row>
    <row r="140" spans="1:74" ht="14.4" x14ac:dyDescent="0.3">
      <c r="A140" s="75"/>
      <c r="D140" s="25" t="s">
        <v>80</v>
      </c>
      <c r="E140" s="26" t="s">
        <v>81</v>
      </c>
      <c r="G140" s="27">
        <v>7.2249999999999996</v>
      </c>
      <c r="N140" s="28"/>
    </row>
    <row r="141" spans="1:74" ht="14.4" x14ac:dyDescent="0.3">
      <c r="A141" s="75"/>
      <c r="D141" s="25" t="s">
        <v>287</v>
      </c>
      <c r="E141" s="26" t="s">
        <v>93</v>
      </c>
      <c r="G141" s="27">
        <v>98.933000000000007</v>
      </c>
      <c r="N141" s="28"/>
    </row>
    <row r="142" spans="1:74" ht="14.4" x14ac:dyDescent="0.3">
      <c r="A142" s="75"/>
      <c r="D142" s="25" t="s">
        <v>94</v>
      </c>
      <c r="E142" s="26" t="s">
        <v>95</v>
      </c>
      <c r="G142" s="27">
        <v>4.9530000000000003</v>
      </c>
      <c r="N142" s="28"/>
    </row>
    <row r="143" spans="1:74" ht="14.4" x14ac:dyDescent="0.3">
      <c r="A143" s="75"/>
      <c r="D143" s="25" t="s">
        <v>99</v>
      </c>
      <c r="E143" s="26" t="s">
        <v>119</v>
      </c>
      <c r="G143" s="27">
        <v>41.496000000000002</v>
      </c>
      <c r="N143" s="28"/>
    </row>
    <row r="144" spans="1:74" ht="14.4" x14ac:dyDescent="0.3">
      <c r="A144" s="75"/>
      <c r="D144" s="25" t="s">
        <v>288</v>
      </c>
      <c r="E144" s="26" t="s">
        <v>121</v>
      </c>
      <c r="G144" s="27">
        <v>21.06</v>
      </c>
      <c r="N144" s="28"/>
    </row>
    <row r="145" spans="1:74" ht="14.4" x14ac:dyDescent="0.3">
      <c r="A145" s="75"/>
      <c r="D145" s="25" t="s">
        <v>87</v>
      </c>
      <c r="E145" s="26" t="s">
        <v>88</v>
      </c>
      <c r="G145" s="27">
        <v>2.1669999999999998</v>
      </c>
      <c r="N145" s="28"/>
    </row>
    <row r="146" spans="1:74" ht="26.4" x14ac:dyDescent="0.3">
      <c r="A146" s="74" t="s">
        <v>289</v>
      </c>
      <c r="B146" s="2" t="s">
        <v>21</v>
      </c>
      <c r="C146" s="2" t="s">
        <v>290</v>
      </c>
      <c r="D146" s="152" t="s">
        <v>291</v>
      </c>
      <c r="E146" s="153"/>
      <c r="F146" s="2" t="s">
        <v>292</v>
      </c>
      <c r="G146" s="7">
        <v>10</v>
      </c>
      <c r="H146" s="86">
        <v>0</v>
      </c>
      <c r="I146" s="7">
        <f t="shared" ref="I146:I154" si="24">G146*AM146</f>
        <v>0</v>
      </c>
      <c r="J146" s="7">
        <f t="shared" ref="J146:J154" si="25">G146*AN146</f>
        <v>0</v>
      </c>
      <c r="K146" s="7">
        <f t="shared" ref="K146:K154" si="26">G146*H146</f>
        <v>0</v>
      </c>
      <c r="L146" s="7">
        <v>7.0000000000000007E-2</v>
      </c>
      <c r="M146" s="7">
        <f t="shared" ref="M146:M154" si="27">G146*L146</f>
        <v>0.70000000000000007</v>
      </c>
      <c r="N146" s="24" t="s">
        <v>144</v>
      </c>
      <c r="X146" s="7">
        <f t="shared" ref="X146:X154" si="28">IF(AO146="5",BH146,0)</f>
        <v>0</v>
      </c>
      <c r="Z146" s="7">
        <f t="shared" ref="Z146:Z154" si="29">IF(AO146="1",BF146,0)</f>
        <v>0</v>
      </c>
      <c r="AA146" s="7">
        <f t="shared" ref="AA146:AA154" si="30">IF(AO146="1",BG146,0)</f>
        <v>0</v>
      </c>
      <c r="AB146" s="7">
        <f t="shared" ref="AB146:AB154" si="31">IF(AO146="7",BF146,0)</f>
        <v>0</v>
      </c>
      <c r="AC146" s="7">
        <f t="shared" ref="AC146:AC154" si="32">IF(AO146="7",BG146,0)</f>
        <v>0</v>
      </c>
      <c r="AD146" s="7">
        <f t="shared" ref="AD146:AD154" si="33">IF(AO146="2",BF146,0)</f>
        <v>0</v>
      </c>
      <c r="AE146" s="7">
        <f t="shared" ref="AE146:AE154" si="34">IF(AO146="2",BG146,0)</f>
        <v>0</v>
      </c>
      <c r="AF146" s="7">
        <f t="shared" ref="AF146:AF154" si="35">IF(AO146="0",BH146,0)</f>
        <v>0</v>
      </c>
      <c r="AG146" s="13" t="s">
        <v>21</v>
      </c>
      <c r="AH146" s="7">
        <f t="shared" ref="AH146:AH154" si="36">IF(AL146=0,K146,0)</f>
        <v>0</v>
      </c>
      <c r="AI146" s="7">
        <f t="shared" ref="AI146:AI154" si="37">IF(AL146=12,K146,0)</f>
        <v>0</v>
      </c>
      <c r="AJ146" s="7">
        <f t="shared" ref="AJ146:AJ154" si="38">IF(AL146=21,K146,0)</f>
        <v>0</v>
      </c>
      <c r="AL146" s="7">
        <v>21</v>
      </c>
      <c r="AM146" s="7">
        <f t="shared" ref="AM146:AM153" si="39">H146*1</f>
        <v>0</v>
      </c>
      <c r="AN146" s="7">
        <f t="shared" ref="AN146:AN153" si="40">H146*(1-1)</f>
        <v>0</v>
      </c>
      <c r="AO146" s="23" t="s">
        <v>123</v>
      </c>
      <c r="AT146" s="7">
        <f t="shared" ref="AT146:AT154" si="41">AU146+AV146</f>
        <v>0</v>
      </c>
      <c r="AU146" s="7">
        <f t="shared" ref="AU146:AU154" si="42">G146*AM146</f>
        <v>0</v>
      </c>
      <c r="AV146" s="7">
        <f t="shared" ref="AV146:AV154" si="43">G146*AN146</f>
        <v>0</v>
      </c>
      <c r="AW146" s="23" t="s">
        <v>286</v>
      </c>
      <c r="AX146" s="23" t="s">
        <v>218</v>
      </c>
      <c r="AY146" s="13" t="s">
        <v>79</v>
      </c>
      <c r="BA146" s="7">
        <f t="shared" ref="BA146:BA154" si="44">AU146+AV146</f>
        <v>0</v>
      </c>
      <c r="BB146" s="7">
        <f t="shared" ref="BB146:BB154" si="45">H146/(100-BC146)*100</f>
        <v>0</v>
      </c>
      <c r="BC146" s="7">
        <v>0</v>
      </c>
      <c r="BD146" s="7">
        <f t="shared" ref="BD146:BD154" si="46">M146</f>
        <v>0.70000000000000007</v>
      </c>
      <c r="BF146" s="7">
        <f t="shared" ref="BF146:BF154" si="47">G146*AM146</f>
        <v>0</v>
      </c>
      <c r="BG146" s="7">
        <f t="shared" ref="BG146:BG154" si="48">G146*AN146</f>
        <v>0</v>
      </c>
      <c r="BH146" s="7">
        <f t="shared" ref="BH146:BH154" si="49">G146*H146</f>
        <v>0</v>
      </c>
      <c r="BI146" s="7"/>
      <c r="BJ146" s="7">
        <v>767</v>
      </c>
      <c r="BU146" s="7" t="e">
        <f>#REF!</f>
        <v>#REF!</v>
      </c>
      <c r="BV146" s="3" t="s">
        <v>291</v>
      </c>
    </row>
    <row r="147" spans="1:74" ht="26.4" x14ac:dyDescent="0.3">
      <c r="A147" s="74" t="s">
        <v>293</v>
      </c>
      <c r="B147" s="2" t="s">
        <v>21</v>
      </c>
      <c r="C147" s="2" t="s">
        <v>294</v>
      </c>
      <c r="D147" s="152" t="s">
        <v>295</v>
      </c>
      <c r="E147" s="153"/>
      <c r="F147" s="2" t="s">
        <v>292</v>
      </c>
      <c r="G147" s="7">
        <v>38</v>
      </c>
      <c r="H147" s="86">
        <v>0</v>
      </c>
      <c r="I147" s="7">
        <f t="shared" si="24"/>
        <v>0</v>
      </c>
      <c r="J147" s="7">
        <f t="shared" si="25"/>
        <v>0</v>
      </c>
      <c r="K147" s="7">
        <f t="shared" si="26"/>
        <v>0</v>
      </c>
      <c r="L147" s="7">
        <v>0.2</v>
      </c>
      <c r="M147" s="7">
        <f t="shared" si="27"/>
        <v>7.6000000000000005</v>
      </c>
      <c r="N147" s="24" t="s">
        <v>144</v>
      </c>
      <c r="X147" s="7">
        <f t="shared" si="28"/>
        <v>0</v>
      </c>
      <c r="Z147" s="7">
        <f t="shared" si="29"/>
        <v>0</v>
      </c>
      <c r="AA147" s="7">
        <f t="shared" si="30"/>
        <v>0</v>
      </c>
      <c r="AB147" s="7">
        <f t="shared" si="31"/>
        <v>0</v>
      </c>
      <c r="AC147" s="7">
        <f t="shared" si="32"/>
        <v>0</v>
      </c>
      <c r="AD147" s="7">
        <f t="shared" si="33"/>
        <v>0</v>
      </c>
      <c r="AE147" s="7">
        <f t="shared" si="34"/>
        <v>0</v>
      </c>
      <c r="AF147" s="7">
        <f t="shared" si="35"/>
        <v>0</v>
      </c>
      <c r="AG147" s="13" t="s">
        <v>21</v>
      </c>
      <c r="AH147" s="7">
        <f t="shared" si="36"/>
        <v>0</v>
      </c>
      <c r="AI147" s="7">
        <f t="shared" si="37"/>
        <v>0</v>
      </c>
      <c r="AJ147" s="7">
        <f t="shared" si="38"/>
        <v>0</v>
      </c>
      <c r="AL147" s="7">
        <v>21</v>
      </c>
      <c r="AM147" s="7">
        <f t="shared" si="39"/>
        <v>0</v>
      </c>
      <c r="AN147" s="7">
        <f t="shared" si="40"/>
        <v>0</v>
      </c>
      <c r="AO147" s="23" t="s">
        <v>123</v>
      </c>
      <c r="AT147" s="7">
        <f t="shared" si="41"/>
        <v>0</v>
      </c>
      <c r="AU147" s="7">
        <f t="shared" si="42"/>
        <v>0</v>
      </c>
      <c r="AV147" s="7">
        <f t="shared" si="43"/>
        <v>0</v>
      </c>
      <c r="AW147" s="23" t="s">
        <v>286</v>
      </c>
      <c r="AX147" s="23" t="s">
        <v>218</v>
      </c>
      <c r="AY147" s="13" t="s">
        <v>79</v>
      </c>
      <c r="BA147" s="7">
        <f t="shared" si="44"/>
        <v>0</v>
      </c>
      <c r="BB147" s="7">
        <f t="shared" si="45"/>
        <v>0</v>
      </c>
      <c r="BC147" s="7">
        <v>0</v>
      </c>
      <c r="BD147" s="7">
        <f t="shared" si="46"/>
        <v>7.6000000000000005</v>
      </c>
      <c r="BF147" s="7">
        <f t="shared" si="47"/>
        <v>0</v>
      </c>
      <c r="BG147" s="7">
        <f t="shared" si="48"/>
        <v>0</v>
      </c>
      <c r="BH147" s="7">
        <f t="shared" si="49"/>
        <v>0</v>
      </c>
      <c r="BI147" s="7"/>
      <c r="BJ147" s="7">
        <v>767</v>
      </c>
      <c r="BU147" s="7" t="e">
        <f>#REF!</f>
        <v>#REF!</v>
      </c>
      <c r="BV147" s="3" t="s">
        <v>295</v>
      </c>
    </row>
    <row r="148" spans="1:74" ht="26.4" x14ac:dyDescent="0.3">
      <c r="A148" s="74" t="s">
        <v>296</v>
      </c>
      <c r="B148" s="2" t="s">
        <v>21</v>
      </c>
      <c r="C148" s="2" t="s">
        <v>297</v>
      </c>
      <c r="D148" s="152" t="s">
        <v>298</v>
      </c>
      <c r="E148" s="153"/>
      <c r="F148" s="2" t="s">
        <v>292</v>
      </c>
      <c r="G148" s="7">
        <v>2</v>
      </c>
      <c r="H148" s="86">
        <v>0</v>
      </c>
      <c r="I148" s="7">
        <f t="shared" si="24"/>
        <v>0</v>
      </c>
      <c r="J148" s="7">
        <f t="shared" si="25"/>
        <v>0</v>
      </c>
      <c r="K148" s="7">
        <f t="shared" si="26"/>
        <v>0</v>
      </c>
      <c r="L148" s="7">
        <v>0.19</v>
      </c>
      <c r="M148" s="7">
        <f t="shared" si="27"/>
        <v>0.38</v>
      </c>
      <c r="N148" s="24" t="s">
        <v>144</v>
      </c>
      <c r="X148" s="7">
        <f t="shared" si="28"/>
        <v>0</v>
      </c>
      <c r="Z148" s="7">
        <f t="shared" si="29"/>
        <v>0</v>
      </c>
      <c r="AA148" s="7">
        <f t="shared" si="30"/>
        <v>0</v>
      </c>
      <c r="AB148" s="7">
        <f t="shared" si="31"/>
        <v>0</v>
      </c>
      <c r="AC148" s="7">
        <f t="shared" si="32"/>
        <v>0</v>
      </c>
      <c r="AD148" s="7">
        <f t="shared" si="33"/>
        <v>0</v>
      </c>
      <c r="AE148" s="7">
        <f t="shared" si="34"/>
        <v>0</v>
      </c>
      <c r="AF148" s="7">
        <f t="shared" si="35"/>
        <v>0</v>
      </c>
      <c r="AG148" s="13" t="s">
        <v>21</v>
      </c>
      <c r="AH148" s="7">
        <f t="shared" si="36"/>
        <v>0</v>
      </c>
      <c r="AI148" s="7">
        <f t="shared" si="37"/>
        <v>0</v>
      </c>
      <c r="AJ148" s="7">
        <f t="shared" si="38"/>
        <v>0</v>
      </c>
      <c r="AL148" s="7">
        <v>21</v>
      </c>
      <c r="AM148" s="7">
        <f t="shared" si="39"/>
        <v>0</v>
      </c>
      <c r="AN148" s="7">
        <f t="shared" si="40"/>
        <v>0</v>
      </c>
      <c r="AO148" s="23" t="s">
        <v>123</v>
      </c>
      <c r="AT148" s="7">
        <f t="shared" si="41"/>
        <v>0</v>
      </c>
      <c r="AU148" s="7">
        <f t="shared" si="42"/>
        <v>0</v>
      </c>
      <c r="AV148" s="7">
        <f t="shared" si="43"/>
        <v>0</v>
      </c>
      <c r="AW148" s="23" t="s">
        <v>286</v>
      </c>
      <c r="AX148" s="23" t="s">
        <v>218</v>
      </c>
      <c r="AY148" s="13" t="s">
        <v>79</v>
      </c>
      <c r="BA148" s="7">
        <f t="shared" si="44"/>
        <v>0</v>
      </c>
      <c r="BB148" s="7">
        <f t="shared" si="45"/>
        <v>0</v>
      </c>
      <c r="BC148" s="7">
        <v>0</v>
      </c>
      <c r="BD148" s="7">
        <f t="shared" si="46"/>
        <v>0.38</v>
      </c>
      <c r="BF148" s="7">
        <f t="shared" si="47"/>
        <v>0</v>
      </c>
      <c r="BG148" s="7">
        <f t="shared" si="48"/>
        <v>0</v>
      </c>
      <c r="BH148" s="7">
        <f t="shared" si="49"/>
        <v>0</v>
      </c>
      <c r="BI148" s="7"/>
      <c r="BJ148" s="7">
        <v>767</v>
      </c>
      <c r="BU148" s="7" t="e">
        <f>#REF!</f>
        <v>#REF!</v>
      </c>
      <c r="BV148" s="3" t="s">
        <v>298</v>
      </c>
    </row>
    <row r="149" spans="1:74" ht="26.4" x14ac:dyDescent="0.3">
      <c r="A149" s="74" t="s">
        <v>299</v>
      </c>
      <c r="B149" s="2" t="s">
        <v>21</v>
      </c>
      <c r="C149" s="2" t="s">
        <v>300</v>
      </c>
      <c r="D149" s="152" t="s">
        <v>301</v>
      </c>
      <c r="E149" s="153"/>
      <c r="F149" s="2" t="s">
        <v>292</v>
      </c>
      <c r="G149" s="7">
        <v>4</v>
      </c>
      <c r="H149" s="86">
        <v>0</v>
      </c>
      <c r="I149" s="7">
        <f t="shared" si="24"/>
        <v>0</v>
      </c>
      <c r="J149" s="7">
        <f t="shared" si="25"/>
        <v>0</v>
      </c>
      <c r="K149" s="7">
        <f t="shared" si="26"/>
        <v>0</v>
      </c>
      <c r="L149" s="7">
        <v>0.85</v>
      </c>
      <c r="M149" s="7">
        <f t="shared" si="27"/>
        <v>3.4</v>
      </c>
      <c r="N149" s="24" t="s">
        <v>144</v>
      </c>
      <c r="X149" s="7">
        <f t="shared" si="28"/>
        <v>0</v>
      </c>
      <c r="Z149" s="7">
        <f t="shared" si="29"/>
        <v>0</v>
      </c>
      <c r="AA149" s="7">
        <f t="shared" si="30"/>
        <v>0</v>
      </c>
      <c r="AB149" s="7">
        <f t="shared" si="31"/>
        <v>0</v>
      </c>
      <c r="AC149" s="7">
        <f t="shared" si="32"/>
        <v>0</v>
      </c>
      <c r="AD149" s="7">
        <f t="shared" si="33"/>
        <v>0</v>
      </c>
      <c r="AE149" s="7">
        <f t="shared" si="34"/>
        <v>0</v>
      </c>
      <c r="AF149" s="7">
        <f t="shared" si="35"/>
        <v>0</v>
      </c>
      <c r="AG149" s="13" t="s">
        <v>21</v>
      </c>
      <c r="AH149" s="7">
        <f t="shared" si="36"/>
        <v>0</v>
      </c>
      <c r="AI149" s="7">
        <f t="shared" si="37"/>
        <v>0</v>
      </c>
      <c r="AJ149" s="7">
        <f t="shared" si="38"/>
        <v>0</v>
      </c>
      <c r="AL149" s="7">
        <v>21</v>
      </c>
      <c r="AM149" s="7">
        <f t="shared" si="39"/>
        <v>0</v>
      </c>
      <c r="AN149" s="7">
        <f t="shared" si="40"/>
        <v>0</v>
      </c>
      <c r="AO149" s="23" t="s">
        <v>123</v>
      </c>
      <c r="AT149" s="7">
        <f t="shared" si="41"/>
        <v>0</v>
      </c>
      <c r="AU149" s="7">
        <f t="shared" si="42"/>
        <v>0</v>
      </c>
      <c r="AV149" s="7">
        <f t="shared" si="43"/>
        <v>0</v>
      </c>
      <c r="AW149" s="23" t="s">
        <v>286</v>
      </c>
      <c r="AX149" s="23" t="s">
        <v>218</v>
      </c>
      <c r="AY149" s="13" t="s">
        <v>79</v>
      </c>
      <c r="BA149" s="7">
        <f t="shared" si="44"/>
        <v>0</v>
      </c>
      <c r="BB149" s="7">
        <f t="shared" si="45"/>
        <v>0</v>
      </c>
      <c r="BC149" s="7">
        <v>0</v>
      </c>
      <c r="BD149" s="7">
        <f t="shared" si="46"/>
        <v>3.4</v>
      </c>
      <c r="BF149" s="7">
        <f t="shared" si="47"/>
        <v>0</v>
      </c>
      <c r="BG149" s="7">
        <f t="shared" si="48"/>
        <v>0</v>
      </c>
      <c r="BH149" s="7">
        <f t="shared" si="49"/>
        <v>0</v>
      </c>
      <c r="BI149" s="7"/>
      <c r="BJ149" s="7">
        <v>767</v>
      </c>
      <c r="BU149" s="7" t="e">
        <f>#REF!</f>
        <v>#REF!</v>
      </c>
      <c r="BV149" s="3" t="s">
        <v>301</v>
      </c>
    </row>
    <row r="150" spans="1:74" ht="26.4" x14ac:dyDescent="0.3">
      <c r="A150" s="74" t="s">
        <v>302</v>
      </c>
      <c r="B150" s="2" t="s">
        <v>21</v>
      </c>
      <c r="C150" s="2" t="s">
        <v>303</v>
      </c>
      <c r="D150" s="152" t="s">
        <v>304</v>
      </c>
      <c r="E150" s="153"/>
      <c r="F150" s="2" t="s">
        <v>292</v>
      </c>
      <c r="G150" s="7">
        <v>35</v>
      </c>
      <c r="H150" s="86">
        <v>0</v>
      </c>
      <c r="I150" s="7">
        <f t="shared" si="24"/>
        <v>0</v>
      </c>
      <c r="J150" s="7">
        <f t="shared" si="25"/>
        <v>0</v>
      </c>
      <c r="K150" s="7">
        <f t="shared" si="26"/>
        <v>0</v>
      </c>
      <c r="L150" s="7">
        <v>7.0000000000000007E-2</v>
      </c>
      <c r="M150" s="7">
        <f t="shared" si="27"/>
        <v>2.4500000000000002</v>
      </c>
      <c r="N150" s="24" t="s">
        <v>144</v>
      </c>
      <c r="X150" s="7">
        <f t="shared" si="28"/>
        <v>0</v>
      </c>
      <c r="Z150" s="7">
        <f t="shared" si="29"/>
        <v>0</v>
      </c>
      <c r="AA150" s="7">
        <f t="shared" si="30"/>
        <v>0</v>
      </c>
      <c r="AB150" s="7">
        <f t="shared" si="31"/>
        <v>0</v>
      </c>
      <c r="AC150" s="7">
        <f t="shared" si="32"/>
        <v>0</v>
      </c>
      <c r="AD150" s="7">
        <f t="shared" si="33"/>
        <v>0</v>
      </c>
      <c r="AE150" s="7">
        <f t="shared" si="34"/>
        <v>0</v>
      </c>
      <c r="AF150" s="7">
        <f t="shared" si="35"/>
        <v>0</v>
      </c>
      <c r="AG150" s="13" t="s">
        <v>21</v>
      </c>
      <c r="AH150" s="7">
        <f t="shared" si="36"/>
        <v>0</v>
      </c>
      <c r="AI150" s="7">
        <f t="shared" si="37"/>
        <v>0</v>
      </c>
      <c r="AJ150" s="7">
        <f t="shared" si="38"/>
        <v>0</v>
      </c>
      <c r="AL150" s="7">
        <v>21</v>
      </c>
      <c r="AM150" s="7">
        <f t="shared" si="39"/>
        <v>0</v>
      </c>
      <c r="AN150" s="7">
        <f t="shared" si="40"/>
        <v>0</v>
      </c>
      <c r="AO150" s="23" t="s">
        <v>123</v>
      </c>
      <c r="AT150" s="7">
        <f t="shared" si="41"/>
        <v>0</v>
      </c>
      <c r="AU150" s="7">
        <f t="shared" si="42"/>
        <v>0</v>
      </c>
      <c r="AV150" s="7">
        <f t="shared" si="43"/>
        <v>0</v>
      </c>
      <c r="AW150" s="23" t="s">
        <v>286</v>
      </c>
      <c r="AX150" s="23" t="s">
        <v>218</v>
      </c>
      <c r="AY150" s="13" t="s">
        <v>79</v>
      </c>
      <c r="BA150" s="7">
        <f t="shared" si="44"/>
        <v>0</v>
      </c>
      <c r="BB150" s="7">
        <f t="shared" si="45"/>
        <v>0</v>
      </c>
      <c r="BC150" s="7">
        <v>0</v>
      </c>
      <c r="BD150" s="7">
        <f t="shared" si="46"/>
        <v>2.4500000000000002</v>
      </c>
      <c r="BF150" s="7">
        <f t="shared" si="47"/>
        <v>0</v>
      </c>
      <c r="BG150" s="7">
        <f t="shared" si="48"/>
        <v>0</v>
      </c>
      <c r="BH150" s="7">
        <f t="shared" si="49"/>
        <v>0</v>
      </c>
      <c r="BI150" s="7"/>
      <c r="BJ150" s="7">
        <v>767</v>
      </c>
      <c r="BU150" s="7" t="e">
        <f>#REF!</f>
        <v>#REF!</v>
      </c>
      <c r="BV150" s="3" t="s">
        <v>304</v>
      </c>
    </row>
    <row r="151" spans="1:74" ht="26.4" x14ac:dyDescent="0.3">
      <c r="A151" s="74" t="s">
        <v>305</v>
      </c>
      <c r="B151" s="2" t="s">
        <v>21</v>
      </c>
      <c r="C151" s="2" t="s">
        <v>306</v>
      </c>
      <c r="D151" s="152" t="s">
        <v>307</v>
      </c>
      <c r="E151" s="153"/>
      <c r="F151" s="2" t="s">
        <v>292</v>
      </c>
      <c r="G151" s="7">
        <v>2</v>
      </c>
      <c r="H151" s="86">
        <v>0</v>
      </c>
      <c r="I151" s="7">
        <f t="shared" si="24"/>
        <v>0</v>
      </c>
      <c r="J151" s="7">
        <f t="shared" si="25"/>
        <v>0</v>
      </c>
      <c r="K151" s="7">
        <f t="shared" si="26"/>
        <v>0</v>
      </c>
      <c r="L151" s="7">
        <v>0.09</v>
      </c>
      <c r="M151" s="7">
        <f t="shared" si="27"/>
        <v>0.18</v>
      </c>
      <c r="N151" s="24" t="s">
        <v>144</v>
      </c>
      <c r="X151" s="7">
        <f t="shared" si="28"/>
        <v>0</v>
      </c>
      <c r="Z151" s="7">
        <f t="shared" si="29"/>
        <v>0</v>
      </c>
      <c r="AA151" s="7">
        <f t="shared" si="30"/>
        <v>0</v>
      </c>
      <c r="AB151" s="7">
        <f t="shared" si="31"/>
        <v>0</v>
      </c>
      <c r="AC151" s="7">
        <f t="shared" si="32"/>
        <v>0</v>
      </c>
      <c r="AD151" s="7">
        <f t="shared" si="33"/>
        <v>0</v>
      </c>
      <c r="AE151" s="7">
        <f t="shared" si="34"/>
        <v>0</v>
      </c>
      <c r="AF151" s="7">
        <f t="shared" si="35"/>
        <v>0</v>
      </c>
      <c r="AG151" s="13" t="s">
        <v>21</v>
      </c>
      <c r="AH151" s="7">
        <f t="shared" si="36"/>
        <v>0</v>
      </c>
      <c r="AI151" s="7">
        <f t="shared" si="37"/>
        <v>0</v>
      </c>
      <c r="AJ151" s="7">
        <f t="shared" si="38"/>
        <v>0</v>
      </c>
      <c r="AL151" s="7">
        <v>21</v>
      </c>
      <c r="AM151" s="7">
        <f t="shared" si="39"/>
        <v>0</v>
      </c>
      <c r="AN151" s="7">
        <f t="shared" si="40"/>
        <v>0</v>
      </c>
      <c r="AO151" s="23" t="s">
        <v>123</v>
      </c>
      <c r="AT151" s="7">
        <f t="shared" si="41"/>
        <v>0</v>
      </c>
      <c r="AU151" s="7">
        <f t="shared" si="42"/>
        <v>0</v>
      </c>
      <c r="AV151" s="7">
        <f t="shared" si="43"/>
        <v>0</v>
      </c>
      <c r="AW151" s="23" t="s">
        <v>286</v>
      </c>
      <c r="AX151" s="23" t="s">
        <v>218</v>
      </c>
      <c r="AY151" s="13" t="s">
        <v>79</v>
      </c>
      <c r="BA151" s="7">
        <f t="shared" si="44"/>
        <v>0</v>
      </c>
      <c r="BB151" s="7">
        <f t="shared" si="45"/>
        <v>0</v>
      </c>
      <c r="BC151" s="7">
        <v>0</v>
      </c>
      <c r="BD151" s="7">
        <f t="shared" si="46"/>
        <v>0.18</v>
      </c>
      <c r="BF151" s="7">
        <f t="shared" si="47"/>
        <v>0</v>
      </c>
      <c r="BG151" s="7">
        <f t="shared" si="48"/>
        <v>0</v>
      </c>
      <c r="BH151" s="7">
        <f t="shared" si="49"/>
        <v>0</v>
      </c>
      <c r="BI151" s="7"/>
      <c r="BJ151" s="7">
        <v>767</v>
      </c>
      <c r="BU151" s="7" t="e">
        <f>#REF!</f>
        <v>#REF!</v>
      </c>
      <c r="BV151" s="3" t="s">
        <v>307</v>
      </c>
    </row>
    <row r="152" spans="1:74" ht="26.4" x14ac:dyDescent="0.3">
      <c r="A152" s="74" t="s">
        <v>308</v>
      </c>
      <c r="B152" s="2" t="s">
        <v>21</v>
      </c>
      <c r="C152" s="2" t="s">
        <v>309</v>
      </c>
      <c r="D152" s="152" t="s">
        <v>310</v>
      </c>
      <c r="E152" s="153"/>
      <c r="F152" s="2" t="s">
        <v>292</v>
      </c>
      <c r="G152" s="7">
        <v>2</v>
      </c>
      <c r="H152" s="86">
        <v>0</v>
      </c>
      <c r="I152" s="7">
        <f t="shared" si="24"/>
        <v>0</v>
      </c>
      <c r="J152" s="7">
        <f t="shared" si="25"/>
        <v>0</v>
      </c>
      <c r="K152" s="7">
        <f t="shared" si="26"/>
        <v>0</v>
      </c>
      <c r="L152" s="7">
        <v>0.11</v>
      </c>
      <c r="M152" s="7">
        <f t="shared" si="27"/>
        <v>0.22</v>
      </c>
      <c r="N152" s="24" t="s">
        <v>144</v>
      </c>
      <c r="X152" s="7">
        <f t="shared" si="28"/>
        <v>0</v>
      </c>
      <c r="Z152" s="7">
        <f t="shared" si="29"/>
        <v>0</v>
      </c>
      <c r="AA152" s="7">
        <f t="shared" si="30"/>
        <v>0</v>
      </c>
      <c r="AB152" s="7">
        <f t="shared" si="31"/>
        <v>0</v>
      </c>
      <c r="AC152" s="7">
        <f t="shared" si="32"/>
        <v>0</v>
      </c>
      <c r="AD152" s="7">
        <f t="shared" si="33"/>
        <v>0</v>
      </c>
      <c r="AE152" s="7">
        <f t="shared" si="34"/>
        <v>0</v>
      </c>
      <c r="AF152" s="7">
        <f t="shared" si="35"/>
        <v>0</v>
      </c>
      <c r="AG152" s="13" t="s">
        <v>21</v>
      </c>
      <c r="AH152" s="7">
        <f t="shared" si="36"/>
        <v>0</v>
      </c>
      <c r="AI152" s="7">
        <f t="shared" si="37"/>
        <v>0</v>
      </c>
      <c r="AJ152" s="7">
        <f t="shared" si="38"/>
        <v>0</v>
      </c>
      <c r="AL152" s="7">
        <v>21</v>
      </c>
      <c r="AM152" s="7">
        <f t="shared" si="39"/>
        <v>0</v>
      </c>
      <c r="AN152" s="7">
        <f t="shared" si="40"/>
        <v>0</v>
      </c>
      <c r="AO152" s="23" t="s">
        <v>123</v>
      </c>
      <c r="AT152" s="7">
        <f t="shared" si="41"/>
        <v>0</v>
      </c>
      <c r="AU152" s="7">
        <f t="shared" si="42"/>
        <v>0</v>
      </c>
      <c r="AV152" s="7">
        <f t="shared" si="43"/>
        <v>0</v>
      </c>
      <c r="AW152" s="23" t="s">
        <v>286</v>
      </c>
      <c r="AX152" s="23" t="s">
        <v>218</v>
      </c>
      <c r="AY152" s="13" t="s">
        <v>79</v>
      </c>
      <c r="BA152" s="7">
        <f t="shared" si="44"/>
        <v>0</v>
      </c>
      <c r="BB152" s="7">
        <f t="shared" si="45"/>
        <v>0</v>
      </c>
      <c r="BC152" s="7">
        <v>0</v>
      </c>
      <c r="BD152" s="7">
        <f t="shared" si="46"/>
        <v>0.22</v>
      </c>
      <c r="BF152" s="7">
        <f t="shared" si="47"/>
        <v>0</v>
      </c>
      <c r="BG152" s="7">
        <f t="shared" si="48"/>
        <v>0</v>
      </c>
      <c r="BH152" s="7">
        <f t="shared" si="49"/>
        <v>0</v>
      </c>
      <c r="BI152" s="7"/>
      <c r="BJ152" s="7">
        <v>767</v>
      </c>
      <c r="BU152" s="7" t="e">
        <f>#REF!</f>
        <v>#REF!</v>
      </c>
      <c r="BV152" s="3" t="s">
        <v>310</v>
      </c>
    </row>
    <row r="153" spans="1:74" ht="26.4" x14ac:dyDescent="0.3">
      <c r="A153" s="74" t="s">
        <v>311</v>
      </c>
      <c r="B153" s="2" t="s">
        <v>21</v>
      </c>
      <c r="C153" s="2" t="s">
        <v>312</v>
      </c>
      <c r="D153" s="152" t="s">
        <v>313</v>
      </c>
      <c r="E153" s="153"/>
      <c r="F153" s="2" t="s">
        <v>292</v>
      </c>
      <c r="G153" s="7">
        <v>3</v>
      </c>
      <c r="H153" s="86">
        <v>0</v>
      </c>
      <c r="I153" s="7">
        <f t="shared" si="24"/>
        <v>0</v>
      </c>
      <c r="J153" s="7">
        <f t="shared" si="25"/>
        <v>0</v>
      </c>
      <c r="K153" s="7">
        <f t="shared" si="26"/>
        <v>0</v>
      </c>
      <c r="L153" s="7">
        <v>7.0000000000000007E-2</v>
      </c>
      <c r="M153" s="7">
        <f t="shared" si="27"/>
        <v>0.21000000000000002</v>
      </c>
      <c r="N153" s="24" t="s">
        <v>144</v>
      </c>
      <c r="X153" s="7">
        <f t="shared" si="28"/>
        <v>0</v>
      </c>
      <c r="Z153" s="7">
        <f t="shared" si="29"/>
        <v>0</v>
      </c>
      <c r="AA153" s="7">
        <f t="shared" si="30"/>
        <v>0</v>
      </c>
      <c r="AB153" s="7">
        <f t="shared" si="31"/>
        <v>0</v>
      </c>
      <c r="AC153" s="7">
        <f t="shared" si="32"/>
        <v>0</v>
      </c>
      <c r="AD153" s="7">
        <f t="shared" si="33"/>
        <v>0</v>
      </c>
      <c r="AE153" s="7">
        <f t="shared" si="34"/>
        <v>0</v>
      </c>
      <c r="AF153" s="7">
        <f t="shared" si="35"/>
        <v>0</v>
      </c>
      <c r="AG153" s="13" t="s">
        <v>21</v>
      </c>
      <c r="AH153" s="7">
        <f t="shared" si="36"/>
        <v>0</v>
      </c>
      <c r="AI153" s="7">
        <f t="shared" si="37"/>
        <v>0</v>
      </c>
      <c r="AJ153" s="7">
        <f t="shared" si="38"/>
        <v>0</v>
      </c>
      <c r="AL153" s="7">
        <v>21</v>
      </c>
      <c r="AM153" s="7">
        <f t="shared" si="39"/>
        <v>0</v>
      </c>
      <c r="AN153" s="7">
        <f t="shared" si="40"/>
        <v>0</v>
      </c>
      <c r="AO153" s="23" t="s">
        <v>123</v>
      </c>
      <c r="AT153" s="7">
        <f t="shared" si="41"/>
        <v>0</v>
      </c>
      <c r="AU153" s="7">
        <f t="shared" si="42"/>
        <v>0</v>
      </c>
      <c r="AV153" s="7">
        <f t="shared" si="43"/>
        <v>0</v>
      </c>
      <c r="AW153" s="23" t="s">
        <v>286</v>
      </c>
      <c r="AX153" s="23" t="s">
        <v>218</v>
      </c>
      <c r="AY153" s="13" t="s">
        <v>79</v>
      </c>
      <c r="BA153" s="7">
        <f t="shared" si="44"/>
        <v>0</v>
      </c>
      <c r="BB153" s="7">
        <f t="shared" si="45"/>
        <v>0</v>
      </c>
      <c r="BC153" s="7">
        <v>0</v>
      </c>
      <c r="BD153" s="7">
        <f t="shared" si="46"/>
        <v>0.21000000000000002</v>
      </c>
      <c r="BF153" s="7">
        <f t="shared" si="47"/>
        <v>0</v>
      </c>
      <c r="BG153" s="7">
        <f t="shared" si="48"/>
        <v>0</v>
      </c>
      <c r="BH153" s="7">
        <f t="shared" si="49"/>
        <v>0</v>
      </c>
      <c r="BI153" s="7"/>
      <c r="BJ153" s="7">
        <v>767</v>
      </c>
      <c r="BU153" s="7" t="e">
        <f>#REF!</f>
        <v>#REF!</v>
      </c>
      <c r="BV153" s="3" t="s">
        <v>313</v>
      </c>
    </row>
    <row r="154" spans="1:74" ht="14.4" x14ac:dyDescent="0.3">
      <c r="A154" s="74" t="s">
        <v>314</v>
      </c>
      <c r="B154" s="2" t="s">
        <v>21</v>
      </c>
      <c r="C154" s="2" t="s">
        <v>315</v>
      </c>
      <c r="D154" s="152" t="s">
        <v>316</v>
      </c>
      <c r="E154" s="153"/>
      <c r="F154" s="2" t="s">
        <v>74</v>
      </c>
      <c r="G154" s="7">
        <v>33.825000000000003</v>
      </c>
      <c r="H154" s="86">
        <v>0</v>
      </c>
      <c r="I154" s="7">
        <f t="shared" si="24"/>
        <v>0</v>
      </c>
      <c r="J154" s="7">
        <f t="shared" si="25"/>
        <v>0</v>
      </c>
      <c r="K154" s="7">
        <f t="shared" si="26"/>
        <v>0</v>
      </c>
      <c r="L154" s="7">
        <v>0</v>
      </c>
      <c r="M154" s="7">
        <f t="shared" si="27"/>
        <v>0</v>
      </c>
      <c r="N154" s="24" t="s">
        <v>144</v>
      </c>
      <c r="X154" s="7">
        <f t="shared" si="28"/>
        <v>0</v>
      </c>
      <c r="Z154" s="7">
        <f t="shared" si="29"/>
        <v>0</v>
      </c>
      <c r="AA154" s="7">
        <f t="shared" si="30"/>
        <v>0</v>
      </c>
      <c r="AB154" s="7">
        <f t="shared" si="31"/>
        <v>0</v>
      </c>
      <c r="AC154" s="7">
        <f t="shared" si="32"/>
        <v>0</v>
      </c>
      <c r="AD154" s="7">
        <f t="shared" si="33"/>
        <v>0</v>
      </c>
      <c r="AE154" s="7">
        <f t="shared" si="34"/>
        <v>0</v>
      </c>
      <c r="AF154" s="7">
        <f t="shared" si="35"/>
        <v>0</v>
      </c>
      <c r="AG154" s="13" t="s">
        <v>21</v>
      </c>
      <c r="AH154" s="7">
        <f t="shared" si="36"/>
        <v>0</v>
      </c>
      <c r="AI154" s="7">
        <f t="shared" si="37"/>
        <v>0</v>
      </c>
      <c r="AJ154" s="7">
        <f t="shared" si="38"/>
        <v>0</v>
      </c>
      <c r="AL154" s="7">
        <v>21</v>
      </c>
      <c r="AM154" s="7">
        <f>H154*0</f>
        <v>0</v>
      </c>
      <c r="AN154" s="7">
        <f>H154*(1-0)</f>
        <v>0</v>
      </c>
      <c r="AO154" s="23" t="s">
        <v>123</v>
      </c>
      <c r="AT154" s="7">
        <f t="shared" si="41"/>
        <v>0</v>
      </c>
      <c r="AU154" s="7">
        <f t="shared" si="42"/>
        <v>0</v>
      </c>
      <c r="AV154" s="7">
        <f t="shared" si="43"/>
        <v>0</v>
      </c>
      <c r="AW154" s="23" t="s">
        <v>286</v>
      </c>
      <c r="AX154" s="23" t="s">
        <v>218</v>
      </c>
      <c r="AY154" s="13" t="s">
        <v>79</v>
      </c>
      <c r="BA154" s="7">
        <f t="shared" si="44"/>
        <v>0</v>
      </c>
      <c r="BB154" s="7">
        <f t="shared" si="45"/>
        <v>0</v>
      </c>
      <c r="BC154" s="7">
        <v>0</v>
      </c>
      <c r="BD154" s="7">
        <f t="shared" si="46"/>
        <v>0</v>
      </c>
      <c r="BF154" s="7">
        <f t="shared" si="47"/>
        <v>0</v>
      </c>
      <c r="BG154" s="7">
        <f t="shared" si="48"/>
        <v>0</v>
      </c>
      <c r="BH154" s="7">
        <f t="shared" si="49"/>
        <v>0</v>
      </c>
      <c r="BI154" s="7"/>
      <c r="BJ154" s="7">
        <v>767</v>
      </c>
      <c r="BU154" s="7" t="e">
        <f>#REF!</f>
        <v>#REF!</v>
      </c>
      <c r="BV154" s="3" t="s">
        <v>316</v>
      </c>
    </row>
    <row r="155" spans="1:74" ht="14.4" x14ac:dyDescent="0.3">
      <c r="A155" s="75"/>
      <c r="D155" s="25" t="s">
        <v>317</v>
      </c>
      <c r="E155" s="26" t="s">
        <v>318</v>
      </c>
      <c r="G155" s="27">
        <v>29.52</v>
      </c>
      <c r="N155" s="28"/>
    </row>
    <row r="156" spans="1:74" ht="14.4" x14ac:dyDescent="0.3">
      <c r="A156" s="75"/>
      <c r="D156" s="25" t="s">
        <v>319</v>
      </c>
      <c r="E156" s="26" t="s">
        <v>320</v>
      </c>
      <c r="G156" s="27">
        <v>4.3049999999999997</v>
      </c>
      <c r="N156" s="28"/>
    </row>
    <row r="157" spans="1:74" ht="26.4" x14ac:dyDescent="0.3">
      <c r="A157" s="74" t="s">
        <v>321</v>
      </c>
      <c r="B157" s="2" t="s">
        <v>21</v>
      </c>
      <c r="C157" s="2" t="s">
        <v>322</v>
      </c>
      <c r="D157" s="152" t="s">
        <v>323</v>
      </c>
      <c r="E157" s="153"/>
      <c r="F157" s="2" t="s">
        <v>292</v>
      </c>
      <c r="G157" s="7">
        <v>36</v>
      </c>
      <c r="H157" s="86">
        <v>0</v>
      </c>
      <c r="I157" s="7">
        <f>G157*AM157</f>
        <v>0</v>
      </c>
      <c r="J157" s="7">
        <f>G157*AN157</f>
        <v>0</v>
      </c>
      <c r="K157" s="7">
        <f>G157*H157</f>
        <v>0</v>
      </c>
      <c r="L157" s="7">
        <v>7.0000000000000007E-2</v>
      </c>
      <c r="M157" s="7">
        <f>G157*L157</f>
        <v>2.5200000000000005</v>
      </c>
      <c r="N157" s="24" t="s">
        <v>144</v>
      </c>
      <c r="X157" s="7">
        <f>IF(AO157="5",BH157,0)</f>
        <v>0</v>
      </c>
      <c r="Z157" s="7">
        <f>IF(AO157="1",BF157,0)</f>
        <v>0</v>
      </c>
      <c r="AA157" s="7">
        <f>IF(AO157="1",BG157,0)</f>
        <v>0</v>
      </c>
      <c r="AB157" s="7">
        <f>IF(AO157="7",BF157,0)</f>
        <v>0</v>
      </c>
      <c r="AC157" s="7">
        <f>IF(AO157="7",BG157,0)</f>
        <v>0</v>
      </c>
      <c r="AD157" s="7">
        <f>IF(AO157="2",BF157,0)</f>
        <v>0</v>
      </c>
      <c r="AE157" s="7">
        <f>IF(AO157="2",BG157,0)</f>
        <v>0</v>
      </c>
      <c r="AF157" s="7">
        <f>IF(AO157="0",BH157,0)</f>
        <v>0</v>
      </c>
      <c r="AG157" s="13" t="s">
        <v>21</v>
      </c>
      <c r="AH157" s="7">
        <f>IF(AL157=0,K157,0)</f>
        <v>0</v>
      </c>
      <c r="AI157" s="7">
        <f>IF(AL157=12,K157,0)</f>
        <v>0</v>
      </c>
      <c r="AJ157" s="7">
        <f>IF(AL157=21,K157,0)</f>
        <v>0</v>
      </c>
      <c r="AL157" s="7">
        <v>21</v>
      </c>
      <c r="AM157" s="7">
        <f>H157*1</f>
        <v>0</v>
      </c>
      <c r="AN157" s="7">
        <f>H157*(1-1)</f>
        <v>0</v>
      </c>
      <c r="AO157" s="23" t="s">
        <v>123</v>
      </c>
      <c r="AT157" s="7">
        <f>AU157+AV157</f>
        <v>0</v>
      </c>
      <c r="AU157" s="7">
        <f>G157*AM157</f>
        <v>0</v>
      </c>
      <c r="AV157" s="7">
        <f>G157*AN157</f>
        <v>0</v>
      </c>
      <c r="AW157" s="23" t="s">
        <v>286</v>
      </c>
      <c r="AX157" s="23" t="s">
        <v>218</v>
      </c>
      <c r="AY157" s="13" t="s">
        <v>79</v>
      </c>
      <c r="BA157" s="7">
        <f>AU157+AV157</f>
        <v>0</v>
      </c>
      <c r="BB157" s="7">
        <f>H157/(100-BC157)*100</f>
        <v>0</v>
      </c>
      <c r="BC157" s="7">
        <v>0</v>
      </c>
      <c r="BD157" s="7">
        <f>M157</f>
        <v>2.5200000000000005</v>
      </c>
      <c r="BF157" s="7">
        <f>G157*AM157</f>
        <v>0</v>
      </c>
      <c r="BG157" s="7">
        <f>G157*AN157</f>
        <v>0</v>
      </c>
      <c r="BH157" s="7">
        <f>G157*H157</f>
        <v>0</v>
      </c>
      <c r="BI157" s="7"/>
      <c r="BJ157" s="7">
        <v>767</v>
      </c>
      <c r="BU157" s="7" t="e">
        <f>#REF!</f>
        <v>#REF!</v>
      </c>
      <c r="BV157" s="3" t="s">
        <v>323</v>
      </c>
    </row>
    <row r="158" spans="1:74" ht="26.4" x14ac:dyDescent="0.3">
      <c r="A158" s="74" t="s">
        <v>324</v>
      </c>
      <c r="B158" s="2" t="s">
        <v>21</v>
      </c>
      <c r="C158" s="2" t="s">
        <v>325</v>
      </c>
      <c r="D158" s="152" t="s">
        <v>326</v>
      </c>
      <c r="E158" s="153"/>
      <c r="F158" s="2" t="s">
        <v>292</v>
      </c>
      <c r="G158" s="7">
        <v>3</v>
      </c>
      <c r="H158" s="86">
        <v>0</v>
      </c>
      <c r="I158" s="7">
        <f>G158*AM158</f>
        <v>0</v>
      </c>
      <c r="J158" s="7">
        <f>G158*AN158</f>
        <v>0</v>
      </c>
      <c r="K158" s="7">
        <f>G158*H158</f>
        <v>0</v>
      </c>
      <c r="L158" s="7">
        <v>0.11</v>
      </c>
      <c r="M158" s="7">
        <f>G158*L158</f>
        <v>0.33</v>
      </c>
      <c r="N158" s="24" t="s">
        <v>144</v>
      </c>
      <c r="X158" s="7">
        <f>IF(AO158="5",BH158,0)</f>
        <v>0</v>
      </c>
      <c r="Z158" s="7">
        <f>IF(AO158="1",BF158,0)</f>
        <v>0</v>
      </c>
      <c r="AA158" s="7">
        <f>IF(AO158="1",BG158,0)</f>
        <v>0</v>
      </c>
      <c r="AB158" s="7">
        <f>IF(AO158="7",BF158,0)</f>
        <v>0</v>
      </c>
      <c r="AC158" s="7">
        <f>IF(AO158="7",BG158,0)</f>
        <v>0</v>
      </c>
      <c r="AD158" s="7">
        <f>IF(AO158="2",BF158,0)</f>
        <v>0</v>
      </c>
      <c r="AE158" s="7">
        <f>IF(AO158="2",BG158,0)</f>
        <v>0</v>
      </c>
      <c r="AF158" s="7">
        <f>IF(AO158="0",BH158,0)</f>
        <v>0</v>
      </c>
      <c r="AG158" s="13" t="s">
        <v>21</v>
      </c>
      <c r="AH158" s="7">
        <f>IF(AL158=0,K158,0)</f>
        <v>0</v>
      </c>
      <c r="AI158" s="7">
        <f>IF(AL158=12,K158,0)</f>
        <v>0</v>
      </c>
      <c r="AJ158" s="7">
        <f>IF(AL158=21,K158,0)</f>
        <v>0</v>
      </c>
      <c r="AL158" s="7">
        <v>21</v>
      </c>
      <c r="AM158" s="7">
        <f>H158*1</f>
        <v>0</v>
      </c>
      <c r="AN158" s="7">
        <f>H158*(1-1)</f>
        <v>0</v>
      </c>
      <c r="AO158" s="23" t="s">
        <v>123</v>
      </c>
      <c r="AT158" s="7">
        <f>AU158+AV158</f>
        <v>0</v>
      </c>
      <c r="AU158" s="7">
        <f>G158*AM158</f>
        <v>0</v>
      </c>
      <c r="AV158" s="7">
        <f>G158*AN158</f>
        <v>0</v>
      </c>
      <c r="AW158" s="23" t="s">
        <v>286</v>
      </c>
      <c r="AX158" s="23" t="s">
        <v>218</v>
      </c>
      <c r="AY158" s="13" t="s">
        <v>79</v>
      </c>
      <c r="BA158" s="7">
        <f>AU158+AV158</f>
        <v>0</v>
      </c>
      <c r="BB158" s="7">
        <f>H158/(100-BC158)*100</f>
        <v>0</v>
      </c>
      <c r="BC158" s="7">
        <v>0</v>
      </c>
      <c r="BD158" s="7">
        <f>M158</f>
        <v>0.33</v>
      </c>
      <c r="BF158" s="7">
        <f>G158*AM158</f>
        <v>0</v>
      </c>
      <c r="BG158" s="7">
        <f>G158*AN158</f>
        <v>0</v>
      </c>
      <c r="BH158" s="7">
        <f>G158*H158</f>
        <v>0</v>
      </c>
      <c r="BI158" s="7"/>
      <c r="BJ158" s="7">
        <v>767</v>
      </c>
      <c r="BU158" s="7" t="e">
        <f>#REF!</f>
        <v>#REF!</v>
      </c>
      <c r="BV158" s="3" t="s">
        <v>326</v>
      </c>
    </row>
    <row r="159" spans="1:74" ht="14.4" x14ac:dyDescent="0.3">
      <c r="A159" s="74" t="s">
        <v>327</v>
      </c>
      <c r="B159" s="2" t="s">
        <v>21</v>
      </c>
      <c r="C159" s="2" t="s">
        <v>328</v>
      </c>
      <c r="D159" s="152" t="s">
        <v>329</v>
      </c>
      <c r="E159" s="153"/>
      <c r="F159" s="2" t="s">
        <v>114</v>
      </c>
      <c r="G159" s="7">
        <v>14.76</v>
      </c>
      <c r="H159" s="86">
        <v>0</v>
      </c>
      <c r="I159" s="7">
        <f>G159*AM159</f>
        <v>0</v>
      </c>
      <c r="J159" s="7">
        <f>G159*AN159</f>
        <v>0</v>
      </c>
      <c r="K159" s="7">
        <f>G159*H159</f>
        <v>0</v>
      </c>
      <c r="L159" s="7">
        <v>1.0000000000000001E-5</v>
      </c>
      <c r="M159" s="7">
        <f>G159*L159</f>
        <v>1.4760000000000001E-4</v>
      </c>
      <c r="N159" s="24" t="s">
        <v>76</v>
      </c>
      <c r="X159" s="7">
        <f>IF(AO159="5",BH159,0)</f>
        <v>0</v>
      </c>
      <c r="Z159" s="7">
        <f>IF(AO159="1",BF159,0)</f>
        <v>0</v>
      </c>
      <c r="AA159" s="7">
        <f>IF(AO159="1",BG159,0)</f>
        <v>0</v>
      </c>
      <c r="AB159" s="7">
        <f>IF(AO159="7",BF159,0)</f>
        <v>0</v>
      </c>
      <c r="AC159" s="7">
        <f>IF(AO159="7",BG159,0)</f>
        <v>0</v>
      </c>
      <c r="AD159" s="7">
        <f>IF(AO159="2",BF159,0)</f>
        <v>0</v>
      </c>
      <c r="AE159" s="7">
        <f>IF(AO159="2",BG159,0)</f>
        <v>0</v>
      </c>
      <c r="AF159" s="7">
        <f>IF(AO159="0",BH159,0)</f>
        <v>0</v>
      </c>
      <c r="AG159" s="13" t="s">
        <v>21</v>
      </c>
      <c r="AH159" s="7">
        <f>IF(AL159=0,K159,0)</f>
        <v>0</v>
      </c>
      <c r="AI159" s="7">
        <f>IF(AL159=12,K159,0)</f>
        <v>0</v>
      </c>
      <c r="AJ159" s="7">
        <f>IF(AL159=21,K159,0)</f>
        <v>0</v>
      </c>
      <c r="AL159" s="7">
        <v>21</v>
      </c>
      <c r="AM159" s="7">
        <f>H159*0.082380952</f>
        <v>0</v>
      </c>
      <c r="AN159" s="7">
        <f>H159*(1-0.082380952)</f>
        <v>0</v>
      </c>
      <c r="AO159" s="23" t="s">
        <v>123</v>
      </c>
      <c r="AT159" s="7">
        <f>AU159+AV159</f>
        <v>0</v>
      </c>
      <c r="AU159" s="7">
        <f>G159*AM159</f>
        <v>0</v>
      </c>
      <c r="AV159" s="7">
        <f>G159*AN159</f>
        <v>0</v>
      </c>
      <c r="AW159" s="23" t="s">
        <v>286</v>
      </c>
      <c r="AX159" s="23" t="s">
        <v>218</v>
      </c>
      <c r="AY159" s="13" t="s">
        <v>79</v>
      </c>
      <c r="BA159" s="7">
        <f>AU159+AV159</f>
        <v>0</v>
      </c>
      <c r="BB159" s="7">
        <f>H159/(100-BC159)*100</f>
        <v>0</v>
      </c>
      <c r="BC159" s="7">
        <v>0</v>
      </c>
      <c r="BD159" s="7">
        <f>M159</f>
        <v>1.4760000000000001E-4</v>
      </c>
      <c r="BF159" s="7">
        <f>G159*AM159</f>
        <v>0</v>
      </c>
      <c r="BG159" s="7">
        <f>G159*AN159</f>
        <v>0</v>
      </c>
      <c r="BH159" s="7">
        <f>G159*H159</f>
        <v>0</v>
      </c>
      <c r="BI159" s="7"/>
      <c r="BJ159" s="7">
        <v>767</v>
      </c>
      <c r="BU159" s="7" t="e">
        <f>#REF!</f>
        <v>#REF!</v>
      </c>
      <c r="BV159" s="3" t="s">
        <v>329</v>
      </c>
    </row>
    <row r="160" spans="1:74" ht="14.4" x14ac:dyDescent="0.3">
      <c r="A160" s="75"/>
      <c r="D160" s="25" t="s">
        <v>330</v>
      </c>
      <c r="E160" s="26" t="s">
        <v>331</v>
      </c>
      <c r="G160" s="27">
        <v>8.5</v>
      </c>
      <c r="N160" s="28"/>
    </row>
    <row r="161" spans="1:74" ht="14.4" x14ac:dyDescent="0.3">
      <c r="A161" s="75"/>
      <c r="D161" s="25" t="s">
        <v>332</v>
      </c>
      <c r="E161" s="26" t="s">
        <v>333</v>
      </c>
      <c r="G161" s="27">
        <v>6.26</v>
      </c>
      <c r="N161" s="28"/>
    </row>
    <row r="162" spans="1:74" ht="26.4" x14ac:dyDescent="0.3">
      <c r="A162" s="74" t="s">
        <v>334</v>
      </c>
      <c r="B162" s="2" t="s">
        <v>21</v>
      </c>
      <c r="C162" s="2" t="s">
        <v>335</v>
      </c>
      <c r="D162" s="152" t="s">
        <v>336</v>
      </c>
      <c r="E162" s="153"/>
      <c r="F162" s="2" t="s">
        <v>292</v>
      </c>
      <c r="G162" s="7">
        <v>1</v>
      </c>
      <c r="H162" s="86">
        <v>0</v>
      </c>
      <c r="I162" s="7">
        <f>G162*AM162</f>
        <v>0</v>
      </c>
      <c r="J162" s="7">
        <f>G162*AN162</f>
        <v>0</v>
      </c>
      <c r="K162" s="7">
        <f>G162*H162</f>
        <v>0</v>
      </c>
      <c r="L162" s="7">
        <v>0.28000000000000003</v>
      </c>
      <c r="M162" s="7">
        <f>G162*L162</f>
        <v>0.28000000000000003</v>
      </c>
      <c r="N162" s="24" t="s">
        <v>144</v>
      </c>
      <c r="X162" s="7">
        <f>IF(AO162="5",BH162,0)</f>
        <v>0</v>
      </c>
      <c r="Z162" s="7">
        <f>IF(AO162="1",BF162,0)</f>
        <v>0</v>
      </c>
      <c r="AA162" s="7">
        <f>IF(AO162="1",BG162,0)</f>
        <v>0</v>
      </c>
      <c r="AB162" s="7">
        <f>IF(AO162="7",BF162,0)</f>
        <v>0</v>
      </c>
      <c r="AC162" s="7">
        <f>IF(AO162="7",BG162,0)</f>
        <v>0</v>
      </c>
      <c r="AD162" s="7">
        <f>IF(AO162="2",BF162,0)</f>
        <v>0</v>
      </c>
      <c r="AE162" s="7">
        <f>IF(AO162="2",BG162,0)</f>
        <v>0</v>
      </c>
      <c r="AF162" s="7">
        <f>IF(AO162="0",BH162,0)</f>
        <v>0</v>
      </c>
      <c r="AG162" s="13" t="s">
        <v>21</v>
      </c>
      <c r="AH162" s="7">
        <f>IF(AL162=0,K162,0)</f>
        <v>0</v>
      </c>
      <c r="AI162" s="7">
        <f>IF(AL162=12,K162,0)</f>
        <v>0</v>
      </c>
      <c r="AJ162" s="7">
        <f>IF(AL162=21,K162,0)</f>
        <v>0</v>
      </c>
      <c r="AL162" s="7">
        <v>21</v>
      </c>
      <c r="AM162" s="7">
        <f>H162*1</f>
        <v>0</v>
      </c>
      <c r="AN162" s="7">
        <f>H162*(1-1)</f>
        <v>0</v>
      </c>
      <c r="AO162" s="23" t="s">
        <v>123</v>
      </c>
      <c r="AT162" s="7">
        <f>AU162+AV162</f>
        <v>0</v>
      </c>
      <c r="AU162" s="7">
        <f>G162*AM162</f>
        <v>0</v>
      </c>
      <c r="AV162" s="7">
        <f>G162*AN162</f>
        <v>0</v>
      </c>
      <c r="AW162" s="23" t="s">
        <v>286</v>
      </c>
      <c r="AX162" s="23" t="s">
        <v>218</v>
      </c>
      <c r="AY162" s="13" t="s">
        <v>79</v>
      </c>
      <c r="BA162" s="7">
        <f>AU162+AV162</f>
        <v>0</v>
      </c>
      <c r="BB162" s="7">
        <f>H162/(100-BC162)*100</f>
        <v>0</v>
      </c>
      <c r="BC162" s="7">
        <v>0</v>
      </c>
      <c r="BD162" s="7">
        <f>M162</f>
        <v>0.28000000000000003</v>
      </c>
      <c r="BF162" s="7">
        <f>G162*AM162</f>
        <v>0</v>
      </c>
      <c r="BG162" s="7">
        <f>G162*AN162</f>
        <v>0</v>
      </c>
      <c r="BH162" s="7">
        <f>G162*H162</f>
        <v>0</v>
      </c>
      <c r="BI162" s="7"/>
      <c r="BJ162" s="7">
        <v>767</v>
      </c>
      <c r="BU162" s="7" t="e">
        <f>#REF!</f>
        <v>#REF!</v>
      </c>
      <c r="BV162" s="3" t="s">
        <v>336</v>
      </c>
    </row>
    <row r="163" spans="1:74" ht="26.4" x14ac:dyDescent="0.3">
      <c r="A163" s="74" t="s">
        <v>337</v>
      </c>
      <c r="B163" s="2" t="s">
        <v>21</v>
      </c>
      <c r="C163" s="2" t="s">
        <v>338</v>
      </c>
      <c r="D163" s="152" t="s">
        <v>339</v>
      </c>
      <c r="E163" s="153"/>
      <c r="F163" s="2" t="s">
        <v>292</v>
      </c>
      <c r="G163" s="7">
        <v>1</v>
      </c>
      <c r="H163" s="86">
        <v>0</v>
      </c>
      <c r="I163" s="7">
        <f>G163*AM163</f>
        <v>0</v>
      </c>
      <c r="J163" s="7">
        <f>G163*AN163</f>
        <v>0</v>
      </c>
      <c r="K163" s="7">
        <f>G163*H163</f>
        <v>0</v>
      </c>
      <c r="L163" s="7">
        <v>0.18</v>
      </c>
      <c r="M163" s="7">
        <f>G163*L163</f>
        <v>0.18</v>
      </c>
      <c r="N163" s="24" t="s">
        <v>144</v>
      </c>
      <c r="X163" s="7">
        <f>IF(AO163="5",BH163,0)</f>
        <v>0</v>
      </c>
      <c r="Z163" s="7">
        <f>IF(AO163="1",BF163,0)</f>
        <v>0</v>
      </c>
      <c r="AA163" s="7">
        <f>IF(AO163="1",BG163,0)</f>
        <v>0</v>
      </c>
      <c r="AB163" s="7">
        <f>IF(AO163="7",BF163,0)</f>
        <v>0</v>
      </c>
      <c r="AC163" s="7">
        <f>IF(AO163="7",BG163,0)</f>
        <v>0</v>
      </c>
      <c r="AD163" s="7">
        <f>IF(AO163="2",BF163,0)</f>
        <v>0</v>
      </c>
      <c r="AE163" s="7">
        <f>IF(AO163="2",BG163,0)</f>
        <v>0</v>
      </c>
      <c r="AF163" s="7">
        <f>IF(AO163="0",BH163,0)</f>
        <v>0</v>
      </c>
      <c r="AG163" s="13" t="s">
        <v>21</v>
      </c>
      <c r="AH163" s="7">
        <f>IF(AL163=0,K163,0)</f>
        <v>0</v>
      </c>
      <c r="AI163" s="7">
        <f>IF(AL163=12,K163,0)</f>
        <v>0</v>
      </c>
      <c r="AJ163" s="7">
        <f>IF(AL163=21,K163,0)</f>
        <v>0</v>
      </c>
      <c r="AL163" s="7">
        <v>21</v>
      </c>
      <c r="AM163" s="7">
        <f>H163*1</f>
        <v>0</v>
      </c>
      <c r="AN163" s="7">
        <f>H163*(1-1)</f>
        <v>0</v>
      </c>
      <c r="AO163" s="23" t="s">
        <v>123</v>
      </c>
      <c r="AT163" s="7">
        <f>AU163+AV163</f>
        <v>0</v>
      </c>
      <c r="AU163" s="7">
        <f>G163*AM163</f>
        <v>0</v>
      </c>
      <c r="AV163" s="7">
        <f>G163*AN163</f>
        <v>0</v>
      </c>
      <c r="AW163" s="23" t="s">
        <v>286</v>
      </c>
      <c r="AX163" s="23" t="s">
        <v>218</v>
      </c>
      <c r="AY163" s="13" t="s">
        <v>79</v>
      </c>
      <c r="BA163" s="7">
        <f>AU163+AV163</f>
        <v>0</v>
      </c>
      <c r="BB163" s="7">
        <f>H163/(100-BC163)*100</f>
        <v>0</v>
      </c>
      <c r="BC163" s="7">
        <v>0</v>
      </c>
      <c r="BD163" s="7">
        <f>M163</f>
        <v>0.18</v>
      </c>
      <c r="BF163" s="7">
        <f>G163*AM163</f>
        <v>0</v>
      </c>
      <c r="BG163" s="7">
        <f>G163*AN163</f>
        <v>0</v>
      </c>
      <c r="BH163" s="7">
        <f>G163*H163</f>
        <v>0</v>
      </c>
      <c r="BI163" s="7"/>
      <c r="BJ163" s="7">
        <v>767</v>
      </c>
      <c r="BU163" s="7" t="e">
        <f>#REF!</f>
        <v>#REF!</v>
      </c>
      <c r="BV163" s="3" t="s">
        <v>339</v>
      </c>
    </row>
    <row r="164" spans="1:74" ht="14.4" x14ac:dyDescent="0.3">
      <c r="A164" s="74" t="s">
        <v>340</v>
      </c>
      <c r="B164" s="2" t="s">
        <v>21</v>
      </c>
      <c r="C164" s="2" t="s">
        <v>341</v>
      </c>
      <c r="D164" s="152" t="s">
        <v>342</v>
      </c>
      <c r="E164" s="153"/>
      <c r="F164" s="2" t="s">
        <v>114</v>
      </c>
      <c r="G164" s="7">
        <v>496.89</v>
      </c>
      <c r="H164" s="86">
        <v>0</v>
      </c>
      <c r="I164" s="7">
        <f>G164*AM164</f>
        <v>0</v>
      </c>
      <c r="J164" s="7">
        <f>G164*AN164</f>
        <v>0</v>
      </c>
      <c r="K164" s="7">
        <f>G164*H164</f>
        <v>0</v>
      </c>
      <c r="L164" s="7">
        <v>0</v>
      </c>
      <c r="M164" s="7">
        <f>G164*L164</f>
        <v>0</v>
      </c>
      <c r="N164" s="24" t="s">
        <v>144</v>
      </c>
      <c r="X164" s="7">
        <f>IF(AO164="5",BH164,0)</f>
        <v>0</v>
      </c>
      <c r="Z164" s="7">
        <f>IF(AO164="1",BF164,0)</f>
        <v>0</v>
      </c>
      <c r="AA164" s="7">
        <f>IF(AO164="1",BG164,0)</f>
        <v>0</v>
      </c>
      <c r="AB164" s="7">
        <f>IF(AO164="7",BF164,0)</f>
        <v>0</v>
      </c>
      <c r="AC164" s="7">
        <f>IF(AO164="7",BG164,0)</f>
        <v>0</v>
      </c>
      <c r="AD164" s="7">
        <f>IF(AO164="2",BF164,0)</f>
        <v>0</v>
      </c>
      <c r="AE164" s="7">
        <f>IF(AO164="2",BG164,0)</f>
        <v>0</v>
      </c>
      <c r="AF164" s="7">
        <f>IF(AO164="0",BH164,0)</f>
        <v>0</v>
      </c>
      <c r="AG164" s="13" t="s">
        <v>21</v>
      </c>
      <c r="AH164" s="7">
        <f>IF(AL164=0,K164,0)</f>
        <v>0</v>
      </c>
      <c r="AI164" s="7">
        <f>IF(AL164=12,K164,0)</f>
        <v>0</v>
      </c>
      <c r="AJ164" s="7">
        <f>IF(AL164=21,K164,0)</f>
        <v>0</v>
      </c>
      <c r="AL164" s="7">
        <v>21</v>
      </c>
      <c r="AM164" s="7">
        <f>H164*0.373833333</f>
        <v>0</v>
      </c>
      <c r="AN164" s="7">
        <f>H164*(1-0.373833333)</f>
        <v>0</v>
      </c>
      <c r="AO164" s="23" t="s">
        <v>123</v>
      </c>
      <c r="AT164" s="7">
        <f>AU164+AV164</f>
        <v>0</v>
      </c>
      <c r="AU164" s="7">
        <f>G164*AM164</f>
        <v>0</v>
      </c>
      <c r="AV164" s="7">
        <f>G164*AN164</f>
        <v>0</v>
      </c>
      <c r="AW164" s="23" t="s">
        <v>286</v>
      </c>
      <c r="AX164" s="23" t="s">
        <v>218</v>
      </c>
      <c r="AY164" s="13" t="s">
        <v>79</v>
      </c>
      <c r="BA164" s="7">
        <f>AU164+AV164</f>
        <v>0</v>
      </c>
      <c r="BB164" s="7">
        <f>H164/(100-BC164)*100</f>
        <v>0</v>
      </c>
      <c r="BC164" s="7">
        <v>0</v>
      </c>
      <c r="BD164" s="7">
        <f>M164</f>
        <v>0</v>
      </c>
      <c r="BF164" s="7">
        <f>G164*AM164</f>
        <v>0</v>
      </c>
      <c r="BG164" s="7">
        <f>G164*AN164</f>
        <v>0</v>
      </c>
      <c r="BH164" s="7">
        <f>G164*H164</f>
        <v>0</v>
      </c>
      <c r="BI164" s="7"/>
      <c r="BJ164" s="7">
        <v>767</v>
      </c>
      <c r="BU164" s="7" t="e">
        <f>#REF!</f>
        <v>#REF!</v>
      </c>
      <c r="BV164" s="3" t="s">
        <v>342</v>
      </c>
    </row>
    <row r="165" spans="1:74" ht="14.4" x14ac:dyDescent="0.3">
      <c r="A165" s="75"/>
      <c r="D165" s="25" t="s">
        <v>162</v>
      </c>
      <c r="E165" s="26" t="s">
        <v>81</v>
      </c>
      <c r="G165" s="27">
        <v>34</v>
      </c>
      <c r="N165" s="28"/>
    </row>
    <row r="166" spans="1:74" ht="14.4" x14ac:dyDescent="0.3">
      <c r="A166" s="75"/>
      <c r="D166" s="25" t="s">
        <v>163</v>
      </c>
      <c r="E166" s="26" t="s">
        <v>93</v>
      </c>
      <c r="G166" s="27">
        <v>252.32</v>
      </c>
      <c r="N166" s="28"/>
    </row>
    <row r="167" spans="1:74" ht="14.4" x14ac:dyDescent="0.3">
      <c r="A167" s="75"/>
      <c r="D167" s="25" t="s">
        <v>164</v>
      </c>
      <c r="E167" s="26" t="s">
        <v>95</v>
      </c>
      <c r="G167" s="27">
        <v>12.88</v>
      </c>
      <c r="N167" s="28"/>
    </row>
    <row r="168" spans="1:74" ht="14.4" x14ac:dyDescent="0.3">
      <c r="A168" s="75"/>
      <c r="D168" s="25" t="s">
        <v>165</v>
      </c>
      <c r="E168" s="26" t="s">
        <v>119</v>
      </c>
      <c r="G168" s="27">
        <v>58.16</v>
      </c>
      <c r="N168" s="28"/>
    </row>
    <row r="169" spans="1:74" ht="14.4" x14ac:dyDescent="0.3">
      <c r="A169" s="75"/>
      <c r="D169" s="25" t="s">
        <v>166</v>
      </c>
      <c r="E169" s="26" t="s">
        <v>121</v>
      </c>
      <c r="G169" s="27">
        <v>117</v>
      </c>
      <c r="N169" s="28"/>
    </row>
    <row r="170" spans="1:74" ht="14.4" x14ac:dyDescent="0.3">
      <c r="A170" s="75"/>
      <c r="D170" s="25" t="s">
        <v>167</v>
      </c>
      <c r="E170" s="26" t="s">
        <v>88</v>
      </c>
      <c r="G170" s="27">
        <v>10.199999999999999</v>
      </c>
      <c r="N170" s="28"/>
    </row>
    <row r="171" spans="1:74" ht="14.4" x14ac:dyDescent="0.3">
      <c r="A171" s="75"/>
      <c r="D171" s="25" t="s">
        <v>168</v>
      </c>
      <c r="E171" s="26" t="s">
        <v>169</v>
      </c>
      <c r="G171" s="27">
        <v>7.15</v>
      </c>
      <c r="N171" s="28"/>
    </row>
    <row r="172" spans="1:74" ht="14.4" x14ac:dyDescent="0.3">
      <c r="A172" s="75"/>
      <c r="D172" s="25" t="s">
        <v>170</v>
      </c>
      <c r="E172" s="26" t="s">
        <v>171</v>
      </c>
      <c r="G172" s="27">
        <v>5.18</v>
      </c>
      <c r="N172" s="28"/>
    </row>
    <row r="173" spans="1:74" ht="14.4" x14ac:dyDescent="0.3">
      <c r="A173" s="74" t="s">
        <v>343</v>
      </c>
      <c r="B173" s="2" t="s">
        <v>21</v>
      </c>
      <c r="C173" s="2" t="s">
        <v>344</v>
      </c>
      <c r="D173" s="152" t="s">
        <v>345</v>
      </c>
      <c r="E173" s="153"/>
      <c r="F173" s="2" t="s">
        <v>346</v>
      </c>
      <c r="G173" s="7">
        <v>8</v>
      </c>
      <c r="H173" s="86">
        <v>0</v>
      </c>
      <c r="I173" s="7">
        <f>G173*AM173</f>
        <v>0</v>
      </c>
      <c r="J173" s="7">
        <f>G173*AN173</f>
        <v>0</v>
      </c>
      <c r="K173" s="7">
        <f>G173*H173</f>
        <v>0</v>
      </c>
      <c r="L173" s="7">
        <v>0</v>
      </c>
      <c r="M173" s="7">
        <f>G173*L173</f>
        <v>0</v>
      </c>
      <c r="N173" s="24" t="s">
        <v>144</v>
      </c>
      <c r="X173" s="7">
        <f>IF(AO173="5",BH173,0)</f>
        <v>0</v>
      </c>
      <c r="Z173" s="7">
        <f>IF(AO173="1",BF173,0)</f>
        <v>0</v>
      </c>
      <c r="AA173" s="7">
        <f>IF(AO173="1",BG173,0)</f>
        <v>0</v>
      </c>
      <c r="AB173" s="7">
        <f>IF(AO173="7",BF173,0)</f>
        <v>0</v>
      </c>
      <c r="AC173" s="7">
        <f>IF(AO173="7",BG173,0)</f>
        <v>0</v>
      </c>
      <c r="AD173" s="7">
        <f>IF(AO173="2",BF173,0)</f>
        <v>0</v>
      </c>
      <c r="AE173" s="7">
        <f>IF(AO173="2",BG173,0)</f>
        <v>0</v>
      </c>
      <c r="AF173" s="7">
        <f>IF(AO173="0",BH173,0)</f>
        <v>0</v>
      </c>
      <c r="AG173" s="13" t="s">
        <v>21</v>
      </c>
      <c r="AH173" s="7">
        <f>IF(AL173=0,K173,0)</f>
        <v>0</v>
      </c>
      <c r="AI173" s="7">
        <f>IF(AL173=12,K173,0)</f>
        <v>0</v>
      </c>
      <c r="AJ173" s="7">
        <f>IF(AL173=21,K173,0)</f>
        <v>0</v>
      </c>
      <c r="AL173" s="7">
        <v>21</v>
      </c>
      <c r="AM173" s="7">
        <f>H173*0</f>
        <v>0</v>
      </c>
      <c r="AN173" s="7">
        <f>H173*(1-0)</f>
        <v>0</v>
      </c>
      <c r="AO173" s="23" t="s">
        <v>123</v>
      </c>
      <c r="AT173" s="7">
        <f>AU173+AV173</f>
        <v>0</v>
      </c>
      <c r="AU173" s="7">
        <f>G173*AM173</f>
        <v>0</v>
      </c>
      <c r="AV173" s="7">
        <f>G173*AN173</f>
        <v>0</v>
      </c>
      <c r="AW173" s="23" t="s">
        <v>286</v>
      </c>
      <c r="AX173" s="23" t="s">
        <v>218</v>
      </c>
      <c r="AY173" s="13" t="s">
        <v>79</v>
      </c>
      <c r="BA173" s="7">
        <f>AU173+AV173</f>
        <v>0</v>
      </c>
      <c r="BB173" s="7">
        <f>H173/(100-BC173)*100</f>
        <v>0</v>
      </c>
      <c r="BC173" s="7">
        <v>0</v>
      </c>
      <c r="BD173" s="7">
        <f>M173</f>
        <v>0</v>
      </c>
      <c r="BF173" s="7">
        <f>G173*AM173</f>
        <v>0</v>
      </c>
      <c r="BG173" s="7">
        <f>G173*AN173</f>
        <v>0</v>
      </c>
      <c r="BH173" s="7">
        <f>G173*H173</f>
        <v>0</v>
      </c>
      <c r="BI173" s="7"/>
      <c r="BJ173" s="7">
        <v>767</v>
      </c>
      <c r="BU173" s="7" t="e">
        <f>#REF!</f>
        <v>#REF!</v>
      </c>
      <c r="BV173" s="3" t="s">
        <v>345</v>
      </c>
    </row>
    <row r="174" spans="1:74" ht="14.4" x14ac:dyDescent="0.3">
      <c r="A174" s="74" t="s">
        <v>347</v>
      </c>
      <c r="B174" s="2" t="s">
        <v>21</v>
      </c>
      <c r="C174" s="2" t="s">
        <v>348</v>
      </c>
      <c r="D174" s="152" t="s">
        <v>349</v>
      </c>
      <c r="E174" s="153"/>
      <c r="F174" s="2" t="s">
        <v>140</v>
      </c>
      <c r="G174" s="7">
        <v>18.45</v>
      </c>
      <c r="H174" s="86">
        <v>0</v>
      </c>
      <c r="I174" s="7">
        <f>G174*AM174</f>
        <v>0</v>
      </c>
      <c r="J174" s="7">
        <f>G174*AN174</f>
        <v>0</v>
      </c>
      <c r="K174" s="7">
        <f>G174*H174</f>
        <v>0</v>
      </c>
      <c r="L174" s="7">
        <v>0</v>
      </c>
      <c r="M174" s="7">
        <f>G174*L174</f>
        <v>0</v>
      </c>
      <c r="N174" s="24" t="s">
        <v>76</v>
      </c>
      <c r="X174" s="7">
        <f>IF(AO174="5",BH174,0)</f>
        <v>0</v>
      </c>
      <c r="Z174" s="7">
        <f>IF(AO174="1",BF174,0)</f>
        <v>0</v>
      </c>
      <c r="AA174" s="7">
        <f>IF(AO174="1",BG174,0)</f>
        <v>0</v>
      </c>
      <c r="AB174" s="7">
        <f>IF(AO174="7",BF174,0)</f>
        <v>0</v>
      </c>
      <c r="AC174" s="7">
        <f>IF(AO174="7",BG174,0)</f>
        <v>0</v>
      </c>
      <c r="AD174" s="7">
        <f>IF(AO174="2",BF174,0)</f>
        <v>0</v>
      </c>
      <c r="AE174" s="7">
        <f>IF(AO174="2",BG174,0)</f>
        <v>0</v>
      </c>
      <c r="AF174" s="7">
        <f>IF(AO174="0",BH174,0)</f>
        <v>0</v>
      </c>
      <c r="AG174" s="13" t="s">
        <v>21</v>
      </c>
      <c r="AH174" s="7">
        <f>IF(AL174=0,K174,0)</f>
        <v>0</v>
      </c>
      <c r="AI174" s="7">
        <f>IF(AL174=12,K174,0)</f>
        <v>0</v>
      </c>
      <c r="AJ174" s="7">
        <f>IF(AL174=21,K174,0)</f>
        <v>0</v>
      </c>
      <c r="AL174" s="7">
        <v>21</v>
      </c>
      <c r="AM174" s="7">
        <f>H174*0</f>
        <v>0</v>
      </c>
      <c r="AN174" s="7">
        <f>H174*(1-0)</f>
        <v>0</v>
      </c>
      <c r="AO174" s="23" t="s">
        <v>106</v>
      </c>
      <c r="AT174" s="7">
        <f>AU174+AV174</f>
        <v>0</v>
      </c>
      <c r="AU174" s="7">
        <f>G174*AM174</f>
        <v>0</v>
      </c>
      <c r="AV174" s="7">
        <f>G174*AN174</f>
        <v>0</v>
      </c>
      <c r="AW174" s="23" t="s">
        <v>286</v>
      </c>
      <c r="AX174" s="23" t="s">
        <v>218</v>
      </c>
      <c r="AY174" s="13" t="s">
        <v>79</v>
      </c>
      <c r="BA174" s="7">
        <f>AU174+AV174</f>
        <v>0</v>
      </c>
      <c r="BB174" s="7">
        <f>H174/(100-BC174)*100</f>
        <v>0</v>
      </c>
      <c r="BC174" s="7">
        <v>0</v>
      </c>
      <c r="BD174" s="7">
        <f>M174</f>
        <v>0</v>
      </c>
      <c r="BF174" s="7">
        <f>G174*AM174</f>
        <v>0</v>
      </c>
      <c r="BG174" s="7">
        <f>G174*AN174</f>
        <v>0</v>
      </c>
      <c r="BH174" s="7">
        <f>G174*H174</f>
        <v>0</v>
      </c>
      <c r="BI174" s="7"/>
      <c r="BJ174" s="7">
        <v>767</v>
      </c>
      <c r="BU174" s="7" t="e">
        <f>#REF!</f>
        <v>#REF!</v>
      </c>
      <c r="BV174" s="3" t="s">
        <v>349</v>
      </c>
    </row>
    <row r="175" spans="1:74" ht="14.4" x14ac:dyDescent="0.3">
      <c r="A175" s="73" t="s">
        <v>21</v>
      </c>
      <c r="B175" s="20" t="s">
        <v>21</v>
      </c>
      <c r="C175" s="20" t="s">
        <v>34</v>
      </c>
      <c r="D175" s="158" t="s">
        <v>35</v>
      </c>
      <c r="E175" s="159"/>
      <c r="F175" s="21" t="s">
        <v>12</v>
      </c>
      <c r="G175" s="21" t="s">
        <v>12</v>
      </c>
      <c r="H175" s="21" t="s">
        <v>12</v>
      </c>
      <c r="I175" s="12">
        <f>SUM(I176:I202)</f>
        <v>0</v>
      </c>
      <c r="J175" s="12">
        <f>SUM(J176:J202)</f>
        <v>0</v>
      </c>
      <c r="K175" s="12">
        <f>SUM(K176:K202)</f>
        <v>0</v>
      </c>
      <c r="L175" s="13" t="s">
        <v>21</v>
      </c>
      <c r="M175" s="12">
        <f>SUM(M176:M202)</f>
        <v>0.45222518000000006</v>
      </c>
      <c r="N175" s="22" t="s">
        <v>21</v>
      </c>
      <c r="AG175" s="13" t="s">
        <v>21</v>
      </c>
      <c r="AQ175" s="12">
        <f>SUM(AH176:AH202)</f>
        <v>0</v>
      </c>
      <c r="AR175" s="12">
        <f>SUM(AI176:AI202)</f>
        <v>0</v>
      </c>
      <c r="AS175" s="12">
        <f>SUM(AJ176:AJ202)</f>
        <v>0</v>
      </c>
    </row>
    <row r="176" spans="1:74" ht="14.4" x14ac:dyDescent="0.3">
      <c r="A176" s="74" t="s">
        <v>350</v>
      </c>
      <c r="B176" s="2" t="s">
        <v>21</v>
      </c>
      <c r="C176" s="2" t="s">
        <v>351</v>
      </c>
      <c r="D176" s="152" t="s">
        <v>352</v>
      </c>
      <c r="E176" s="153"/>
      <c r="F176" s="2" t="s">
        <v>74</v>
      </c>
      <c r="G176" s="7">
        <v>26.838000000000001</v>
      </c>
      <c r="H176" s="86">
        <v>0</v>
      </c>
      <c r="I176" s="7">
        <f>G176*AM176</f>
        <v>0</v>
      </c>
      <c r="J176" s="7">
        <f>G176*AN176</f>
        <v>0</v>
      </c>
      <c r="K176" s="7">
        <f>G176*H176</f>
        <v>0</v>
      </c>
      <c r="L176" s="7">
        <v>2.1000000000000001E-4</v>
      </c>
      <c r="M176" s="7">
        <f>G176*L176</f>
        <v>5.6359800000000005E-3</v>
      </c>
      <c r="N176" s="24" t="s">
        <v>76</v>
      </c>
      <c r="X176" s="7">
        <f>IF(AO176="5",BH176,0)</f>
        <v>0</v>
      </c>
      <c r="Z176" s="7">
        <f>IF(AO176="1",BF176,0)</f>
        <v>0</v>
      </c>
      <c r="AA176" s="7">
        <f>IF(AO176="1",BG176,0)</f>
        <v>0</v>
      </c>
      <c r="AB176" s="7">
        <f>IF(AO176="7",BF176,0)</f>
        <v>0</v>
      </c>
      <c r="AC176" s="7">
        <f>IF(AO176="7",BG176,0)</f>
        <v>0</v>
      </c>
      <c r="AD176" s="7">
        <f>IF(AO176="2",BF176,0)</f>
        <v>0</v>
      </c>
      <c r="AE176" s="7">
        <f>IF(AO176="2",BG176,0)</f>
        <v>0</v>
      </c>
      <c r="AF176" s="7">
        <f>IF(AO176="0",BH176,0)</f>
        <v>0</v>
      </c>
      <c r="AG176" s="13" t="s">
        <v>21</v>
      </c>
      <c r="AH176" s="7">
        <f>IF(AL176=0,K176,0)</f>
        <v>0</v>
      </c>
      <c r="AI176" s="7">
        <f>IF(AL176=12,K176,0)</f>
        <v>0</v>
      </c>
      <c r="AJ176" s="7">
        <f>IF(AL176=21,K176,0)</f>
        <v>0</v>
      </c>
      <c r="AL176" s="7">
        <v>21</v>
      </c>
      <c r="AM176" s="7">
        <f>H176*0.447128986</f>
        <v>0</v>
      </c>
      <c r="AN176" s="7">
        <f>H176*(1-0.447128986)</f>
        <v>0</v>
      </c>
      <c r="AO176" s="23" t="s">
        <v>123</v>
      </c>
      <c r="AT176" s="7">
        <f>AU176+AV176</f>
        <v>0</v>
      </c>
      <c r="AU176" s="7">
        <f>G176*AM176</f>
        <v>0</v>
      </c>
      <c r="AV176" s="7">
        <f>G176*AN176</f>
        <v>0</v>
      </c>
      <c r="AW176" s="23" t="s">
        <v>353</v>
      </c>
      <c r="AX176" s="23" t="s">
        <v>354</v>
      </c>
      <c r="AY176" s="13" t="s">
        <v>79</v>
      </c>
      <c r="BA176" s="7">
        <f>AU176+AV176</f>
        <v>0</v>
      </c>
      <c r="BB176" s="7">
        <f>H176/(100-BC176)*100</f>
        <v>0</v>
      </c>
      <c r="BC176" s="7">
        <v>0</v>
      </c>
      <c r="BD176" s="7">
        <f>M176</f>
        <v>5.6359800000000005E-3</v>
      </c>
      <c r="BF176" s="7">
        <f>G176*AM176</f>
        <v>0</v>
      </c>
      <c r="BG176" s="7">
        <f>G176*AN176</f>
        <v>0</v>
      </c>
      <c r="BH176" s="7">
        <f>G176*H176</f>
        <v>0</v>
      </c>
      <c r="BI176" s="7"/>
      <c r="BJ176" s="7">
        <v>781</v>
      </c>
      <c r="BU176" s="7" t="e">
        <f>#REF!</f>
        <v>#REF!</v>
      </c>
      <c r="BV176" s="3" t="s">
        <v>352</v>
      </c>
    </row>
    <row r="177" spans="1:74" ht="14.4" x14ac:dyDescent="0.3">
      <c r="A177" s="75"/>
      <c r="D177" s="25" t="s">
        <v>131</v>
      </c>
      <c r="E177" s="26" t="s">
        <v>21</v>
      </c>
      <c r="G177" s="27">
        <v>12.888</v>
      </c>
      <c r="N177" s="28"/>
    </row>
    <row r="178" spans="1:74" ht="14.4" x14ac:dyDescent="0.3">
      <c r="A178" s="75"/>
      <c r="D178" s="25" t="s">
        <v>132</v>
      </c>
      <c r="E178" s="26" t="s">
        <v>21</v>
      </c>
      <c r="G178" s="27">
        <v>7.65</v>
      </c>
      <c r="N178" s="28"/>
    </row>
    <row r="179" spans="1:74" ht="14.4" x14ac:dyDescent="0.3">
      <c r="A179" s="75"/>
      <c r="D179" s="25" t="s">
        <v>133</v>
      </c>
      <c r="E179" s="26" t="s">
        <v>21</v>
      </c>
      <c r="G179" s="27">
        <v>6.3</v>
      </c>
      <c r="N179" s="28"/>
    </row>
    <row r="180" spans="1:74" ht="14.4" x14ac:dyDescent="0.3">
      <c r="A180" s="74" t="s">
        <v>355</v>
      </c>
      <c r="B180" s="2" t="s">
        <v>21</v>
      </c>
      <c r="C180" s="2" t="s">
        <v>356</v>
      </c>
      <c r="D180" s="152" t="s">
        <v>357</v>
      </c>
      <c r="E180" s="153"/>
      <c r="F180" s="2" t="s">
        <v>114</v>
      </c>
      <c r="G180" s="7">
        <v>27.66</v>
      </c>
      <c r="H180" s="86">
        <v>0</v>
      </c>
      <c r="I180" s="7">
        <f>G180*AM180</f>
        <v>0</v>
      </c>
      <c r="J180" s="7">
        <f>G180*AN180</f>
        <v>0</v>
      </c>
      <c r="K180" s="7">
        <f>G180*H180</f>
        <v>0</v>
      </c>
      <c r="L180" s="7">
        <v>0</v>
      </c>
      <c r="M180" s="7">
        <f>G180*L180</f>
        <v>0</v>
      </c>
      <c r="N180" s="24" t="s">
        <v>76</v>
      </c>
      <c r="X180" s="7">
        <f>IF(AO180="5",BH180,0)</f>
        <v>0</v>
      </c>
      <c r="Z180" s="7">
        <f>IF(AO180="1",BF180,0)</f>
        <v>0</v>
      </c>
      <c r="AA180" s="7">
        <f>IF(AO180="1",BG180,0)</f>
        <v>0</v>
      </c>
      <c r="AB180" s="7">
        <f>IF(AO180="7",BF180,0)</f>
        <v>0</v>
      </c>
      <c r="AC180" s="7">
        <f>IF(AO180="7",BG180,0)</f>
        <v>0</v>
      </c>
      <c r="AD180" s="7">
        <f>IF(AO180="2",BF180,0)</f>
        <v>0</v>
      </c>
      <c r="AE180" s="7">
        <f>IF(AO180="2",BG180,0)</f>
        <v>0</v>
      </c>
      <c r="AF180" s="7">
        <f>IF(AO180="0",BH180,0)</f>
        <v>0</v>
      </c>
      <c r="AG180" s="13" t="s">
        <v>21</v>
      </c>
      <c r="AH180" s="7">
        <f>IF(AL180=0,K180,0)</f>
        <v>0</v>
      </c>
      <c r="AI180" s="7">
        <f>IF(AL180=12,K180,0)</f>
        <v>0</v>
      </c>
      <c r="AJ180" s="7">
        <f>IF(AL180=21,K180,0)</f>
        <v>0</v>
      </c>
      <c r="AL180" s="7">
        <v>21</v>
      </c>
      <c r="AM180" s="7">
        <f>H180*0</f>
        <v>0</v>
      </c>
      <c r="AN180" s="7">
        <f>H180*(1-0)</f>
        <v>0</v>
      </c>
      <c r="AO180" s="23" t="s">
        <v>123</v>
      </c>
      <c r="AT180" s="7">
        <f>AU180+AV180</f>
        <v>0</v>
      </c>
      <c r="AU180" s="7">
        <f>G180*AM180</f>
        <v>0</v>
      </c>
      <c r="AV180" s="7">
        <f>G180*AN180</f>
        <v>0</v>
      </c>
      <c r="AW180" s="23" t="s">
        <v>353</v>
      </c>
      <c r="AX180" s="23" t="s">
        <v>354</v>
      </c>
      <c r="AY180" s="13" t="s">
        <v>79</v>
      </c>
      <c r="BA180" s="7">
        <f>AU180+AV180</f>
        <v>0</v>
      </c>
      <c r="BB180" s="7">
        <f>H180/(100-BC180)*100</f>
        <v>0</v>
      </c>
      <c r="BC180" s="7">
        <v>0</v>
      </c>
      <c r="BD180" s="7">
        <f>M180</f>
        <v>0</v>
      </c>
      <c r="BF180" s="7">
        <f>G180*AM180</f>
        <v>0</v>
      </c>
      <c r="BG180" s="7">
        <f>G180*AN180</f>
        <v>0</v>
      </c>
      <c r="BH180" s="7">
        <f>G180*H180</f>
        <v>0</v>
      </c>
      <c r="BI180" s="7"/>
      <c r="BJ180" s="7">
        <v>781</v>
      </c>
      <c r="BU180" s="7" t="e">
        <f>#REF!</f>
        <v>#REF!</v>
      </c>
      <c r="BV180" s="3" t="s">
        <v>357</v>
      </c>
    </row>
    <row r="181" spans="1:74" ht="14.4" x14ac:dyDescent="0.3">
      <c r="A181" s="75"/>
      <c r="D181" s="25" t="s">
        <v>358</v>
      </c>
      <c r="E181" s="26" t="s">
        <v>21</v>
      </c>
      <c r="G181" s="27">
        <v>10.16</v>
      </c>
      <c r="N181" s="28"/>
    </row>
    <row r="182" spans="1:74" ht="14.4" x14ac:dyDescent="0.3">
      <c r="A182" s="75"/>
      <c r="D182" s="25" t="s">
        <v>115</v>
      </c>
      <c r="E182" s="26" t="s">
        <v>21</v>
      </c>
      <c r="G182" s="27">
        <v>8.5</v>
      </c>
      <c r="N182" s="28"/>
    </row>
    <row r="183" spans="1:74" ht="14.4" x14ac:dyDescent="0.3">
      <c r="A183" s="75"/>
      <c r="D183" s="25" t="s">
        <v>359</v>
      </c>
      <c r="E183" s="26" t="s">
        <v>21</v>
      </c>
      <c r="G183" s="27">
        <v>9</v>
      </c>
      <c r="N183" s="28"/>
    </row>
    <row r="184" spans="1:74" ht="14.4" x14ac:dyDescent="0.3">
      <c r="A184" s="74" t="s">
        <v>360</v>
      </c>
      <c r="B184" s="2" t="s">
        <v>21</v>
      </c>
      <c r="C184" s="2" t="s">
        <v>361</v>
      </c>
      <c r="D184" s="152" t="s">
        <v>362</v>
      </c>
      <c r="E184" s="153"/>
      <c r="F184" s="2" t="s">
        <v>114</v>
      </c>
      <c r="G184" s="7">
        <v>61.8</v>
      </c>
      <c r="H184" s="86">
        <v>0</v>
      </c>
      <c r="I184" s="7">
        <f>G184*AM184</f>
        <v>0</v>
      </c>
      <c r="J184" s="7">
        <f>G184*AN184</f>
        <v>0</v>
      </c>
      <c r="K184" s="7">
        <f>G184*H184</f>
        <v>0</v>
      </c>
      <c r="L184" s="7">
        <v>0</v>
      </c>
      <c r="M184" s="7">
        <f>G184*L184</f>
        <v>0</v>
      </c>
      <c r="N184" s="24" t="s">
        <v>76</v>
      </c>
      <c r="X184" s="7">
        <f>IF(AO184="5",BH184,0)</f>
        <v>0</v>
      </c>
      <c r="Z184" s="7">
        <f>IF(AO184="1",BF184,0)</f>
        <v>0</v>
      </c>
      <c r="AA184" s="7">
        <f>IF(AO184="1",BG184,0)</f>
        <v>0</v>
      </c>
      <c r="AB184" s="7">
        <f>IF(AO184="7",BF184,0)</f>
        <v>0</v>
      </c>
      <c r="AC184" s="7">
        <f>IF(AO184="7",BG184,0)</f>
        <v>0</v>
      </c>
      <c r="AD184" s="7">
        <f>IF(AO184="2",BF184,0)</f>
        <v>0</v>
      </c>
      <c r="AE184" s="7">
        <f>IF(AO184="2",BG184,0)</f>
        <v>0</v>
      </c>
      <c r="AF184" s="7">
        <f>IF(AO184="0",BH184,0)</f>
        <v>0</v>
      </c>
      <c r="AG184" s="13" t="s">
        <v>21</v>
      </c>
      <c r="AH184" s="7">
        <f>IF(AL184=0,K184,0)</f>
        <v>0</v>
      </c>
      <c r="AI184" s="7">
        <f>IF(AL184=12,K184,0)</f>
        <v>0</v>
      </c>
      <c r="AJ184" s="7">
        <f>IF(AL184=21,K184,0)</f>
        <v>0</v>
      </c>
      <c r="AL184" s="7">
        <v>21</v>
      </c>
      <c r="AM184" s="7">
        <f>H184*0</f>
        <v>0</v>
      </c>
      <c r="AN184" s="7">
        <f>H184*(1-0)</f>
        <v>0</v>
      </c>
      <c r="AO184" s="23" t="s">
        <v>123</v>
      </c>
      <c r="AT184" s="7">
        <f>AU184+AV184</f>
        <v>0</v>
      </c>
      <c r="AU184" s="7">
        <f>G184*AM184</f>
        <v>0</v>
      </c>
      <c r="AV184" s="7">
        <f>G184*AN184</f>
        <v>0</v>
      </c>
      <c r="AW184" s="23" t="s">
        <v>353</v>
      </c>
      <c r="AX184" s="23" t="s">
        <v>354</v>
      </c>
      <c r="AY184" s="13" t="s">
        <v>79</v>
      </c>
      <c r="BA184" s="7">
        <f>AU184+AV184</f>
        <v>0</v>
      </c>
      <c r="BB184" s="7">
        <f>H184/(100-BC184)*100</f>
        <v>0</v>
      </c>
      <c r="BC184" s="7">
        <v>0</v>
      </c>
      <c r="BD184" s="7">
        <f>M184</f>
        <v>0</v>
      </c>
      <c r="BF184" s="7">
        <f>G184*AM184</f>
        <v>0</v>
      </c>
      <c r="BG184" s="7">
        <f>G184*AN184</f>
        <v>0</v>
      </c>
      <c r="BH184" s="7">
        <f>G184*H184</f>
        <v>0</v>
      </c>
      <c r="BI184" s="7"/>
      <c r="BJ184" s="7">
        <v>781</v>
      </c>
      <c r="BU184" s="7" t="e">
        <f>#REF!</f>
        <v>#REF!</v>
      </c>
      <c r="BV184" s="3" t="s">
        <v>362</v>
      </c>
    </row>
    <row r="185" spans="1:74" ht="14.4" x14ac:dyDescent="0.3">
      <c r="A185" s="75"/>
      <c r="D185" s="25" t="s">
        <v>363</v>
      </c>
      <c r="E185" s="26" t="s">
        <v>21</v>
      </c>
      <c r="G185" s="27">
        <v>32.799999999999997</v>
      </c>
      <c r="N185" s="28"/>
    </row>
    <row r="186" spans="1:74" ht="14.4" x14ac:dyDescent="0.3">
      <c r="A186" s="75"/>
      <c r="D186" s="25" t="s">
        <v>364</v>
      </c>
      <c r="E186" s="26" t="s">
        <v>21</v>
      </c>
      <c r="G186" s="27">
        <v>17</v>
      </c>
      <c r="N186" s="28"/>
    </row>
    <row r="187" spans="1:74" ht="14.4" x14ac:dyDescent="0.3">
      <c r="A187" s="75"/>
      <c r="D187" s="25" t="s">
        <v>365</v>
      </c>
      <c r="E187" s="26" t="s">
        <v>21</v>
      </c>
      <c r="G187" s="27">
        <v>12</v>
      </c>
      <c r="N187" s="28"/>
    </row>
    <row r="188" spans="1:74" ht="14.4" x14ac:dyDescent="0.3">
      <c r="A188" s="74" t="s">
        <v>366</v>
      </c>
      <c r="B188" s="2" t="s">
        <v>21</v>
      </c>
      <c r="C188" s="2" t="s">
        <v>367</v>
      </c>
      <c r="D188" s="152" t="s">
        <v>368</v>
      </c>
      <c r="E188" s="153"/>
      <c r="F188" s="2" t="s">
        <v>74</v>
      </c>
      <c r="G188" s="7">
        <v>32.206000000000003</v>
      </c>
      <c r="H188" s="86">
        <v>0</v>
      </c>
      <c r="I188" s="7">
        <f>G188*AM188</f>
        <v>0</v>
      </c>
      <c r="J188" s="7">
        <f>G188*AN188</f>
        <v>0</v>
      </c>
      <c r="K188" s="7">
        <f>G188*H188</f>
        <v>0</v>
      </c>
      <c r="L188" s="7">
        <v>1.2200000000000001E-2</v>
      </c>
      <c r="M188" s="7">
        <f>G188*L188</f>
        <v>0.39291320000000007</v>
      </c>
      <c r="N188" s="24" t="s">
        <v>76</v>
      </c>
      <c r="X188" s="7">
        <f>IF(AO188="5",BH188,0)</f>
        <v>0</v>
      </c>
      <c r="Z188" s="7">
        <f>IF(AO188="1",BF188,0)</f>
        <v>0</v>
      </c>
      <c r="AA188" s="7">
        <f>IF(AO188="1",BG188,0)</f>
        <v>0</v>
      </c>
      <c r="AB188" s="7">
        <f>IF(AO188="7",BF188,0)</f>
        <v>0</v>
      </c>
      <c r="AC188" s="7">
        <f>IF(AO188="7",BG188,0)</f>
        <v>0</v>
      </c>
      <c r="AD188" s="7">
        <f>IF(AO188="2",BF188,0)</f>
        <v>0</v>
      </c>
      <c r="AE188" s="7">
        <f>IF(AO188="2",BG188,0)</f>
        <v>0</v>
      </c>
      <c r="AF188" s="7">
        <f>IF(AO188="0",BH188,0)</f>
        <v>0</v>
      </c>
      <c r="AG188" s="13" t="s">
        <v>21</v>
      </c>
      <c r="AH188" s="7">
        <f>IF(AL188=0,K188,0)</f>
        <v>0</v>
      </c>
      <c r="AI188" s="7">
        <f>IF(AL188=12,K188,0)</f>
        <v>0</v>
      </c>
      <c r="AJ188" s="7">
        <f>IF(AL188=21,K188,0)</f>
        <v>0</v>
      </c>
      <c r="AL188" s="7">
        <v>21</v>
      </c>
      <c r="AM188" s="7">
        <f>H188*1</f>
        <v>0</v>
      </c>
      <c r="AN188" s="7">
        <f>H188*(1-1)</f>
        <v>0</v>
      </c>
      <c r="AO188" s="23" t="s">
        <v>123</v>
      </c>
      <c r="AT188" s="7">
        <f>AU188+AV188</f>
        <v>0</v>
      </c>
      <c r="AU188" s="7">
        <f>G188*AM188</f>
        <v>0</v>
      </c>
      <c r="AV188" s="7">
        <f>G188*AN188</f>
        <v>0</v>
      </c>
      <c r="AW188" s="23" t="s">
        <v>353</v>
      </c>
      <c r="AX188" s="23" t="s">
        <v>354</v>
      </c>
      <c r="AY188" s="13" t="s">
        <v>79</v>
      </c>
      <c r="BA188" s="7">
        <f>AU188+AV188</f>
        <v>0</v>
      </c>
      <c r="BB188" s="7">
        <f>H188/(100-BC188)*100</f>
        <v>0</v>
      </c>
      <c r="BC188" s="7">
        <v>0</v>
      </c>
      <c r="BD188" s="7">
        <f>M188</f>
        <v>0.39291320000000007</v>
      </c>
      <c r="BF188" s="7">
        <f>G188*AM188</f>
        <v>0</v>
      </c>
      <c r="BG188" s="7">
        <f>G188*AN188</f>
        <v>0</v>
      </c>
      <c r="BH188" s="7">
        <f>G188*H188</f>
        <v>0</v>
      </c>
      <c r="BI188" s="7"/>
      <c r="BJ188" s="7">
        <v>781</v>
      </c>
      <c r="BU188" s="7" t="e">
        <f>#REF!</f>
        <v>#REF!</v>
      </c>
      <c r="BV188" s="3" t="s">
        <v>368</v>
      </c>
    </row>
    <row r="189" spans="1:74" ht="14.4" x14ac:dyDescent="0.3">
      <c r="A189" s="75"/>
      <c r="D189" s="25" t="s">
        <v>131</v>
      </c>
      <c r="E189" s="26" t="s">
        <v>21</v>
      </c>
      <c r="G189" s="27">
        <v>12.888</v>
      </c>
      <c r="N189" s="28"/>
    </row>
    <row r="190" spans="1:74" ht="14.4" x14ac:dyDescent="0.3">
      <c r="A190" s="75"/>
      <c r="D190" s="25" t="s">
        <v>132</v>
      </c>
      <c r="E190" s="26" t="s">
        <v>21</v>
      </c>
      <c r="G190" s="27">
        <v>7.65</v>
      </c>
      <c r="N190" s="28"/>
    </row>
    <row r="191" spans="1:74" ht="14.4" x14ac:dyDescent="0.3">
      <c r="A191" s="75"/>
      <c r="D191" s="25" t="s">
        <v>133</v>
      </c>
      <c r="E191" s="26" t="s">
        <v>21</v>
      </c>
      <c r="G191" s="27">
        <v>6.3</v>
      </c>
      <c r="N191" s="28"/>
    </row>
    <row r="192" spans="1:74" ht="14.4" x14ac:dyDescent="0.3">
      <c r="A192" s="75"/>
      <c r="D192" s="25" t="s">
        <v>369</v>
      </c>
      <c r="E192" s="26" t="s">
        <v>21</v>
      </c>
      <c r="G192" s="27">
        <v>5.3680000000000003</v>
      </c>
      <c r="N192" s="28"/>
    </row>
    <row r="193" spans="1:74" ht="14.4" x14ac:dyDescent="0.3">
      <c r="A193" s="74" t="s">
        <v>370</v>
      </c>
      <c r="B193" s="2" t="s">
        <v>21</v>
      </c>
      <c r="C193" s="2" t="s">
        <v>371</v>
      </c>
      <c r="D193" s="152" t="s">
        <v>372</v>
      </c>
      <c r="E193" s="153"/>
      <c r="F193" s="2" t="s">
        <v>114</v>
      </c>
      <c r="G193" s="7">
        <v>89.46</v>
      </c>
      <c r="H193" s="86">
        <v>0</v>
      </c>
      <c r="I193" s="7">
        <f>G193*AM193</f>
        <v>0</v>
      </c>
      <c r="J193" s="7">
        <f>G193*AN193</f>
        <v>0</v>
      </c>
      <c r="K193" s="7">
        <f>G193*H193</f>
        <v>0</v>
      </c>
      <c r="L193" s="7">
        <v>0</v>
      </c>
      <c r="M193" s="7">
        <f>G193*L193</f>
        <v>0</v>
      </c>
      <c r="N193" s="24" t="s">
        <v>76</v>
      </c>
      <c r="X193" s="7">
        <f>IF(AO193="5",BH193,0)</f>
        <v>0</v>
      </c>
      <c r="Z193" s="7">
        <f>IF(AO193="1",BF193,0)</f>
        <v>0</v>
      </c>
      <c r="AA193" s="7">
        <f>IF(AO193="1",BG193,0)</f>
        <v>0</v>
      </c>
      <c r="AB193" s="7">
        <f>IF(AO193="7",BF193,0)</f>
        <v>0</v>
      </c>
      <c r="AC193" s="7">
        <f>IF(AO193="7",BG193,0)</f>
        <v>0</v>
      </c>
      <c r="AD193" s="7">
        <f>IF(AO193="2",BF193,0)</f>
        <v>0</v>
      </c>
      <c r="AE193" s="7">
        <f>IF(AO193="2",BG193,0)</f>
        <v>0</v>
      </c>
      <c r="AF193" s="7">
        <f>IF(AO193="0",BH193,0)</f>
        <v>0</v>
      </c>
      <c r="AG193" s="13" t="s">
        <v>21</v>
      </c>
      <c r="AH193" s="7">
        <f>IF(AL193=0,K193,0)</f>
        <v>0</v>
      </c>
      <c r="AI193" s="7">
        <f>IF(AL193=12,K193,0)</f>
        <v>0</v>
      </c>
      <c r="AJ193" s="7">
        <f>IF(AL193=21,K193,0)</f>
        <v>0</v>
      </c>
      <c r="AL193" s="7">
        <v>21</v>
      </c>
      <c r="AM193" s="7">
        <f>H193*0</f>
        <v>0</v>
      </c>
      <c r="AN193" s="7">
        <f>H193*(1-0)</f>
        <v>0</v>
      </c>
      <c r="AO193" s="23" t="s">
        <v>123</v>
      </c>
      <c r="AT193" s="7">
        <f>AU193+AV193</f>
        <v>0</v>
      </c>
      <c r="AU193" s="7">
        <f>G193*AM193</f>
        <v>0</v>
      </c>
      <c r="AV193" s="7">
        <f>G193*AN193</f>
        <v>0</v>
      </c>
      <c r="AW193" s="23" t="s">
        <v>353</v>
      </c>
      <c r="AX193" s="23" t="s">
        <v>354</v>
      </c>
      <c r="AY193" s="13" t="s">
        <v>79</v>
      </c>
      <c r="BA193" s="7">
        <f>AU193+AV193</f>
        <v>0</v>
      </c>
      <c r="BB193" s="7">
        <f>H193/(100-BC193)*100</f>
        <v>0</v>
      </c>
      <c r="BC193" s="7">
        <v>0</v>
      </c>
      <c r="BD193" s="7">
        <f>M193</f>
        <v>0</v>
      </c>
      <c r="BF193" s="7">
        <f>G193*AM193</f>
        <v>0</v>
      </c>
      <c r="BG193" s="7">
        <f>G193*AN193</f>
        <v>0</v>
      </c>
      <c r="BH193" s="7">
        <f>G193*H193</f>
        <v>0</v>
      </c>
      <c r="BI193" s="7"/>
      <c r="BJ193" s="7">
        <v>781</v>
      </c>
      <c r="BU193" s="7" t="e">
        <f>#REF!</f>
        <v>#REF!</v>
      </c>
      <c r="BV193" s="3" t="s">
        <v>372</v>
      </c>
    </row>
    <row r="194" spans="1:74" ht="14.4" x14ac:dyDescent="0.3">
      <c r="A194" s="75"/>
      <c r="D194" s="25" t="s">
        <v>373</v>
      </c>
      <c r="E194" s="26" t="s">
        <v>21</v>
      </c>
      <c r="G194" s="27">
        <v>42.96</v>
      </c>
      <c r="N194" s="28"/>
    </row>
    <row r="195" spans="1:74" ht="14.4" x14ac:dyDescent="0.3">
      <c r="A195" s="75"/>
      <c r="D195" s="25" t="s">
        <v>178</v>
      </c>
      <c r="E195" s="26" t="s">
        <v>21</v>
      </c>
      <c r="G195" s="27">
        <v>25.5</v>
      </c>
      <c r="N195" s="28"/>
    </row>
    <row r="196" spans="1:74" ht="14.4" x14ac:dyDescent="0.3">
      <c r="A196" s="75"/>
      <c r="D196" s="25" t="s">
        <v>374</v>
      </c>
      <c r="E196" s="26" t="s">
        <v>21</v>
      </c>
      <c r="G196" s="27">
        <v>21</v>
      </c>
      <c r="N196" s="28"/>
    </row>
    <row r="197" spans="1:74" ht="14.4" x14ac:dyDescent="0.3">
      <c r="A197" s="74" t="s">
        <v>26</v>
      </c>
      <c r="B197" s="2" t="s">
        <v>21</v>
      </c>
      <c r="C197" s="2" t="s">
        <v>375</v>
      </c>
      <c r="D197" s="152" t="s">
        <v>376</v>
      </c>
      <c r="E197" s="153"/>
      <c r="F197" s="2" t="s">
        <v>114</v>
      </c>
      <c r="G197" s="7">
        <v>107.352</v>
      </c>
      <c r="H197" s="86">
        <v>0</v>
      </c>
      <c r="I197" s="7">
        <f>G197*AM197</f>
        <v>0</v>
      </c>
      <c r="J197" s="7">
        <f>G197*AN197</f>
        <v>0</v>
      </c>
      <c r="K197" s="7">
        <f>G197*H197</f>
        <v>0</v>
      </c>
      <c r="L197" s="7">
        <v>5.0000000000000001E-4</v>
      </c>
      <c r="M197" s="7">
        <f>G197*L197</f>
        <v>5.3676000000000001E-2</v>
      </c>
      <c r="N197" s="24" t="s">
        <v>144</v>
      </c>
      <c r="X197" s="7">
        <f>IF(AO197="5",BH197,0)</f>
        <v>0</v>
      </c>
      <c r="Z197" s="7">
        <f>IF(AO197="1",BF197,0)</f>
        <v>0</v>
      </c>
      <c r="AA197" s="7">
        <f>IF(AO197="1",BG197,0)</f>
        <v>0</v>
      </c>
      <c r="AB197" s="7">
        <f>IF(AO197="7",BF197,0)</f>
        <v>0</v>
      </c>
      <c r="AC197" s="7">
        <f>IF(AO197="7",BG197,0)</f>
        <v>0</v>
      </c>
      <c r="AD197" s="7">
        <f>IF(AO197="2",BF197,0)</f>
        <v>0</v>
      </c>
      <c r="AE197" s="7">
        <f>IF(AO197="2",BG197,0)</f>
        <v>0</v>
      </c>
      <c r="AF197" s="7">
        <f>IF(AO197="0",BH197,0)</f>
        <v>0</v>
      </c>
      <c r="AG197" s="13" t="s">
        <v>21</v>
      </c>
      <c r="AH197" s="7">
        <f>IF(AL197=0,K197,0)</f>
        <v>0</v>
      </c>
      <c r="AI197" s="7">
        <f>IF(AL197=12,K197,0)</f>
        <v>0</v>
      </c>
      <c r="AJ197" s="7">
        <f>IF(AL197=21,K197,0)</f>
        <v>0</v>
      </c>
      <c r="AL197" s="7">
        <v>21</v>
      </c>
      <c r="AM197" s="7">
        <f>H197*1</f>
        <v>0</v>
      </c>
      <c r="AN197" s="7">
        <f>H197*(1-1)</f>
        <v>0</v>
      </c>
      <c r="AO197" s="23" t="s">
        <v>123</v>
      </c>
      <c r="AT197" s="7">
        <f>AU197+AV197</f>
        <v>0</v>
      </c>
      <c r="AU197" s="7">
        <f>G197*AM197</f>
        <v>0</v>
      </c>
      <c r="AV197" s="7">
        <f>G197*AN197</f>
        <v>0</v>
      </c>
      <c r="AW197" s="23" t="s">
        <v>353</v>
      </c>
      <c r="AX197" s="23" t="s">
        <v>354</v>
      </c>
      <c r="AY197" s="13" t="s">
        <v>79</v>
      </c>
      <c r="BA197" s="7">
        <f>AU197+AV197</f>
        <v>0</v>
      </c>
      <c r="BB197" s="7">
        <f>H197/(100-BC197)*100</f>
        <v>0</v>
      </c>
      <c r="BC197" s="7">
        <v>0</v>
      </c>
      <c r="BD197" s="7">
        <f>M197</f>
        <v>5.3676000000000001E-2</v>
      </c>
      <c r="BF197" s="7">
        <f>G197*AM197</f>
        <v>0</v>
      </c>
      <c r="BG197" s="7">
        <f>G197*AN197</f>
        <v>0</v>
      </c>
      <c r="BH197" s="7">
        <f>G197*H197</f>
        <v>0</v>
      </c>
      <c r="BI197" s="7"/>
      <c r="BJ197" s="7">
        <v>781</v>
      </c>
      <c r="BU197" s="7" t="e">
        <f>#REF!</f>
        <v>#REF!</v>
      </c>
      <c r="BV197" s="3" t="s">
        <v>376</v>
      </c>
    </row>
    <row r="198" spans="1:74" ht="14.4" x14ac:dyDescent="0.3">
      <c r="A198" s="75"/>
      <c r="D198" s="25" t="s">
        <v>373</v>
      </c>
      <c r="E198" s="26" t="s">
        <v>21</v>
      </c>
      <c r="G198" s="27">
        <v>42.96</v>
      </c>
      <c r="N198" s="28"/>
    </row>
    <row r="199" spans="1:74" ht="14.4" x14ac:dyDescent="0.3">
      <c r="A199" s="75"/>
      <c r="D199" s="25" t="s">
        <v>178</v>
      </c>
      <c r="E199" s="26" t="s">
        <v>21</v>
      </c>
      <c r="G199" s="27">
        <v>25.5</v>
      </c>
      <c r="N199" s="28"/>
    </row>
    <row r="200" spans="1:74" ht="14.4" x14ac:dyDescent="0.3">
      <c r="A200" s="75"/>
      <c r="D200" s="25" t="s">
        <v>374</v>
      </c>
      <c r="E200" s="26" t="s">
        <v>21</v>
      </c>
      <c r="G200" s="27">
        <v>21</v>
      </c>
      <c r="N200" s="28"/>
    </row>
    <row r="201" spans="1:74" ht="14.4" x14ac:dyDescent="0.3">
      <c r="A201" s="75"/>
      <c r="D201" s="25" t="s">
        <v>377</v>
      </c>
      <c r="E201" s="26" t="s">
        <v>21</v>
      </c>
      <c r="G201" s="27">
        <v>17.891999999999999</v>
      </c>
      <c r="N201" s="28"/>
    </row>
    <row r="202" spans="1:74" ht="14.4" x14ac:dyDescent="0.3">
      <c r="A202" s="74" t="s">
        <v>378</v>
      </c>
      <c r="B202" s="2" t="s">
        <v>21</v>
      </c>
      <c r="C202" s="2" t="s">
        <v>379</v>
      </c>
      <c r="D202" s="152" t="s">
        <v>380</v>
      </c>
      <c r="E202" s="153"/>
      <c r="F202" s="2" t="s">
        <v>140</v>
      </c>
      <c r="G202" s="7">
        <v>0.45200000000000001</v>
      </c>
      <c r="H202" s="86">
        <v>0</v>
      </c>
      <c r="I202" s="7">
        <f>G202*AM202</f>
        <v>0</v>
      </c>
      <c r="J202" s="7">
        <f>G202*AN202</f>
        <v>0</v>
      </c>
      <c r="K202" s="7">
        <f>G202*H202</f>
        <v>0</v>
      </c>
      <c r="L202" s="7">
        <v>0</v>
      </c>
      <c r="M202" s="7">
        <f>G202*L202</f>
        <v>0</v>
      </c>
      <c r="N202" s="24" t="s">
        <v>76</v>
      </c>
      <c r="X202" s="7">
        <f>IF(AO202="5",BH202,0)</f>
        <v>0</v>
      </c>
      <c r="Z202" s="7">
        <f>IF(AO202="1",BF202,0)</f>
        <v>0</v>
      </c>
      <c r="AA202" s="7">
        <f>IF(AO202="1",BG202,0)</f>
        <v>0</v>
      </c>
      <c r="AB202" s="7">
        <f>IF(AO202="7",BF202,0)</f>
        <v>0</v>
      </c>
      <c r="AC202" s="7">
        <f>IF(AO202="7",BG202,0)</f>
        <v>0</v>
      </c>
      <c r="AD202" s="7">
        <f>IF(AO202="2",BF202,0)</f>
        <v>0</v>
      </c>
      <c r="AE202" s="7">
        <f>IF(AO202="2",BG202,0)</f>
        <v>0</v>
      </c>
      <c r="AF202" s="7">
        <f>IF(AO202="0",BH202,0)</f>
        <v>0</v>
      </c>
      <c r="AG202" s="13" t="s">
        <v>21</v>
      </c>
      <c r="AH202" s="7">
        <f>IF(AL202=0,K202,0)</f>
        <v>0</v>
      </c>
      <c r="AI202" s="7">
        <f>IF(AL202=12,K202,0)</f>
        <v>0</v>
      </c>
      <c r="AJ202" s="7">
        <f>IF(AL202=21,K202,0)</f>
        <v>0</v>
      </c>
      <c r="AL202" s="7">
        <v>21</v>
      </c>
      <c r="AM202" s="7">
        <f>H202*0</f>
        <v>0</v>
      </c>
      <c r="AN202" s="7">
        <f>H202*(1-0)</f>
        <v>0</v>
      </c>
      <c r="AO202" s="23" t="s">
        <v>106</v>
      </c>
      <c r="AT202" s="7">
        <f>AU202+AV202</f>
        <v>0</v>
      </c>
      <c r="AU202" s="7">
        <f>G202*AM202</f>
        <v>0</v>
      </c>
      <c r="AV202" s="7">
        <f>G202*AN202</f>
        <v>0</v>
      </c>
      <c r="AW202" s="23" t="s">
        <v>353</v>
      </c>
      <c r="AX202" s="23" t="s">
        <v>354</v>
      </c>
      <c r="AY202" s="13" t="s">
        <v>79</v>
      </c>
      <c r="BA202" s="7">
        <f>AU202+AV202</f>
        <v>0</v>
      </c>
      <c r="BB202" s="7">
        <f>H202/(100-BC202)*100</f>
        <v>0</v>
      </c>
      <c r="BC202" s="7">
        <v>0</v>
      </c>
      <c r="BD202" s="7">
        <f>M202</f>
        <v>0</v>
      </c>
      <c r="BF202" s="7">
        <f>G202*AM202</f>
        <v>0</v>
      </c>
      <c r="BG202" s="7">
        <f>G202*AN202</f>
        <v>0</v>
      </c>
      <c r="BH202" s="7">
        <f>G202*H202</f>
        <v>0</v>
      </c>
      <c r="BI202" s="7"/>
      <c r="BJ202" s="7">
        <v>781</v>
      </c>
      <c r="BU202" s="7" t="e">
        <f>#REF!</f>
        <v>#REF!</v>
      </c>
      <c r="BV202" s="3" t="s">
        <v>380</v>
      </c>
    </row>
    <row r="203" spans="1:74" ht="14.4" x14ac:dyDescent="0.3">
      <c r="A203" s="73" t="s">
        <v>21</v>
      </c>
      <c r="B203" s="20" t="s">
        <v>21</v>
      </c>
      <c r="C203" s="20" t="s">
        <v>36</v>
      </c>
      <c r="D203" s="158" t="s">
        <v>37</v>
      </c>
      <c r="E203" s="159"/>
      <c r="F203" s="21" t="s">
        <v>12</v>
      </c>
      <c r="G203" s="21" t="s">
        <v>12</v>
      </c>
      <c r="H203" s="21" t="s">
        <v>12</v>
      </c>
      <c r="I203" s="12">
        <f>SUM(I204:I222)</f>
        <v>0</v>
      </c>
      <c r="J203" s="12">
        <f>SUM(J204:J222)</f>
        <v>0</v>
      </c>
      <c r="K203" s="12">
        <f>SUM(K204:K222)</f>
        <v>0</v>
      </c>
      <c r="L203" s="13" t="s">
        <v>21</v>
      </c>
      <c r="M203" s="12">
        <f>SUM(M204:M222)</f>
        <v>0.25972888</v>
      </c>
      <c r="N203" s="22" t="s">
        <v>21</v>
      </c>
      <c r="AG203" s="13" t="s">
        <v>21</v>
      </c>
      <c r="AQ203" s="12">
        <f>SUM(AH204:AH222)</f>
        <v>0</v>
      </c>
      <c r="AR203" s="12">
        <f>SUM(AI204:AI222)</f>
        <v>0</v>
      </c>
      <c r="AS203" s="12">
        <f>SUM(AJ204:AJ222)</f>
        <v>0</v>
      </c>
    </row>
    <row r="204" spans="1:74" ht="14.4" x14ac:dyDescent="0.3">
      <c r="A204" s="74" t="s">
        <v>381</v>
      </c>
      <c r="B204" s="2" t="s">
        <v>21</v>
      </c>
      <c r="C204" s="2" t="s">
        <v>382</v>
      </c>
      <c r="D204" s="152" t="s">
        <v>383</v>
      </c>
      <c r="E204" s="153"/>
      <c r="F204" s="2" t="s">
        <v>74</v>
      </c>
      <c r="G204" s="7">
        <v>181.96299999999999</v>
      </c>
      <c r="H204" s="86">
        <v>0</v>
      </c>
      <c r="I204" s="7">
        <f>G204*AM204</f>
        <v>0</v>
      </c>
      <c r="J204" s="7">
        <f>G204*AN204</f>
        <v>0</v>
      </c>
      <c r="K204" s="7">
        <f>G204*H204</f>
        <v>0</v>
      </c>
      <c r="L204" s="7">
        <v>4.0000000000000003E-5</v>
      </c>
      <c r="M204" s="7">
        <f>G204*L204</f>
        <v>7.2785200000000001E-3</v>
      </c>
      <c r="N204" s="24" t="s">
        <v>76</v>
      </c>
      <c r="X204" s="7">
        <f>IF(AO204="5",BH204,0)</f>
        <v>0</v>
      </c>
      <c r="Z204" s="7">
        <f>IF(AO204="1",BF204,0)</f>
        <v>0</v>
      </c>
      <c r="AA204" s="7">
        <f>IF(AO204="1",BG204,0)</f>
        <v>0</v>
      </c>
      <c r="AB204" s="7">
        <f>IF(AO204="7",BF204,0)</f>
        <v>0</v>
      </c>
      <c r="AC204" s="7">
        <f>IF(AO204="7",BG204,0)</f>
        <v>0</v>
      </c>
      <c r="AD204" s="7">
        <f>IF(AO204="2",BF204,0)</f>
        <v>0</v>
      </c>
      <c r="AE204" s="7">
        <f>IF(AO204="2",BG204,0)</f>
        <v>0</v>
      </c>
      <c r="AF204" s="7">
        <f>IF(AO204="0",BH204,0)</f>
        <v>0</v>
      </c>
      <c r="AG204" s="13" t="s">
        <v>21</v>
      </c>
      <c r="AH204" s="7">
        <f>IF(AL204=0,K204,0)</f>
        <v>0</v>
      </c>
      <c r="AI204" s="7">
        <f>IF(AL204=12,K204,0)</f>
        <v>0</v>
      </c>
      <c r="AJ204" s="7">
        <f>IF(AL204=21,K204,0)</f>
        <v>0</v>
      </c>
      <c r="AL204" s="7">
        <v>21</v>
      </c>
      <c r="AM204" s="7">
        <f>H204*0.312807453</f>
        <v>0</v>
      </c>
      <c r="AN204" s="7">
        <f>H204*(1-0.312807453)</f>
        <v>0</v>
      </c>
      <c r="AO204" s="23" t="s">
        <v>123</v>
      </c>
      <c r="AT204" s="7">
        <f>AU204+AV204</f>
        <v>0</v>
      </c>
      <c r="AU204" s="7">
        <f>G204*AM204</f>
        <v>0</v>
      </c>
      <c r="AV204" s="7">
        <f>G204*AN204</f>
        <v>0</v>
      </c>
      <c r="AW204" s="23" t="s">
        <v>384</v>
      </c>
      <c r="AX204" s="23" t="s">
        <v>354</v>
      </c>
      <c r="AY204" s="13" t="s">
        <v>79</v>
      </c>
      <c r="BA204" s="7">
        <f>AU204+AV204</f>
        <v>0</v>
      </c>
      <c r="BB204" s="7">
        <f>H204/(100-BC204)*100</f>
        <v>0</v>
      </c>
      <c r="BC204" s="7">
        <v>0</v>
      </c>
      <c r="BD204" s="7">
        <f>M204</f>
        <v>7.2785200000000001E-3</v>
      </c>
      <c r="BF204" s="7">
        <f>G204*AM204</f>
        <v>0</v>
      </c>
      <c r="BG204" s="7">
        <f>G204*AN204</f>
        <v>0</v>
      </c>
      <c r="BH204" s="7">
        <f>G204*H204</f>
        <v>0</v>
      </c>
      <c r="BI204" s="7"/>
      <c r="BJ204" s="7">
        <v>784</v>
      </c>
      <c r="BU204" s="7" t="e">
        <f>#REF!</f>
        <v>#REF!</v>
      </c>
      <c r="BV204" s="3" t="s">
        <v>383</v>
      </c>
    </row>
    <row r="205" spans="1:74" ht="14.4" x14ac:dyDescent="0.3">
      <c r="A205" s="75"/>
      <c r="D205" s="25" t="s">
        <v>80</v>
      </c>
      <c r="E205" s="26" t="s">
        <v>81</v>
      </c>
      <c r="G205" s="27">
        <v>7.2249999999999996</v>
      </c>
      <c r="N205" s="28"/>
    </row>
    <row r="206" spans="1:74" ht="14.4" x14ac:dyDescent="0.3">
      <c r="A206" s="75"/>
      <c r="D206" s="25" t="s">
        <v>287</v>
      </c>
      <c r="E206" s="26" t="s">
        <v>93</v>
      </c>
      <c r="G206" s="27">
        <v>98.933000000000007</v>
      </c>
      <c r="N206" s="28"/>
    </row>
    <row r="207" spans="1:74" ht="14.4" x14ac:dyDescent="0.3">
      <c r="A207" s="75"/>
      <c r="D207" s="25" t="s">
        <v>94</v>
      </c>
      <c r="E207" s="26" t="s">
        <v>95</v>
      </c>
      <c r="G207" s="27">
        <v>4.9530000000000003</v>
      </c>
      <c r="N207" s="28"/>
    </row>
    <row r="208" spans="1:74" ht="14.4" x14ac:dyDescent="0.3">
      <c r="A208" s="75"/>
      <c r="D208" s="25" t="s">
        <v>99</v>
      </c>
      <c r="E208" s="26" t="s">
        <v>119</v>
      </c>
      <c r="G208" s="27">
        <v>41.496000000000002</v>
      </c>
      <c r="N208" s="28"/>
    </row>
    <row r="209" spans="1:74" ht="14.4" x14ac:dyDescent="0.3">
      <c r="A209" s="75"/>
      <c r="D209" s="25" t="s">
        <v>288</v>
      </c>
      <c r="E209" s="26" t="s">
        <v>121</v>
      </c>
      <c r="G209" s="27">
        <v>21.06</v>
      </c>
      <c r="N209" s="28"/>
    </row>
    <row r="210" spans="1:74" ht="14.4" x14ac:dyDescent="0.3">
      <c r="A210" s="75"/>
      <c r="D210" s="25" t="s">
        <v>87</v>
      </c>
      <c r="E210" s="26" t="s">
        <v>88</v>
      </c>
      <c r="G210" s="27">
        <v>2.1669999999999998</v>
      </c>
      <c r="N210" s="28"/>
    </row>
    <row r="211" spans="1:74" ht="14.4" x14ac:dyDescent="0.3">
      <c r="A211" s="75"/>
      <c r="D211" s="25" t="s">
        <v>104</v>
      </c>
      <c r="E211" s="26" t="s">
        <v>169</v>
      </c>
      <c r="G211" s="27">
        <v>3.915</v>
      </c>
      <c r="N211" s="28"/>
    </row>
    <row r="212" spans="1:74" ht="14.4" x14ac:dyDescent="0.3">
      <c r="A212" s="75"/>
      <c r="D212" s="25" t="s">
        <v>109</v>
      </c>
      <c r="E212" s="26" t="s">
        <v>171</v>
      </c>
      <c r="G212" s="27">
        <v>2.214</v>
      </c>
      <c r="N212" s="28"/>
    </row>
    <row r="213" spans="1:74" ht="14.4" x14ac:dyDescent="0.3">
      <c r="A213" s="74" t="s">
        <v>385</v>
      </c>
      <c r="B213" s="2" t="s">
        <v>21</v>
      </c>
      <c r="C213" s="2" t="s">
        <v>386</v>
      </c>
      <c r="D213" s="152" t="s">
        <v>387</v>
      </c>
      <c r="E213" s="153"/>
      <c r="F213" s="2" t="s">
        <v>74</v>
      </c>
      <c r="G213" s="7">
        <v>275.10000000000002</v>
      </c>
      <c r="H213" s="86">
        <v>0</v>
      </c>
      <c r="I213" s="7">
        <f>G213*AM213</f>
        <v>0</v>
      </c>
      <c r="J213" s="7">
        <f>G213*AN213</f>
        <v>0</v>
      </c>
      <c r="K213" s="7">
        <f>G213*H213</f>
        <v>0</v>
      </c>
      <c r="L213" s="7">
        <v>3.5E-4</v>
      </c>
      <c r="M213" s="7">
        <f>G213*L213</f>
        <v>9.6285000000000009E-2</v>
      </c>
      <c r="N213" s="24" t="s">
        <v>76</v>
      </c>
      <c r="X213" s="7">
        <f>IF(AO213="5",BH213,0)</f>
        <v>0</v>
      </c>
      <c r="Z213" s="7">
        <f>IF(AO213="1",BF213,0)</f>
        <v>0</v>
      </c>
      <c r="AA213" s="7">
        <f>IF(AO213="1",BG213,0)</f>
        <v>0</v>
      </c>
      <c r="AB213" s="7">
        <f>IF(AO213="7",BF213,0)</f>
        <v>0</v>
      </c>
      <c r="AC213" s="7">
        <f>IF(AO213="7",BG213,0)</f>
        <v>0</v>
      </c>
      <c r="AD213" s="7">
        <f>IF(AO213="2",BF213,0)</f>
        <v>0</v>
      </c>
      <c r="AE213" s="7">
        <f>IF(AO213="2",BG213,0)</f>
        <v>0</v>
      </c>
      <c r="AF213" s="7">
        <f>IF(AO213="0",BH213,0)</f>
        <v>0</v>
      </c>
      <c r="AG213" s="13" t="s">
        <v>21</v>
      </c>
      <c r="AH213" s="7">
        <f>IF(AL213=0,K213,0)</f>
        <v>0</v>
      </c>
      <c r="AI213" s="7">
        <f>IF(AL213=12,K213,0)</f>
        <v>0</v>
      </c>
      <c r="AJ213" s="7">
        <f>IF(AL213=21,K213,0)</f>
        <v>0</v>
      </c>
      <c r="AL213" s="7">
        <v>21</v>
      </c>
      <c r="AM213" s="7">
        <f>H213*0.600480769</f>
        <v>0</v>
      </c>
      <c r="AN213" s="7">
        <f>H213*(1-0.600480769)</f>
        <v>0</v>
      </c>
      <c r="AO213" s="23" t="s">
        <v>123</v>
      </c>
      <c r="AT213" s="7">
        <f>AU213+AV213</f>
        <v>0</v>
      </c>
      <c r="AU213" s="7">
        <f>G213*AM213</f>
        <v>0</v>
      </c>
      <c r="AV213" s="7">
        <f>G213*AN213</f>
        <v>0</v>
      </c>
      <c r="AW213" s="23" t="s">
        <v>384</v>
      </c>
      <c r="AX213" s="23" t="s">
        <v>354</v>
      </c>
      <c r="AY213" s="13" t="s">
        <v>79</v>
      </c>
      <c r="BA213" s="7">
        <f>AU213+AV213</f>
        <v>0</v>
      </c>
      <c r="BB213" s="7">
        <f>H213/(100-BC213)*100</f>
        <v>0</v>
      </c>
      <c r="BC213" s="7">
        <v>0</v>
      </c>
      <c r="BD213" s="7">
        <f>M213</f>
        <v>9.6285000000000009E-2</v>
      </c>
      <c r="BF213" s="7">
        <f>G213*AM213</f>
        <v>0</v>
      </c>
      <c r="BG213" s="7">
        <f>G213*AN213</f>
        <v>0</v>
      </c>
      <c r="BH213" s="7">
        <f>G213*H213</f>
        <v>0</v>
      </c>
      <c r="BI213" s="7"/>
      <c r="BJ213" s="7">
        <v>784</v>
      </c>
      <c r="BU213" s="7" t="e">
        <f>#REF!</f>
        <v>#REF!</v>
      </c>
      <c r="BV213" s="3" t="s">
        <v>387</v>
      </c>
    </row>
    <row r="214" spans="1:74" ht="14.4" x14ac:dyDescent="0.3">
      <c r="A214" s="75"/>
      <c r="D214" s="25" t="s">
        <v>388</v>
      </c>
      <c r="E214" s="26" t="s">
        <v>389</v>
      </c>
      <c r="G214" s="27">
        <v>275.10000000000002</v>
      </c>
      <c r="N214" s="28"/>
    </row>
    <row r="215" spans="1:74" ht="14.4" x14ac:dyDescent="0.3">
      <c r="A215" s="74" t="s">
        <v>390</v>
      </c>
      <c r="B215" s="2" t="s">
        <v>21</v>
      </c>
      <c r="C215" s="2" t="s">
        <v>391</v>
      </c>
      <c r="D215" s="152" t="s">
        <v>392</v>
      </c>
      <c r="E215" s="153"/>
      <c r="F215" s="2" t="s">
        <v>74</v>
      </c>
      <c r="G215" s="7">
        <v>159.6</v>
      </c>
      <c r="H215" s="86">
        <v>0</v>
      </c>
      <c r="I215" s="7">
        <f>G215*AM215</f>
        <v>0</v>
      </c>
      <c r="J215" s="7">
        <f>G215*AN215</f>
        <v>0</v>
      </c>
      <c r="K215" s="7">
        <f>G215*H215</f>
        <v>0</v>
      </c>
      <c r="L215" s="7">
        <v>1.0000000000000001E-5</v>
      </c>
      <c r="M215" s="7">
        <f>G215*L215</f>
        <v>1.596E-3</v>
      </c>
      <c r="N215" s="24" t="s">
        <v>76</v>
      </c>
      <c r="X215" s="7">
        <f>IF(AO215="5",BH215,0)</f>
        <v>0</v>
      </c>
      <c r="Z215" s="7">
        <f>IF(AO215="1",BF215,0)</f>
        <v>0</v>
      </c>
      <c r="AA215" s="7">
        <f>IF(AO215="1",BG215,0)</f>
        <v>0</v>
      </c>
      <c r="AB215" s="7">
        <f>IF(AO215="7",BF215,0)</f>
        <v>0</v>
      </c>
      <c r="AC215" s="7">
        <f>IF(AO215="7",BG215,0)</f>
        <v>0</v>
      </c>
      <c r="AD215" s="7">
        <f>IF(AO215="2",BF215,0)</f>
        <v>0</v>
      </c>
      <c r="AE215" s="7">
        <f>IF(AO215="2",BG215,0)</f>
        <v>0</v>
      </c>
      <c r="AF215" s="7">
        <f>IF(AO215="0",BH215,0)</f>
        <v>0</v>
      </c>
      <c r="AG215" s="13" t="s">
        <v>21</v>
      </c>
      <c r="AH215" s="7">
        <f>IF(AL215=0,K215,0)</f>
        <v>0</v>
      </c>
      <c r="AI215" s="7">
        <f>IF(AL215=12,K215,0)</f>
        <v>0</v>
      </c>
      <c r="AJ215" s="7">
        <f>IF(AL215=21,K215,0)</f>
        <v>0</v>
      </c>
      <c r="AL215" s="7">
        <v>21</v>
      </c>
      <c r="AM215" s="7">
        <f>H215*0.306589147</f>
        <v>0</v>
      </c>
      <c r="AN215" s="7">
        <f>H215*(1-0.306589147)</f>
        <v>0</v>
      </c>
      <c r="AO215" s="23" t="s">
        <v>123</v>
      </c>
      <c r="AT215" s="7">
        <f>AU215+AV215</f>
        <v>0</v>
      </c>
      <c r="AU215" s="7">
        <f>G215*AM215</f>
        <v>0</v>
      </c>
      <c r="AV215" s="7">
        <f>G215*AN215</f>
        <v>0</v>
      </c>
      <c r="AW215" s="23" t="s">
        <v>384</v>
      </c>
      <c r="AX215" s="23" t="s">
        <v>354</v>
      </c>
      <c r="AY215" s="13" t="s">
        <v>79</v>
      </c>
      <c r="BA215" s="7">
        <f>AU215+AV215</f>
        <v>0</v>
      </c>
      <c r="BB215" s="7">
        <f>H215/(100-BC215)*100</f>
        <v>0</v>
      </c>
      <c r="BC215" s="7">
        <v>0</v>
      </c>
      <c r="BD215" s="7">
        <f>M215</f>
        <v>1.596E-3</v>
      </c>
      <c r="BF215" s="7">
        <f>G215*AM215</f>
        <v>0</v>
      </c>
      <c r="BG215" s="7">
        <f>G215*AN215</f>
        <v>0</v>
      </c>
      <c r="BH215" s="7">
        <f>G215*H215</f>
        <v>0</v>
      </c>
      <c r="BI215" s="7"/>
      <c r="BJ215" s="7">
        <v>784</v>
      </c>
      <c r="BU215" s="7" t="e">
        <f>#REF!</f>
        <v>#REF!</v>
      </c>
      <c r="BV215" s="3" t="s">
        <v>392</v>
      </c>
    </row>
    <row r="216" spans="1:74" ht="14.4" x14ac:dyDescent="0.3">
      <c r="A216" s="75"/>
      <c r="D216" s="25" t="s">
        <v>393</v>
      </c>
      <c r="E216" s="26" t="s">
        <v>389</v>
      </c>
      <c r="G216" s="27">
        <v>159.6</v>
      </c>
      <c r="N216" s="28"/>
    </row>
    <row r="217" spans="1:74" ht="14.4" x14ac:dyDescent="0.3">
      <c r="A217" s="74" t="s">
        <v>394</v>
      </c>
      <c r="B217" s="2" t="s">
        <v>21</v>
      </c>
      <c r="C217" s="2" t="s">
        <v>395</v>
      </c>
      <c r="D217" s="152" t="s">
        <v>396</v>
      </c>
      <c r="E217" s="153"/>
      <c r="F217" s="2" t="s">
        <v>74</v>
      </c>
      <c r="G217" s="7">
        <v>151.464</v>
      </c>
      <c r="H217" s="86">
        <v>0</v>
      </c>
      <c r="I217" s="7">
        <f>G217*AM217</f>
        <v>0</v>
      </c>
      <c r="J217" s="7">
        <f>G217*AN217</f>
        <v>0</v>
      </c>
      <c r="K217" s="7">
        <f>G217*H217</f>
        <v>0</v>
      </c>
      <c r="L217" s="7">
        <v>4.2000000000000002E-4</v>
      </c>
      <c r="M217" s="7">
        <f>G217*L217</f>
        <v>6.3614879999999999E-2</v>
      </c>
      <c r="N217" s="24" t="s">
        <v>76</v>
      </c>
      <c r="X217" s="7">
        <f>IF(AO217="5",BH217,0)</f>
        <v>0</v>
      </c>
      <c r="Z217" s="7">
        <f>IF(AO217="1",BF217,0)</f>
        <v>0</v>
      </c>
      <c r="AA217" s="7">
        <f>IF(AO217="1",BG217,0)</f>
        <v>0</v>
      </c>
      <c r="AB217" s="7">
        <f>IF(AO217="7",BF217,0)</f>
        <v>0</v>
      </c>
      <c r="AC217" s="7">
        <f>IF(AO217="7",BG217,0)</f>
        <v>0</v>
      </c>
      <c r="AD217" s="7">
        <f>IF(AO217="2",BF217,0)</f>
        <v>0</v>
      </c>
      <c r="AE217" s="7">
        <f>IF(AO217="2",BG217,0)</f>
        <v>0</v>
      </c>
      <c r="AF217" s="7">
        <f>IF(AO217="0",BH217,0)</f>
        <v>0</v>
      </c>
      <c r="AG217" s="13" t="s">
        <v>21</v>
      </c>
      <c r="AH217" s="7">
        <f>IF(AL217=0,K217,0)</f>
        <v>0</v>
      </c>
      <c r="AI217" s="7">
        <f>IF(AL217=12,K217,0)</f>
        <v>0</v>
      </c>
      <c r="AJ217" s="7">
        <f>IF(AL217=21,K217,0)</f>
        <v>0</v>
      </c>
      <c r="AL217" s="7">
        <v>21</v>
      </c>
      <c r="AM217" s="7">
        <f>H217*0.182952381</f>
        <v>0</v>
      </c>
      <c r="AN217" s="7">
        <f>H217*(1-0.182952381)</f>
        <v>0</v>
      </c>
      <c r="AO217" s="23" t="s">
        <v>123</v>
      </c>
      <c r="AT217" s="7">
        <f>AU217+AV217</f>
        <v>0</v>
      </c>
      <c r="AU217" s="7">
        <f>G217*AM217</f>
        <v>0</v>
      </c>
      <c r="AV217" s="7">
        <f>G217*AN217</f>
        <v>0</v>
      </c>
      <c r="AW217" s="23" t="s">
        <v>384</v>
      </c>
      <c r="AX217" s="23" t="s">
        <v>354</v>
      </c>
      <c r="AY217" s="13" t="s">
        <v>79</v>
      </c>
      <c r="BA217" s="7">
        <f>AU217+AV217</f>
        <v>0</v>
      </c>
      <c r="BB217" s="7">
        <f>H217/(100-BC217)*100</f>
        <v>0</v>
      </c>
      <c r="BC217" s="7">
        <v>0</v>
      </c>
      <c r="BD217" s="7">
        <f>M217</f>
        <v>6.3614879999999999E-2</v>
      </c>
      <c r="BF217" s="7">
        <f>G217*AM217</f>
        <v>0</v>
      </c>
      <c r="BG217" s="7">
        <f>G217*AN217</f>
        <v>0</v>
      </c>
      <c r="BH217" s="7">
        <f>G217*H217</f>
        <v>0</v>
      </c>
      <c r="BI217" s="7"/>
      <c r="BJ217" s="7">
        <v>784</v>
      </c>
      <c r="BU217" s="7" t="e">
        <f>#REF!</f>
        <v>#REF!</v>
      </c>
      <c r="BV217" s="3" t="s">
        <v>396</v>
      </c>
    </row>
    <row r="218" spans="1:74" ht="14.4" x14ac:dyDescent="0.3">
      <c r="A218" s="75"/>
      <c r="D218" s="25" t="s">
        <v>397</v>
      </c>
      <c r="E218" s="26" t="s">
        <v>398</v>
      </c>
      <c r="G218" s="27">
        <v>151.464</v>
      </c>
      <c r="N218" s="28"/>
    </row>
    <row r="219" spans="1:74" ht="14.4" x14ac:dyDescent="0.3">
      <c r="A219" s="74" t="s">
        <v>399</v>
      </c>
      <c r="B219" s="2" t="s">
        <v>21</v>
      </c>
      <c r="C219" s="2" t="s">
        <v>400</v>
      </c>
      <c r="D219" s="152" t="s">
        <v>401</v>
      </c>
      <c r="E219" s="153"/>
      <c r="F219" s="2" t="s">
        <v>74</v>
      </c>
      <c r="G219" s="7">
        <v>378.97699999999998</v>
      </c>
      <c r="H219" s="86">
        <v>0</v>
      </c>
      <c r="I219" s="7">
        <f>G219*AM219</f>
        <v>0</v>
      </c>
      <c r="J219" s="7">
        <f>G219*AN219</f>
        <v>0</v>
      </c>
      <c r="K219" s="7">
        <f>G219*H219</f>
        <v>0</v>
      </c>
      <c r="L219" s="7">
        <v>2.4000000000000001E-4</v>
      </c>
      <c r="M219" s="7">
        <f>G219*L219</f>
        <v>9.095447999999999E-2</v>
      </c>
      <c r="N219" s="24" t="s">
        <v>76</v>
      </c>
      <c r="X219" s="7">
        <f>IF(AO219="5",BH219,0)</f>
        <v>0</v>
      </c>
      <c r="Z219" s="7">
        <f>IF(AO219="1",BF219,0)</f>
        <v>0</v>
      </c>
      <c r="AA219" s="7">
        <f>IF(AO219="1",BG219,0)</f>
        <v>0</v>
      </c>
      <c r="AB219" s="7">
        <f>IF(AO219="7",BF219,0)</f>
        <v>0</v>
      </c>
      <c r="AC219" s="7">
        <f>IF(AO219="7",BG219,0)</f>
        <v>0</v>
      </c>
      <c r="AD219" s="7">
        <f>IF(AO219="2",BF219,0)</f>
        <v>0</v>
      </c>
      <c r="AE219" s="7">
        <f>IF(AO219="2",BG219,0)</f>
        <v>0</v>
      </c>
      <c r="AF219" s="7">
        <f>IF(AO219="0",BH219,0)</f>
        <v>0</v>
      </c>
      <c r="AG219" s="13" t="s">
        <v>21</v>
      </c>
      <c r="AH219" s="7">
        <f>IF(AL219=0,K219,0)</f>
        <v>0</v>
      </c>
      <c r="AI219" s="7">
        <f>IF(AL219=12,K219,0)</f>
        <v>0</v>
      </c>
      <c r="AJ219" s="7">
        <f>IF(AL219=21,K219,0)</f>
        <v>0</v>
      </c>
      <c r="AL219" s="7">
        <v>21</v>
      </c>
      <c r="AM219" s="7">
        <f>H219*0.060934578</f>
        <v>0</v>
      </c>
      <c r="AN219" s="7">
        <f>H219*(1-0.060934578)</f>
        <v>0</v>
      </c>
      <c r="AO219" s="23" t="s">
        <v>123</v>
      </c>
      <c r="AT219" s="7">
        <f>AU219+AV219</f>
        <v>0</v>
      </c>
      <c r="AU219" s="7">
        <f>G219*AM219</f>
        <v>0</v>
      </c>
      <c r="AV219" s="7">
        <f>G219*AN219</f>
        <v>0</v>
      </c>
      <c r="AW219" s="23" t="s">
        <v>384</v>
      </c>
      <c r="AX219" s="23" t="s">
        <v>354</v>
      </c>
      <c r="AY219" s="13" t="s">
        <v>79</v>
      </c>
      <c r="BA219" s="7">
        <f>AU219+AV219</f>
        <v>0</v>
      </c>
      <c r="BB219" s="7">
        <f>H219/(100-BC219)*100</f>
        <v>0</v>
      </c>
      <c r="BC219" s="7">
        <v>0</v>
      </c>
      <c r="BD219" s="7">
        <f>M219</f>
        <v>9.095447999999999E-2</v>
      </c>
      <c r="BF219" s="7">
        <f>G219*AM219</f>
        <v>0</v>
      </c>
      <c r="BG219" s="7">
        <f>G219*AN219</f>
        <v>0</v>
      </c>
      <c r="BH219" s="7">
        <f>G219*H219</f>
        <v>0</v>
      </c>
      <c r="BI219" s="7"/>
      <c r="BJ219" s="7">
        <v>784</v>
      </c>
      <c r="BU219" s="7" t="e">
        <f>#REF!</f>
        <v>#REF!</v>
      </c>
      <c r="BV219" s="3" t="s">
        <v>401</v>
      </c>
    </row>
    <row r="220" spans="1:74" ht="14.4" x14ac:dyDescent="0.3">
      <c r="A220" s="75"/>
      <c r="D220" s="25" t="s">
        <v>402</v>
      </c>
      <c r="E220" s="26" t="s">
        <v>403</v>
      </c>
      <c r="G220" s="27">
        <v>560.94000000000005</v>
      </c>
      <c r="N220" s="28"/>
    </row>
    <row r="221" spans="1:74" ht="14.4" x14ac:dyDescent="0.3">
      <c r="A221" s="75"/>
      <c r="D221" s="25" t="s">
        <v>404</v>
      </c>
      <c r="E221" s="26" t="s">
        <v>405</v>
      </c>
      <c r="G221" s="27">
        <v>-181.96299999999999</v>
      </c>
      <c r="N221" s="28"/>
    </row>
    <row r="222" spans="1:74" ht="14.4" x14ac:dyDescent="0.3">
      <c r="A222" s="74" t="s">
        <v>406</v>
      </c>
      <c r="B222" s="2" t="s">
        <v>21</v>
      </c>
      <c r="C222" s="2" t="s">
        <v>212</v>
      </c>
      <c r="D222" s="152" t="s">
        <v>213</v>
      </c>
      <c r="E222" s="153"/>
      <c r="F222" s="2" t="s">
        <v>140</v>
      </c>
      <c r="G222" s="7">
        <v>0.26</v>
      </c>
      <c r="H222" s="86">
        <v>0</v>
      </c>
      <c r="I222" s="7">
        <f>G222*AM222</f>
        <v>0</v>
      </c>
      <c r="J222" s="7">
        <f>G222*AN222</f>
        <v>0</v>
      </c>
      <c r="K222" s="7">
        <f>G222*H222</f>
        <v>0</v>
      </c>
      <c r="L222" s="7">
        <v>0</v>
      </c>
      <c r="M222" s="7">
        <f>G222*L222</f>
        <v>0</v>
      </c>
      <c r="N222" s="24" t="s">
        <v>76</v>
      </c>
      <c r="X222" s="7">
        <f>IF(AO222="5",BH222,0)</f>
        <v>0</v>
      </c>
      <c r="Z222" s="7">
        <f>IF(AO222="1",BF222,0)</f>
        <v>0</v>
      </c>
      <c r="AA222" s="7">
        <f>IF(AO222="1",BG222,0)</f>
        <v>0</v>
      </c>
      <c r="AB222" s="7">
        <f>IF(AO222="7",BF222,0)</f>
        <v>0</v>
      </c>
      <c r="AC222" s="7">
        <f>IF(AO222="7",BG222,0)</f>
        <v>0</v>
      </c>
      <c r="AD222" s="7">
        <f>IF(AO222="2",BF222,0)</f>
        <v>0</v>
      </c>
      <c r="AE222" s="7">
        <f>IF(AO222="2",BG222,0)</f>
        <v>0</v>
      </c>
      <c r="AF222" s="7">
        <f>IF(AO222="0",BH222,0)</f>
        <v>0</v>
      </c>
      <c r="AG222" s="13" t="s">
        <v>21</v>
      </c>
      <c r="AH222" s="7">
        <f>IF(AL222=0,K222,0)</f>
        <v>0</v>
      </c>
      <c r="AI222" s="7">
        <f>IF(AL222=12,K222,0)</f>
        <v>0</v>
      </c>
      <c r="AJ222" s="7">
        <f>IF(AL222=21,K222,0)</f>
        <v>0</v>
      </c>
      <c r="AL222" s="7">
        <v>21</v>
      </c>
      <c r="AM222" s="7">
        <f>H222*0</f>
        <v>0</v>
      </c>
      <c r="AN222" s="7">
        <f>H222*(1-0)</f>
        <v>0</v>
      </c>
      <c r="AO222" s="23" t="s">
        <v>106</v>
      </c>
      <c r="AT222" s="7">
        <f>AU222+AV222</f>
        <v>0</v>
      </c>
      <c r="AU222" s="7">
        <f>G222*AM222</f>
        <v>0</v>
      </c>
      <c r="AV222" s="7">
        <f>G222*AN222</f>
        <v>0</v>
      </c>
      <c r="AW222" s="23" t="s">
        <v>384</v>
      </c>
      <c r="AX222" s="23" t="s">
        <v>354</v>
      </c>
      <c r="AY222" s="13" t="s">
        <v>79</v>
      </c>
      <c r="BA222" s="7">
        <f>AU222+AV222</f>
        <v>0</v>
      </c>
      <c r="BB222" s="7">
        <f>H222/(100-BC222)*100</f>
        <v>0</v>
      </c>
      <c r="BC222" s="7">
        <v>0</v>
      </c>
      <c r="BD222" s="7">
        <f>M222</f>
        <v>0</v>
      </c>
      <c r="BF222" s="7">
        <f>G222*AM222</f>
        <v>0</v>
      </c>
      <c r="BG222" s="7">
        <f>G222*AN222</f>
        <v>0</v>
      </c>
      <c r="BH222" s="7">
        <f>G222*H222</f>
        <v>0</v>
      </c>
      <c r="BI222" s="7"/>
      <c r="BJ222" s="7">
        <v>784</v>
      </c>
      <c r="BU222" s="7" t="e">
        <f>#REF!</f>
        <v>#REF!</v>
      </c>
      <c r="BV222" s="3" t="s">
        <v>213</v>
      </c>
    </row>
    <row r="223" spans="1:74" ht="14.4" x14ac:dyDescent="0.3">
      <c r="A223" s="73" t="s">
        <v>21</v>
      </c>
      <c r="B223" s="20" t="s">
        <v>21</v>
      </c>
      <c r="C223" s="20" t="s">
        <v>38</v>
      </c>
      <c r="D223" s="158" t="s">
        <v>39</v>
      </c>
      <c r="E223" s="159"/>
      <c r="F223" s="21" t="s">
        <v>12</v>
      </c>
      <c r="G223" s="21" t="s">
        <v>12</v>
      </c>
      <c r="H223" s="21" t="s">
        <v>12</v>
      </c>
      <c r="I223" s="12">
        <f>SUM(I224:I240)</f>
        <v>0</v>
      </c>
      <c r="J223" s="12">
        <f>SUM(J224:J240)</f>
        <v>0</v>
      </c>
      <c r="K223" s="12">
        <f>SUM(K224:K240)</f>
        <v>0</v>
      </c>
      <c r="L223" s="13" t="s">
        <v>21</v>
      </c>
      <c r="M223" s="12">
        <f>SUM(M224:M240)</f>
        <v>2.1360000000000001</v>
      </c>
      <c r="N223" s="22" t="s">
        <v>21</v>
      </c>
      <c r="AG223" s="13" t="s">
        <v>21</v>
      </c>
      <c r="AQ223" s="12">
        <f>SUM(AH224:AH240)</f>
        <v>0</v>
      </c>
      <c r="AR223" s="12">
        <f>SUM(AI224:AI240)</f>
        <v>0</v>
      </c>
      <c r="AS223" s="12">
        <f>SUM(AJ224:AJ240)</f>
        <v>0</v>
      </c>
    </row>
    <row r="224" spans="1:74" ht="26.4" x14ac:dyDescent="0.3">
      <c r="A224" s="74" t="s">
        <v>407</v>
      </c>
      <c r="B224" s="2" t="s">
        <v>21</v>
      </c>
      <c r="C224" s="2" t="s">
        <v>408</v>
      </c>
      <c r="D224" s="152" t="s">
        <v>409</v>
      </c>
      <c r="E224" s="153"/>
      <c r="F224" s="2" t="s">
        <v>248</v>
      </c>
      <c r="G224" s="7">
        <v>8</v>
      </c>
      <c r="H224" s="86">
        <v>0</v>
      </c>
      <c r="I224" s="7">
        <f>G224*AM224</f>
        <v>0</v>
      </c>
      <c r="J224" s="7">
        <f>G224*AN224</f>
        <v>0</v>
      </c>
      <c r="K224" s="7">
        <f>G224*H224</f>
        <v>0</v>
      </c>
      <c r="L224" s="7">
        <v>4.2000000000000003E-2</v>
      </c>
      <c r="M224" s="7">
        <f>G224*L224</f>
        <v>0.33600000000000002</v>
      </c>
      <c r="N224" s="24" t="s">
        <v>144</v>
      </c>
      <c r="X224" s="7">
        <f>IF(AO224="5",BH224,0)</f>
        <v>0</v>
      </c>
      <c r="Z224" s="7">
        <f>IF(AO224="1",BF224,0)</f>
        <v>0</v>
      </c>
      <c r="AA224" s="7">
        <f>IF(AO224="1",BG224,0)</f>
        <v>0</v>
      </c>
      <c r="AB224" s="7">
        <f>IF(AO224="7",BF224,0)</f>
        <v>0</v>
      </c>
      <c r="AC224" s="7">
        <f>IF(AO224="7",BG224,0)</f>
        <v>0</v>
      </c>
      <c r="AD224" s="7">
        <f>IF(AO224="2",BF224,0)</f>
        <v>0</v>
      </c>
      <c r="AE224" s="7">
        <f>IF(AO224="2",BG224,0)</f>
        <v>0</v>
      </c>
      <c r="AF224" s="7">
        <f>IF(AO224="0",BH224,0)</f>
        <v>0</v>
      </c>
      <c r="AG224" s="13" t="s">
        <v>21</v>
      </c>
      <c r="AH224" s="7">
        <f>IF(AL224=0,K224,0)</f>
        <v>0</v>
      </c>
      <c r="AI224" s="7">
        <f>IF(AL224=12,K224,0)</f>
        <v>0</v>
      </c>
      <c r="AJ224" s="7">
        <f>IF(AL224=21,K224,0)</f>
        <v>0</v>
      </c>
      <c r="AL224" s="7">
        <v>21</v>
      </c>
      <c r="AM224" s="7">
        <f>H224*0</f>
        <v>0</v>
      </c>
      <c r="AN224" s="7">
        <f>H224*(1-0)</f>
        <v>0</v>
      </c>
      <c r="AO224" s="23" t="s">
        <v>123</v>
      </c>
      <c r="AT224" s="7">
        <f>AU224+AV224</f>
        <v>0</v>
      </c>
      <c r="AU224" s="7">
        <f>G224*AM224</f>
        <v>0</v>
      </c>
      <c r="AV224" s="7">
        <f>G224*AN224</f>
        <v>0</v>
      </c>
      <c r="AW224" s="23" t="s">
        <v>410</v>
      </c>
      <c r="AX224" s="23" t="s">
        <v>354</v>
      </c>
      <c r="AY224" s="13" t="s">
        <v>79</v>
      </c>
      <c r="BA224" s="7">
        <f>AU224+AV224</f>
        <v>0</v>
      </c>
      <c r="BB224" s="7">
        <f>H224/(100-BC224)*100</f>
        <v>0</v>
      </c>
      <c r="BC224" s="7">
        <v>0</v>
      </c>
      <c r="BD224" s="7">
        <f>M224</f>
        <v>0.33600000000000002</v>
      </c>
      <c r="BF224" s="7">
        <f>G224*AM224</f>
        <v>0</v>
      </c>
      <c r="BG224" s="7">
        <f>G224*AN224</f>
        <v>0</v>
      </c>
      <c r="BH224" s="7">
        <f>G224*H224</f>
        <v>0</v>
      </c>
      <c r="BI224" s="7"/>
      <c r="BJ224" s="7">
        <v>786</v>
      </c>
      <c r="BU224" s="7" t="e">
        <f>#REF!</f>
        <v>#REF!</v>
      </c>
      <c r="BV224" s="3" t="s">
        <v>409</v>
      </c>
    </row>
    <row r="225" spans="1:74" ht="14.4" x14ac:dyDescent="0.3">
      <c r="A225" s="75"/>
      <c r="D225" s="25" t="s">
        <v>411</v>
      </c>
      <c r="E225" s="26" t="s">
        <v>412</v>
      </c>
      <c r="G225" s="27">
        <v>8</v>
      </c>
      <c r="N225" s="28"/>
    </row>
    <row r="226" spans="1:74" ht="26.4" x14ac:dyDescent="0.3">
      <c r="A226" s="74" t="s">
        <v>413</v>
      </c>
      <c r="B226" s="2" t="s">
        <v>21</v>
      </c>
      <c r="C226" s="2" t="s">
        <v>408</v>
      </c>
      <c r="D226" s="152" t="s">
        <v>414</v>
      </c>
      <c r="E226" s="153"/>
      <c r="F226" s="2" t="s">
        <v>248</v>
      </c>
      <c r="G226" s="7">
        <v>18</v>
      </c>
      <c r="H226" s="86">
        <v>0</v>
      </c>
      <c r="I226" s="7">
        <f>G226*AM226</f>
        <v>0</v>
      </c>
      <c r="J226" s="7">
        <f>G226*AN226</f>
        <v>0</v>
      </c>
      <c r="K226" s="7">
        <f>G226*H226</f>
        <v>0</v>
      </c>
      <c r="L226" s="7">
        <v>4.4999999999999998E-2</v>
      </c>
      <c r="M226" s="7">
        <f>G226*L226</f>
        <v>0.80999999999999994</v>
      </c>
      <c r="N226" s="24" t="s">
        <v>144</v>
      </c>
      <c r="X226" s="7">
        <f>IF(AO226="5",BH226,0)</f>
        <v>0</v>
      </c>
      <c r="Z226" s="7">
        <f>IF(AO226="1",BF226,0)</f>
        <v>0</v>
      </c>
      <c r="AA226" s="7">
        <f>IF(AO226="1",BG226,0)</f>
        <v>0</v>
      </c>
      <c r="AB226" s="7">
        <f>IF(AO226="7",BF226,0)</f>
        <v>0</v>
      </c>
      <c r="AC226" s="7">
        <f>IF(AO226="7",BG226,0)</f>
        <v>0</v>
      </c>
      <c r="AD226" s="7">
        <f>IF(AO226="2",BF226,0)</f>
        <v>0</v>
      </c>
      <c r="AE226" s="7">
        <f>IF(AO226="2",BG226,0)</f>
        <v>0</v>
      </c>
      <c r="AF226" s="7">
        <f>IF(AO226="0",BH226,0)</f>
        <v>0</v>
      </c>
      <c r="AG226" s="13" t="s">
        <v>21</v>
      </c>
      <c r="AH226" s="7">
        <f>IF(AL226=0,K226,0)</f>
        <v>0</v>
      </c>
      <c r="AI226" s="7">
        <f>IF(AL226=12,K226,0)</f>
        <v>0</v>
      </c>
      <c r="AJ226" s="7">
        <f>IF(AL226=21,K226,0)</f>
        <v>0</v>
      </c>
      <c r="AL226" s="7">
        <v>21</v>
      </c>
      <c r="AM226" s="7">
        <f>H226*0</f>
        <v>0</v>
      </c>
      <c r="AN226" s="7">
        <f>H226*(1-0)</f>
        <v>0</v>
      </c>
      <c r="AO226" s="23" t="s">
        <v>123</v>
      </c>
      <c r="AT226" s="7">
        <f>AU226+AV226</f>
        <v>0</v>
      </c>
      <c r="AU226" s="7">
        <f>G226*AM226</f>
        <v>0</v>
      </c>
      <c r="AV226" s="7">
        <f>G226*AN226</f>
        <v>0</v>
      </c>
      <c r="AW226" s="23" t="s">
        <v>410</v>
      </c>
      <c r="AX226" s="23" t="s">
        <v>354</v>
      </c>
      <c r="AY226" s="13" t="s">
        <v>79</v>
      </c>
      <c r="BA226" s="7">
        <f>AU226+AV226</f>
        <v>0</v>
      </c>
      <c r="BB226" s="7">
        <f>H226/(100-BC226)*100</f>
        <v>0</v>
      </c>
      <c r="BC226" s="7">
        <v>0</v>
      </c>
      <c r="BD226" s="7">
        <f>M226</f>
        <v>0.80999999999999994</v>
      </c>
      <c r="BF226" s="7">
        <f>G226*AM226</f>
        <v>0</v>
      </c>
      <c r="BG226" s="7">
        <f>G226*AN226</f>
        <v>0</v>
      </c>
      <c r="BH226" s="7">
        <f>G226*H226</f>
        <v>0</v>
      </c>
      <c r="BI226" s="7"/>
      <c r="BJ226" s="7">
        <v>786</v>
      </c>
      <c r="BU226" s="7" t="e">
        <f>#REF!</f>
        <v>#REF!</v>
      </c>
      <c r="BV226" s="3" t="s">
        <v>414</v>
      </c>
    </row>
    <row r="227" spans="1:74" ht="14.4" x14ac:dyDescent="0.3">
      <c r="A227" s="75"/>
      <c r="D227" s="25" t="s">
        <v>106</v>
      </c>
      <c r="E227" s="26" t="s">
        <v>415</v>
      </c>
      <c r="G227" s="27">
        <v>5</v>
      </c>
      <c r="N227" s="28"/>
    </row>
    <row r="228" spans="1:74" ht="14.4" x14ac:dyDescent="0.3">
      <c r="A228" s="75"/>
      <c r="D228" s="25" t="s">
        <v>148</v>
      </c>
      <c r="E228" s="26" t="s">
        <v>416</v>
      </c>
      <c r="G228" s="27">
        <v>13</v>
      </c>
      <c r="N228" s="28"/>
    </row>
    <row r="229" spans="1:74" ht="26.4" x14ac:dyDescent="0.3">
      <c r="A229" s="74" t="s">
        <v>417</v>
      </c>
      <c r="B229" s="2" t="s">
        <v>21</v>
      </c>
      <c r="C229" s="2" t="s">
        <v>418</v>
      </c>
      <c r="D229" s="152" t="s">
        <v>419</v>
      </c>
      <c r="E229" s="153"/>
      <c r="F229" s="2" t="s">
        <v>248</v>
      </c>
      <c r="G229" s="7">
        <v>2</v>
      </c>
      <c r="H229" s="86">
        <v>0</v>
      </c>
      <c r="I229" s="7">
        <f>G229*AM229</f>
        <v>0</v>
      </c>
      <c r="J229" s="7">
        <f>G229*AN229</f>
        <v>0</v>
      </c>
      <c r="K229" s="7">
        <f>G229*H229</f>
        <v>0</v>
      </c>
      <c r="L229" s="7">
        <v>3.5000000000000003E-2</v>
      </c>
      <c r="M229" s="7">
        <f>G229*L229</f>
        <v>7.0000000000000007E-2</v>
      </c>
      <c r="N229" s="24" t="s">
        <v>144</v>
      </c>
      <c r="X229" s="7">
        <f>IF(AO229="5",BH229,0)</f>
        <v>0</v>
      </c>
      <c r="Z229" s="7">
        <f>IF(AO229="1",BF229,0)</f>
        <v>0</v>
      </c>
      <c r="AA229" s="7">
        <f>IF(AO229="1",BG229,0)</f>
        <v>0</v>
      </c>
      <c r="AB229" s="7">
        <f>IF(AO229="7",BF229,0)</f>
        <v>0</v>
      </c>
      <c r="AC229" s="7">
        <f>IF(AO229="7",BG229,0)</f>
        <v>0</v>
      </c>
      <c r="AD229" s="7">
        <f>IF(AO229="2",BF229,0)</f>
        <v>0</v>
      </c>
      <c r="AE229" s="7">
        <f>IF(AO229="2",BG229,0)</f>
        <v>0</v>
      </c>
      <c r="AF229" s="7">
        <f>IF(AO229="0",BH229,0)</f>
        <v>0</v>
      </c>
      <c r="AG229" s="13" t="s">
        <v>21</v>
      </c>
      <c r="AH229" s="7">
        <f>IF(AL229=0,K229,0)</f>
        <v>0</v>
      </c>
      <c r="AI229" s="7">
        <f>IF(AL229=12,K229,0)</f>
        <v>0</v>
      </c>
      <c r="AJ229" s="7">
        <f>IF(AL229=21,K229,0)</f>
        <v>0</v>
      </c>
      <c r="AL229" s="7">
        <v>21</v>
      </c>
      <c r="AM229" s="7">
        <f>H229*0</f>
        <v>0</v>
      </c>
      <c r="AN229" s="7">
        <f>H229*(1-0)</f>
        <v>0</v>
      </c>
      <c r="AO229" s="23" t="s">
        <v>123</v>
      </c>
      <c r="AT229" s="7">
        <f>AU229+AV229</f>
        <v>0</v>
      </c>
      <c r="AU229" s="7">
        <f>G229*AM229</f>
        <v>0</v>
      </c>
      <c r="AV229" s="7">
        <f>G229*AN229</f>
        <v>0</v>
      </c>
      <c r="AW229" s="23" t="s">
        <v>410</v>
      </c>
      <c r="AX229" s="23" t="s">
        <v>354</v>
      </c>
      <c r="AY229" s="13" t="s">
        <v>79</v>
      </c>
      <c r="BA229" s="7">
        <f>AU229+AV229</f>
        <v>0</v>
      </c>
      <c r="BB229" s="7">
        <f>H229/(100-BC229)*100</f>
        <v>0</v>
      </c>
      <c r="BC229" s="7">
        <v>0</v>
      </c>
      <c r="BD229" s="7">
        <f>M229</f>
        <v>7.0000000000000007E-2</v>
      </c>
      <c r="BF229" s="7">
        <f>G229*AM229</f>
        <v>0</v>
      </c>
      <c r="BG229" s="7">
        <f>G229*AN229</f>
        <v>0</v>
      </c>
      <c r="BH229" s="7">
        <f>G229*H229</f>
        <v>0</v>
      </c>
      <c r="BI229" s="7"/>
      <c r="BJ229" s="7">
        <v>786</v>
      </c>
      <c r="BU229" s="7" t="e">
        <f>#REF!</f>
        <v>#REF!</v>
      </c>
      <c r="BV229" s="3" t="s">
        <v>419</v>
      </c>
    </row>
    <row r="230" spans="1:74" ht="14.4" x14ac:dyDescent="0.3">
      <c r="A230" s="75"/>
      <c r="D230" s="25" t="s">
        <v>71</v>
      </c>
      <c r="E230" s="26" t="s">
        <v>415</v>
      </c>
      <c r="G230" s="27">
        <v>1</v>
      </c>
      <c r="N230" s="28"/>
    </row>
    <row r="231" spans="1:74" ht="14.4" x14ac:dyDescent="0.3">
      <c r="A231" s="75"/>
      <c r="D231" s="25" t="s">
        <v>71</v>
      </c>
      <c r="E231" s="26" t="s">
        <v>416</v>
      </c>
      <c r="G231" s="27">
        <v>1</v>
      </c>
      <c r="N231" s="28"/>
    </row>
    <row r="232" spans="1:74" ht="26.4" x14ac:dyDescent="0.3">
      <c r="A232" s="74" t="s">
        <v>420</v>
      </c>
      <c r="B232" s="2" t="s">
        <v>21</v>
      </c>
      <c r="C232" s="2" t="s">
        <v>421</v>
      </c>
      <c r="D232" s="152" t="s">
        <v>468</v>
      </c>
      <c r="E232" s="153"/>
      <c r="F232" s="2" t="s">
        <v>248</v>
      </c>
      <c r="G232" s="7">
        <v>8</v>
      </c>
      <c r="H232" s="86">
        <v>0</v>
      </c>
      <c r="I232" s="7">
        <f>G232*AM232</f>
        <v>0</v>
      </c>
      <c r="J232" s="7">
        <f>G232*AN232</f>
        <v>0</v>
      </c>
      <c r="K232" s="7">
        <f>G232*H232</f>
        <v>0</v>
      </c>
      <c r="L232" s="7">
        <v>0.03</v>
      </c>
      <c r="M232" s="7">
        <f>G232*L232</f>
        <v>0.24</v>
      </c>
      <c r="N232" s="24" t="s">
        <v>144</v>
      </c>
      <c r="X232" s="7">
        <f>IF(AO232="5",BH232,0)</f>
        <v>0</v>
      </c>
      <c r="Z232" s="7">
        <f>IF(AO232="1",BF232,0)</f>
        <v>0</v>
      </c>
      <c r="AA232" s="7">
        <f>IF(AO232="1",BG232,0)</f>
        <v>0</v>
      </c>
      <c r="AB232" s="7">
        <f>IF(AO232="7",BF232,0)</f>
        <v>0</v>
      </c>
      <c r="AC232" s="7">
        <f>IF(AO232="7",BG232,0)</f>
        <v>0</v>
      </c>
      <c r="AD232" s="7">
        <f>IF(AO232="2",BF232,0)</f>
        <v>0</v>
      </c>
      <c r="AE232" s="7">
        <f>IF(AO232="2",BG232,0)</f>
        <v>0</v>
      </c>
      <c r="AF232" s="7">
        <f>IF(AO232="0",BH232,0)</f>
        <v>0</v>
      </c>
      <c r="AG232" s="13" t="s">
        <v>21</v>
      </c>
      <c r="AH232" s="7">
        <f>IF(AL232=0,K232,0)</f>
        <v>0</v>
      </c>
      <c r="AI232" s="7">
        <f>IF(AL232=12,K232,0)</f>
        <v>0</v>
      </c>
      <c r="AJ232" s="7">
        <f>IF(AL232=21,K232,0)</f>
        <v>0</v>
      </c>
      <c r="AL232" s="7">
        <v>21</v>
      </c>
      <c r="AM232" s="7">
        <f>H232*0</f>
        <v>0</v>
      </c>
      <c r="AN232" s="7">
        <f>H232*(1-0)</f>
        <v>0</v>
      </c>
      <c r="AO232" s="23" t="s">
        <v>123</v>
      </c>
      <c r="AT232" s="7">
        <f>AU232+AV232</f>
        <v>0</v>
      </c>
      <c r="AU232" s="7">
        <f>G232*AM232</f>
        <v>0</v>
      </c>
      <c r="AV232" s="7">
        <f>G232*AN232</f>
        <v>0</v>
      </c>
      <c r="AW232" s="23" t="s">
        <v>410</v>
      </c>
      <c r="AX232" s="23" t="s">
        <v>354</v>
      </c>
      <c r="AY232" s="13" t="s">
        <v>79</v>
      </c>
      <c r="BA232" s="7">
        <f>AU232+AV232</f>
        <v>0</v>
      </c>
      <c r="BB232" s="7">
        <f>H232/(100-BC232)*100</f>
        <v>0</v>
      </c>
      <c r="BC232" s="7">
        <v>0</v>
      </c>
      <c r="BD232" s="7">
        <f>M232</f>
        <v>0.24</v>
      </c>
      <c r="BF232" s="7">
        <f>G232*AM232</f>
        <v>0</v>
      </c>
      <c r="BG232" s="7">
        <f>G232*AN232</f>
        <v>0</v>
      </c>
      <c r="BH232" s="7">
        <f>G232*H232</f>
        <v>0</v>
      </c>
      <c r="BI232" s="7"/>
      <c r="BJ232" s="7">
        <v>786</v>
      </c>
      <c r="BU232" s="7" t="e">
        <f>#REF!</f>
        <v>#REF!</v>
      </c>
      <c r="BV232" s="3" t="s">
        <v>422</v>
      </c>
    </row>
    <row r="233" spans="1:74" ht="14.4" x14ac:dyDescent="0.3">
      <c r="A233" s="75"/>
      <c r="D233" s="25" t="s">
        <v>411</v>
      </c>
      <c r="E233" s="26" t="s">
        <v>412</v>
      </c>
      <c r="G233" s="27">
        <v>8</v>
      </c>
      <c r="N233" s="28"/>
    </row>
    <row r="234" spans="1:74" ht="26.4" x14ac:dyDescent="0.3">
      <c r="A234" s="74" t="s">
        <v>423</v>
      </c>
      <c r="B234" s="2" t="s">
        <v>21</v>
      </c>
      <c r="C234" s="2" t="s">
        <v>424</v>
      </c>
      <c r="D234" s="152" t="s">
        <v>469</v>
      </c>
      <c r="E234" s="153"/>
      <c r="F234" s="2" t="s">
        <v>248</v>
      </c>
      <c r="G234" s="7">
        <v>18</v>
      </c>
      <c r="H234" s="86">
        <v>0</v>
      </c>
      <c r="I234" s="7">
        <f>G234*AM234</f>
        <v>0</v>
      </c>
      <c r="J234" s="7">
        <f>G234*AN234</f>
        <v>0</v>
      </c>
      <c r="K234" s="7">
        <f>G234*H234</f>
        <v>0</v>
      </c>
      <c r="L234" s="7">
        <v>3.5000000000000003E-2</v>
      </c>
      <c r="M234" s="7">
        <f>G234*L234</f>
        <v>0.63000000000000012</v>
      </c>
      <c r="N234" s="24" t="s">
        <v>144</v>
      </c>
      <c r="X234" s="7">
        <f>IF(AO234="5",BH234,0)</f>
        <v>0</v>
      </c>
      <c r="Z234" s="7">
        <f>IF(AO234="1",BF234,0)</f>
        <v>0</v>
      </c>
      <c r="AA234" s="7">
        <f>IF(AO234="1",BG234,0)</f>
        <v>0</v>
      </c>
      <c r="AB234" s="7">
        <f>IF(AO234="7",BF234,0)</f>
        <v>0</v>
      </c>
      <c r="AC234" s="7">
        <f>IF(AO234="7",BG234,0)</f>
        <v>0</v>
      </c>
      <c r="AD234" s="7">
        <f>IF(AO234="2",BF234,0)</f>
        <v>0</v>
      </c>
      <c r="AE234" s="7">
        <f>IF(AO234="2",BG234,0)</f>
        <v>0</v>
      </c>
      <c r="AF234" s="7">
        <f>IF(AO234="0",BH234,0)</f>
        <v>0</v>
      </c>
      <c r="AG234" s="13" t="s">
        <v>21</v>
      </c>
      <c r="AH234" s="7">
        <f>IF(AL234=0,K234,0)</f>
        <v>0</v>
      </c>
      <c r="AI234" s="7">
        <f>IF(AL234=12,K234,0)</f>
        <v>0</v>
      </c>
      <c r="AJ234" s="7">
        <f>IF(AL234=21,K234,0)</f>
        <v>0</v>
      </c>
      <c r="AL234" s="7">
        <v>21</v>
      </c>
      <c r="AM234" s="7">
        <f>H234*0</f>
        <v>0</v>
      </c>
      <c r="AN234" s="7">
        <f>H234*(1-0)</f>
        <v>0</v>
      </c>
      <c r="AO234" s="23" t="s">
        <v>123</v>
      </c>
      <c r="AT234" s="7">
        <f>AU234+AV234</f>
        <v>0</v>
      </c>
      <c r="AU234" s="7">
        <f>G234*AM234</f>
        <v>0</v>
      </c>
      <c r="AV234" s="7">
        <f>G234*AN234</f>
        <v>0</v>
      </c>
      <c r="AW234" s="23" t="s">
        <v>410</v>
      </c>
      <c r="AX234" s="23" t="s">
        <v>354</v>
      </c>
      <c r="AY234" s="13" t="s">
        <v>79</v>
      </c>
      <c r="BA234" s="7">
        <f>AU234+AV234</f>
        <v>0</v>
      </c>
      <c r="BB234" s="7">
        <f>H234/(100-BC234)*100</f>
        <v>0</v>
      </c>
      <c r="BC234" s="7">
        <v>0</v>
      </c>
      <c r="BD234" s="7">
        <f>M234</f>
        <v>0.63000000000000012</v>
      </c>
      <c r="BF234" s="7">
        <f>G234*AM234</f>
        <v>0</v>
      </c>
      <c r="BG234" s="7">
        <f>G234*AN234</f>
        <v>0</v>
      </c>
      <c r="BH234" s="7">
        <f>G234*H234</f>
        <v>0</v>
      </c>
      <c r="BI234" s="7"/>
      <c r="BJ234" s="7">
        <v>786</v>
      </c>
      <c r="BU234" s="7" t="e">
        <f>#REF!</f>
        <v>#REF!</v>
      </c>
      <c r="BV234" s="3" t="s">
        <v>425</v>
      </c>
    </row>
    <row r="235" spans="1:74" ht="14.4" x14ac:dyDescent="0.3">
      <c r="A235" s="75"/>
      <c r="D235" s="25" t="s">
        <v>106</v>
      </c>
      <c r="E235" s="26" t="s">
        <v>426</v>
      </c>
      <c r="G235" s="27">
        <v>5</v>
      </c>
      <c r="N235" s="28"/>
    </row>
    <row r="236" spans="1:74" ht="14.4" x14ac:dyDescent="0.3">
      <c r="A236" s="75"/>
      <c r="D236" s="25" t="s">
        <v>148</v>
      </c>
      <c r="E236" s="26" t="s">
        <v>412</v>
      </c>
      <c r="G236" s="27">
        <v>13</v>
      </c>
      <c r="N236" s="28"/>
    </row>
    <row r="237" spans="1:74" ht="26.4" x14ac:dyDescent="0.3">
      <c r="A237" s="74" t="s">
        <v>427</v>
      </c>
      <c r="B237" s="2" t="s">
        <v>21</v>
      </c>
      <c r="C237" s="2" t="s">
        <v>428</v>
      </c>
      <c r="D237" s="152" t="s">
        <v>470</v>
      </c>
      <c r="E237" s="153"/>
      <c r="F237" s="2" t="s">
        <v>248</v>
      </c>
      <c r="G237" s="7">
        <v>2</v>
      </c>
      <c r="H237" s="86">
        <v>0</v>
      </c>
      <c r="I237" s="7">
        <f>G237*AM237</f>
        <v>0</v>
      </c>
      <c r="J237" s="7">
        <f>G237*AN237</f>
        <v>0</v>
      </c>
      <c r="K237" s="7">
        <f>G237*H237</f>
        <v>0</v>
      </c>
      <c r="L237" s="7">
        <v>2.5000000000000001E-2</v>
      </c>
      <c r="M237" s="7">
        <f>G237*L237</f>
        <v>0.05</v>
      </c>
      <c r="N237" s="24" t="s">
        <v>144</v>
      </c>
      <c r="X237" s="7">
        <f>IF(AO237="5",BH237,0)</f>
        <v>0</v>
      </c>
      <c r="Z237" s="7">
        <f>IF(AO237="1",BF237,0)</f>
        <v>0</v>
      </c>
      <c r="AA237" s="7">
        <f>IF(AO237="1",BG237,0)</f>
        <v>0</v>
      </c>
      <c r="AB237" s="7">
        <f>IF(AO237="7",BF237,0)</f>
        <v>0</v>
      </c>
      <c r="AC237" s="7">
        <f>IF(AO237="7",BG237,0)</f>
        <v>0</v>
      </c>
      <c r="AD237" s="7">
        <f>IF(AO237="2",BF237,0)</f>
        <v>0</v>
      </c>
      <c r="AE237" s="7">
        <f>IF(AO237="2",BG237,0)</f>
        <v>0</v>
      </c>
      <c r="AF237" s="7">
        <f>IF(AO237="0",BH237,0)</f>
        <v>0</v>
      </c>
      <c r="AG237" s="13" t="s">
        <v>21</v>
      </c>
      <c r="AH237" s="7">
        <f>IF(AL237=0,K237,0)</f>
        <v>0</v>
      </c>
      <c r="AI237" s="7">
        <f>IF(AL237=12,K237,0)</f>
        <v>0</v>
      </c>
      <c r="AJ237" s="7">
        <f>IF(AL237=21,K237,0)</f>
        <v>0</v>
      </c>
      <c r="AL237" s="7">
        <v>21</v>
      </c>
      <c r="AM237" s="7">
        <f>H237*0</f>
        <v>0</v>
      </c>
      <c r="AN237" s="7">
        <f>H237*(1-0)</f>
        <v>0</v>
      </c>
      <c r="AO237" s="23" t="s">
        <v>123</v>
      </c>
      <c r="AT237" s="7">
        <f>AU237+AV237</f>
        <v>0</v>
      </c>
      <c r="AU237" s="7">
        <f>G237*AM237</f>
        <v>0</v>
      </c>
      <c r="AV237" s="7">
        <f>G237*AN237</f>
        <v>0</v>
      </c>
      <c r="AW237" s="23" t="s">
        <v>410</v>
      </c>
      <c r="AX237" s="23" t="s">
        <v>354</v>
      </c>
      <c r="AY237" s="13" t="s">
        <v>79</v>
      </c>
      <c r="BA237" s="7">
        <f>AU237+AV237</f>
        <v>0</v>
      </c>
      <c r="BB237" s="7">
        <f>H237/(100-BC237)*100</f>
        <v>0</v>
      </c>
      <c r="BC237" s="7">
        <v>0</v>
      </c>
      <c r="BD237" s="7">
        <f>M237</f>
        <v>0.05</v>
      </c>
      <c r="BF237" s="7">
        <f>G237*AM237</f>
        <v>0</v>
      </c>
      <c r="BG237" s="7">
        <f>G237*AN237</f>
        <v>0</v>
      </c>
      <c r="BH237" s="7">
        <f>G237*H237</f>
        <v>0</v>
      </c>
      <c r="BI237" s="7"/>
      <c r="BJ237" s="7">
        <v>786</v>
      </c>
      <c r="BU237" s="7" t="e">
        <f>#REF!</f>
        <v>#REF!</v>
      </c>
      <c r="BV237" s="3" t="s">
        <v>429</v>
      </c>
    </row>
    <row r="238" spans="1:74" ht="14.4" x14ac:dyDescent="0.3">
      <c r="A238" s="75"/>
      <c r="D238" s="25" t="s">
        <v>71</v>
      </c>
      <c r="E238" s="26" t="s">
        <v>426</v>
      </c>
      <c r="G238" s="27">
        <v>1</v>
      </c>
      <c r="N238" s="28"/>
    </row>
    <row r="239" spans="1:74" ht="14.4" x14ac:dyDescent="0.3">
      <c r="A239" s="75"/>
      <c r="D239" s="25" t="s">
        <v>71</v>
      </c>
      <c r="E239" s="26" t="s">
        <v>412</v>
      </c>
      <c r="G239" s="27">
        <v>1</v>
      </c>
      <c r="N239" s="28"/>
    </row>
    <row r="240" spans="1:74" ht="14.4" x14ac:dyDescent="0.3">
      <c r="A240" s="74" t="s">
        <v>430</v>
      </c>
      <c r="B240" s="2" t="s">
        <v>21</v>
      </c>
      <c r="C240" s="2" t="s">
        <v>431</v>
      </c>
      <c r="D240" s="152" t="s">
        <v>432</v>
      </c>
      <c r="E240" s="153"/>
      <c r="F240" s="2" t="s">
        <v>140</v>
      </c>
      <c r="G240" s="7">
        <v>2.1360000000000001</v>
      </c>
      <c r="H240" s="86">
        <v>0</v>
      </c>
      <c r="I240" s="7">
        <f>G240*AM240</f>
        <v>0</v>
      </c>
      <c r="J240" s="7">
        <f>G240*AN240</f>
        <v>0</v>
      </c>
      <c r="K240" s="7">
        <f>G240*H240</f>
        <v>0</v>
      </c>
      <c r="L240" s="7">
        <v>0</v>
      </c>
      <c r="M240" s="7">
        <f>G240*L240</f>
        <v>0</v>
      </c>
      <c r="N240" s="24" t="s">
        <v>76</v>
      </c>
      <c r="X240" s="7">
        <f>IF(AO240="5",BH240,0)</f>
        <v>0</v>
      </c>
      <c r="Z240" s="7">
        <f>IF(AO240="1",BF240,0)</f>
        <v>0</v>
      </c>
      <c r="AA240" s="7">
        <f>IF(AO240="1",BG240,0)</f>
        <v>0</v>
      </c>
      <c r="AB240" s="7">
        <f>IF(AO240="7",BF240,0)</f>
        <v>0</v>
      </c>
      <c r="AC240" s="7">
        <f>IF(AO240="7",BG240,0)</f>
        <v>0</v>
      </c>
      <c r="AD240" s="7">
        <f>IF(AO240="2",BF240,0)</f>
        <v>0</v>
      </c>
      <c r="AE240" s="7">
        <f>IF(AO240="2",BG240,0)</f>
        <v>0</v>
      </c>
      <c r="AF240" s="7">
        <f>IF(AO240="0",BH240,0)</f>
        <v>0</v>
      </c>
      <c r="AG240" s="13" t="s">
        <v>21</v>
      </c>
      <c r="AH240" s="7">
        <f>IF(AL240=0,K240,0)</f>
        <v>0</v>
      </c>
      <c r="AI240" s="7">
        <f>IF(AL240=12,K240,0)</f>
        <v>0</v>
      </c>
      <c r="AJ240" s="7">
        <f>IF(AL240=21,K240,0)</f>
        <v>0</v>
      </c>
      <c r="AL240" s="7">
        <v>21</v>
      </c>
      <c r="AM240" s="7">
        <f>H240*0</f>
        <v>0</v>
      </c>
      <c r="AN240" s="7">
        <f>H240*(1-0)</f>
        <v>0</v>
      </c>
      <c r="AO240" s="23" t="s">
        <v>106</v>
      </c>
      <c r="AT240" s="7">
        <f>AU240+AV240</f>
        <v>0</v>
      </c>
      <c r="AU240" s="7">
        <f>G240*AM240</f>
        <v>0</v>
      </c>
      <c r="AV240" s="7">
        <f>G240*AN240</f>
        <v>0</v>
      </c>
      <c r="AW240" s="23" t="s">
        <v>410</v>
      </c>
      <c r="AX240" s="23" t="s">
        <v>354</v>
      </c>
      <c r="AY240" s="13" t="s">
        <v>79</v>
      </c>
      <c r="BA240" s="7">
        <f>AU240+AV240</f>
        <v>0</v>
      </c>
      <c r="BB240" s="7">
        <f>H240/(100-BC240)*100</f>
        <v>0</v>
      </c>
      <c r="BC240" s="7">
        <v>0</v>
      </c>
      <c r="BD240" s="7">
        <f>M240</f>
        <v>0</v>
      </c>
      <c r="BF240" s="7">
        <f>G240*AM240</f>
        <v>0</v>
      </c>
      <c r="BG240" s="7">
        <f>G240*AN240</f>
        <v>0</v>
      </c>
      <c r="BH240" s="7">
        <f>G240*H240</f>
        <v>0</v>
      </c>
      <c r="BI240" s="7"/>
      <c r="BJ240" s="7">
        <v>786</v>
      </c>
      <c r="BU240" s="7" t="e">
        <f>#REF!</f>
        <v>#REF!</v>
      </c>
      <c r="BV240" s="3" t="s">
        <v>432</v>
      </c>
    </row>
    <row r="241" spans="1:74" ht="14.4" x14ac:dyDescent="0.3">
      <c r="A241" s="73" t="s">
        <v>21</v>
      </c>
      <c r="B241" s="20" t="s">
        <v>21</v>
      </c>
      <c r="C241" s="20" t="s">
        <v>40</v>
      </c>
      <c r="D241" s="158" t="s">
        <v>41</v>
      </c>
      <c r="E241" s="159"/>
      <c r="F241" s="21" t="s">
        <v>12</v>
      </c>
      <c r="G241" s="21" t="s">
        <v>12</v>
      </c>
      <c r="H241" s="21" t="s">
        <v>12</v>
      </c>
      <c r="I241" s="12">
        <f>SUM(I242:I242)</f>
        <v>0</v>
      </c>
      <c r="J241" s="12">
        <f>SUM(J242:J242)</f>
        <v>0</v>
      </c>
      <c r="K241" s="12">
        <f>SUM(K242:K242)</f>
        <v>0</v>
      </c>
      <c r="L241" s="13" t="s">
        <v>21</v>
      </c>
      <c r="M241" s="12">
        <f>SUM(M242:M242)</f>
        <v>3.8800000000000001E-2</v>
      </c>
      <c r="N241" s="22" t="s">
        <v>21</v>
      </c>
      <c r="AG241" s="13" t="s">
        <v>21</v>
      </c>
      <c r="AQ241" s="12">
        <f>SUM(AH242:AH242)</f>
        <v>0</v>
      </c>
      <c r="AR241" s="12">
        <f>SUM(AI242:AI242)</f>
        <v>0</v>
      </c>
      <c r="AS241" s="12">
        <f>SUM(AJ242:AJ242)</f>
        <v>0</v>
      </c>
    </row>
    <row r="242" spans="1:74" ht="14.4" x14ac:dyDescent="0.3">
      <c r="A242" s="74" t="s">
        <v>433</v>
      </c>
      <c r="B242" s="2" t="s">
        <v>21</v>
      </c>
      <c r="C242" s="2" t="s">
        <v>434</v>
      </c>
      <c r="D242" s="152" t="s">
        <v>435</v>
      </c>
      <c r="E242" s="153"/>
      <c r="F242" s="2" t="s">
        <v>74</v>
      </c>
      <c r="G242" s="7">
        <v>970</v>
      </c>
      <c r="H242" s="86">
        <v>0</v>
      </c>
      <c r="I242" s="7">
        <f>G242*AM242</f>
        <v>0</v>
      </c>
      <c r="J242" s="7">
        <f>G242*AN242</f>
        <v>0</v>
      </c>
      <c r="K242" s="7">
        <f>G242*H242</f>
        <v>0</v>
      </c>
      <c r="L242" s="7">
        <v>4.0000000000000003E-5</v>
      </c>
      <c r="M242" s="7">
        <f>G242*L242</f>
        <v>3.8800000000000001E-2</v>
      </c>
      <c r="N242" s="24" t="s">
        <v>76</v>
      </c>
      <c r="X242" s="7">
        <f>IF(AO242="5",BH242,0)</f>
        <v>0</v>
      </c>
      <c r="Z242" s="7">
        <f>IF(AO242="1",BF242,0)</f>
        <v>0</v>
      </c>
      <c r="AA242" s="7">
        <f>IF(AO242="1",BG242,0)</f>
        <v>0</v>
      </c>
      <c r="AB242" s="7">
        <f>IF(AO242="7",BF242,0)</f>
        <v>0</v>
      </c>
      <c r="AC242" s="7">
        <f>IF(AO242="7",BG242,0)</f>
        <v>0</v>
      </c>
      <c r="AD242" s="7">
        <f>IF(AO242="2",BF242,0)</f>
        <v>0</v>
      </c>
      <c r="AE242" s="7">
        <f>IF(AO242="2",BG242,0)</f>
        <v>0</v>
      </c>
      <c r="AF242" s="7">
        <f>IF(AO242="0",BH242,0)</f>
        <v>0</v>
      </c>
      <c r="AG242" s="13" t="s">
        <v>21</v>
      </c>
      <c r="AH242" s="7">
        <f>IF(AL242=0,K242,0)</f>
        <v>0</v>
      </c>
      <c r="AI242" s="7">
        <f>IF(AL242=12,K242,0)</f>
        <v>0</v>
      </c>
      <c r="AJ242" s="7">
        <f>IF(AL242=21,K242,0)</f>
        <v>0</v>
      </c>
      <c r="AL242" s="7">
        <v>21</v>
      </c>
      <c r="AM242" s="7">
        <f>H242*0.014522293</f>
        <v>0</v>
      </c>
      <c r="AN242" s="7">
        <f>H242*(1-0.014522293)</f>
        <v>0</v>
      </c>
      <c r="AO242" s="23" t="s">
        <v>71</v>
      </c>
      <c r="AT242" s="7">
        <f>AU242+AV242</f>
        <v>0</v>
      </c>
      <c r="AU242" s="7">
        <f>G242*AM242</f>
        <v>0</v>
      </c>
      <c r="AV242" s="7">
        <f>G242*AN242</f>
        <v>0</v>
      </c>
      <c r="AW242" s="23" t="s">
        <v>436</v>
      </c>
      <c r="AX242" s="23" t="s">
        <v>78</v>
      </c>
      <c r="AY242" s="13" t="s">
        <v>79</v>
      </c>
      <c r="BA242" s="7">
        <f>AU242+AV242</f>
        <v>0</v>
      </c>
      <c r="BB242" s="7">
        <f>H242/(100-BC242)*100</f>
        <v>0</v>
      </c>
      <c r="BC242" s="7">
        <v>0</v>
      </c>
      <c r="BD242" s="7">
        <f>M242</f>
        <v>3.8800000000000001E-2</v>
      </c>
      <c r="BF242" s="7">
        <f>G242*AM242</f>
        <v>0</v>
      </c>
      <c r="BG242" s="7">
        <f>G242*AN242</f>
        <v>0</v>
      </c>
      <c r="BH242" s="7">
        <f>G242*H242</f>
        <v>0</v>
      </c>
      <c r="BI242" s="7"/>
      <c r="BJ242" s="7">
        <v>95</v>
      </c>
      <c r="BU242" s="7" t="e">
        <f>#REF!</f>
        <v>#REF!</v>
      </c>
      <c r="BV242" s="3" t="s">
        <v>435</v>
      </c>
    </row>
    <row r="243" spans="1:74" ht="14.4" x14ac:dyDescent="0.3">
      <c r="A243" s="75"/>
      <c r="D243" s="25" t="s">
        <v>437</v>
      </c>
      <c r="E243" s="26" t="s">
        <v>438</v>
      </c>
      <c r="G243" s="27">
        <v>390</v>
      </c>
      <c r="N243" s="28"/>
    </row>
    <row r="244" spans="1:74" ht="14.4" x14ac:dyDescent="0.3">
      <c r="A244" s="75"/>
      <c r="D244" s="25" t="s">
        <v>439</v>
      </c>
      <c r="E244" s="26" t="s">
        <v>440</v>
      </c>
      <c r="G244" s="27">
        <v>109</v>
      </c>
      <c r="N244" s="28"/>
    </row>
    <row r="245" spans="1:74" ht="14.4" x14ac:dyDescent="0.3">
      <c r="A245" s="75"/>
      <c r="D245" s="25" t="s">
        <v>441</v>
      </c>
      <c r="E245" s="26" t="s">
        <v>442</v>
      </c>
      <c r="G245" s="27">
        <v>471</v>
      </c>
      <c r="N245" s="28"/>
    </row>
    <row r="246" spans="1:74" ht="14.4" x14ac:dyDescent="0.3">
      <c r="A246" s="73" t="s">
        <v>21</v>
      </c>
      <c r="B246" s="20" t="s">
        <v>21</v>
      </c>
      <c r="C246" s="30" t="s">
        <v>443</v>
      </c>
      <c r="D246" s="158" t="s">
        <v>444</v>
      </c>
      <c r="E246" s="158"/>
      <c r="F246" s="21" t="s">
        <v>12</v>
      </c>
      <c r="G246" s="21" t="s">
        <v>12</v>
      </c>
      <c r="H246" s="21" t="s">
        <v>12</v>
      </c>
      <c r="I246" s="12">
        <f>SUM(I247:I248)</f>
        <v>0</v>
      </c>
      <c r="J246" s="12">
        <f>SUM(J247:J248)</f>
        <v>0</v>
      </c>
      <c r="K246" s="12">
        <f>SUM(K247:K248)</f>
        <v>0</v>
      </c>
      <c r="L246" s="13" t="s">
        <v>21</v>
      </c>
      <c r="M246" s="12">
        <f>SUM(M247:M248)</f>
        <v>0</v>
      </c>
      <c r="N246" s="22" t="s">
        <v>21</v>
      </c>
      <c r="AG246" s="13" t="s">
        <v>21</v>
      </c>
      <c r="AQ246" s="12">
        <f>SUM(AH247:AH248)</f>
        <v>0</v>
      </c>
      <c r="AR246" s="12">
        <f>SUM(AI247:AI248)</f>
        <v>0</v>
      </c>
      <c r="AS246" s="12">
        <f>SUM(AJ247:AJ248)</f>
        <v>0</v>
      </c>
    </row>
    <row r="247" spans="1:74" ht="14.4" x14ac:dyDescent="0.3">
      <c r="A247" s="74" t="s">
        <v>445</v>
      </c>
      <c r="B247" s="2" t="s">
        <v>21</v>
      </c>
      <c r="C247" s="2" t="s">
        <v>446</v>
      </c>
      <c r="D247" s="152" t="s">
        <v>447</v>
      </c>
      <c r="E247" s="153"/>
      <c r="F247" s="2" t="s">
        <v>448</v>
      </c>
      <c r="G247" s="7">
        <v>1</v>
      </c>
      <c r="H247" s="86">
        <v>0</v>
      </c>
      <c r="I247" s="7">
        <f>G247*AM247</f>
        <v>0</v>
      </c>
      <c r="J247" s="7">
        <f>G247*AN247</f>
        <v>0</v>
      </c>
      <c r="K247" s="7">
        <f>G247*H247</f>
        <v>0</v>
      </c>
      <c r="L247" s="7">
        <v>0</v>
      </c>
      <c r="M247" s="7">
        <f>G247*L247</f>
        <v>0</v>
      </c>
      <c r="N247" s="24" t="s">
        <v>144</v>
      </c>
      <c r="X247" s="7">
        <f>IF(AO247="5",BH247,0)</f>
        <v>0</v>
      </c>
      <c r="Z247" s="7">
        <f>IF(AO247="1",BF247,0)</f>
        <v>0</v>
      </c>
      <c r="AA247" s="7">
        <f>IF(AO247="1",BG247,0)</f>
        <v>0</v>
      </c>
      <c r="AB247" s="7">
        <f>IF(AO247="7",BF247,0)</f>
        <v>0</v>
      </c>
      <c r="AC247" s="7">
        <f>IF(AO247="7",BG247,0)</f>
        <v>0</v>
      </c>
      <c r="AD247" s="7">
        <f>IF(AO247="2",BF247,0)</f>
        <v>0</v>
      </c>
      <c r="AE247" s="7">
        <f>IF(AO247="2",BG247,0)</f>
        <v>0</v>
      </c>
      <c r="AF247" s="7">
        <f>IF(AO247="0",BH247,0)</f>
        <v>0</v>
      </c>
      <c r="AG247" s="13" t="s">
        <v>21</v>
      </c>
      <c r="AH247" s="7">
        <f>IF(AL247=0,K247,0)</f>
        <v>0</v>
      </c>
      <c r="AI247" s="7">
        <f>IF(AL247=12,K247,0)</f>
        <v>0</v>
      </c>
      <c r="AJ247" s="7">
        <f>IF(AL247=21,K247,0)</f>
        <v>0</v>
      </c>
      <c r="AL247" s="7">
        <v>21</v>
      </c>
      <c r="AM247" s="7">
        <f>H247*0</f>
        <v>0</v>
      </c>
      <c r="AN247" s="7">
        <f>H247*(1-0)</f>
        <v>0</v>
      </c>
      <c r="AO247" s="23" t="s">
        <v>449</v>
      </c>
      <c r="AT247" s="7">
        <f>AU247+AV247</f>
        <v>0</v>
      </c>
      <c r="AU247" s="7">
        <f>G247*AM247</f>
        <v>0</v>
      </c>
      <c r="AV247" s="7">
        <f>G247*AN247</f>
        <v>0</v>
      </c>
      <c r="AW247" s="23" t="s">
        <v>450</v>
      </c>
      <c r="AX247" s="23" t="s">
        <v>451</v>
      </c>
      <c r="AY247" s="13" t="s">
        <v>79</v>
      </c>
      <c r="BA247" s="7">
        <f>AU247+AV247</f>
        <v>0</v>
      </c>
      <c r="BB247" s="7">
        <f>H247/(100-BC247)*100</f>
        <v>0</v>
      </c>
      <c r="BC247" s="7">
        <v>0</v>
      </c>
      <c r="BD247" s="7">
        <f>M247</f>
        <v>0</v>
      </c>
      <c r="BF247" s="7">
        <f>G247*AM247</f>
        <v>0</v>
      </c>
      <c r="BG247" s="7">
        <f>G247*AN247</f>
        <v>0</v>
      </c>
      <c r="BH247" s="7">
        <f>G247*H247</f>
        <v>0</v>
      </c>
      <c r="BI247" s="7"/>
      <c r="BJ247" s="7"/>
      <c r="BS247" s="7">
        <f>G247*H247</f>
        <v>0</v>
      </c>
      <c r="BU247" s="7" t="e">
        <f>#REF!</f>
        <v>#REF!</v>
      </c>
      <c r="BV247" s="3" t="s">
        <v>447</v>
      </c>
    </row>
    <row r="248" spans="1:74" ht="26.4" x14ac:dyDescent="0.3">
      <c r="A248" s="76" t="s">
        <v>452</v>
      </c>
      <c r="B248" s="9" t="s">
        <v>21</v>
      </c>
      <c r="C248" s="9" t="s">
        <v>453</v>
      </c>
      <c r="D248" s="164" t="s">
        <v>454</v>
      </c>
      <c r="E248" s="165"/>
      <c r="F248" s="9" t="s">
        <v>448</v>
      </c>
      <c r="G248" s="10">
        <v>1</v>
      </c>
      <c r="H248" s="86">
        <v>0</v>
      </c>
      <c r="I248" s="10">
        <f>G248*AM248</f>
        <v>0</v>
      </c>
      <c r="J248" s="10">
        <f>G248*AN248</f>
        <v>0</v>
      </c>
      <c r="K248" s="10">
        <f>G248*H248</f>
        <v>0</v>
      </c>
      <c r="L248" s="10">
        <v>0</v>
      </c>
      <c r="M248" s="10">
        <f>G248*L248</f>
        <v>0</v>
      </c>
      <c r="N248" s="29" t="s">
        <v>144</v>
      </c>
      <c r="X248" s="7">
        <f>IF(AO248="5",BH248,0)</f>
        <v>0</v>
      </c>
      <c r="Z248" s="7">
        <f>IF(AO248="1",BF248,0)</f>
        <v>0</v>
      </c>
      <c r="AA248" s="7">
        <f>IF(AO248="1",BG248,0)</f>
        <v>0</v>
      </c>
      <c r="AB248" s="7">
        <f>IF(AO248="7",BF248,0)</f>
        <v>0</v>
      </c>
      <c r="AC248" s="7">
        <f>IF(AO248="7",BG248,0)</f>
        <v>0</v>
      </c>
      <c r="AD248" s="7">
        <f>IF(AO248="2",BF248,0)</f>
        <v>0</v>
      </c>
      <c r="AE248" s="7">
        <f>IF(AO248="2",BG248,0)</f>
        <v>0</v>
      </c>
      <c r="AF248" s="7">
        <f>IF(AO248="0",BH248,0)</f>
        <v>0</v>
      </c>
      <c r="AG248" s="13" t="s">
        <v>21</v>
      </c>
      <c r="AH248" s="7">
        <f>IF(AL248=0,K248,0)</f>
        <v>0</v>
      </c>
      <c r="AI248" s="7">
        <f>IF(AL248=12,K248,0)</f>
        <v>0</v>
      </c>
      <c r="AJ248" s="7">
        <f>IF(AL248=21,K248,0)</f>
        <v>0</v>
      </c>
      <c r="AL248" s="7">
        <v>21</v>
      </c>
      <c r="AM248" s="7">
        <f>H248*0</f>
        <v>0</v>
      </c>
      <c r="AN248" s="7">
        <f>H248*(1-0)</f>
        <v>0</v>
      </c>
      <c r="AO248" s="23" t="s">
        <v>449</v>
      </c>
      <c r="AT248" s="7">
        <f>AU248+AV248</f>
        <v>0</v>
      </c>
      <c r="AU248" s="7">
        <f>G248*AM248</f>
        <v>0</v>
      </c>
      <c r="AV248" s="7">
        <f>G248*AN248</f>
        <v>0</v>
      </c>
      <c r="AW248" s="23" t="s">
        <v>450</v>
      </c>
      <c r="AX248" s="23" t="s">
        <v>451</v>
      </c>
      <c r="AY248" s="13" t="s">
        <v>79</v>
      </c>
      <c r="BA248" s="7">
        <f>AU248+AV248</f>
        <v>0</v>
      </c>
      <c r="BB248" s="7">
        <f>H248/(100-BC248)*100</f>
        <v>0</v>
      </c>
      <c r="BC248" s="7">
        <v>0</v>
      </c>
      <c r="BD248" s="7">
        <f>M248</f>
        <v>0</v>
      </c>
      <c r="BF248" s="7">
        <f>G248*AM248</f>
        <v>0</v>
      </c>
      <c r="BG248" s="7">
        <f>G248*AN248</f>
        <v>0</v>
      </c>
      <c r="BH248" s="7">
        <f>G248*H248</f>
        <v>0</v>
      </c>
      <c r="BI248" s="7"/>
      <c r="BJ248" s="7"/>
      <c r="BS248" s="7">
        <f>G248*H248</f>
        <v>0</v>
      </c>
      <c r="BU248" s="7" t="e">
        <f>#REF!</f>
        <v>#REF!</v>
      </c>
      <c r="BV248" s="3" t="s">
        <v>454</v>
      </c>
    </row>
    <row r="249" spans="1:74" ht="14.4" x14ac:dyDescent="0.3">
      <c r="I249" s="166" t="s">
        <v>42</v>
      </c>
      <c r="J249" s="166"/>
      <c r="K249" s="11">
        <f>K14+K56+K100+K116+K138+K175+K203+K223+K241+K246</f>
        <v>0</v>
      </c>
    </row>
  </sheetData>
  <sheetProtection algorithmName="SHA-512" hashValue="X/yXVmil+gRtjAjzlZIQmzxSkaOwZZXlO3b8vcJjMT76sf+/310MJlp7/XmmrGHbCDQ22Wu6vb9ohuzc13PD4A==" saltValue="iNr7Lw7ISOcHw6DZzQeXbA==" spinCount="100000" sheet="1" objects="1" scenarios="1"/>
  <mergeCells count="123">
    <mergeCell ref="D246:E246"/>
    <mergeCell ref="D247:E247"/>
    <mergeCell ref="D248:E248"/>
    <mergeCell ref="I249:J249"/>
    <mergeCell ref="D237:E237"/>
    <mergeCell ref="D240:E240"/>
    <mergeCell ref="D241:E241"/>
    <mergeCell ref="D242:E242"/>
    <mergeCell ref="D224:E224"/>
    <mergeCell ref="D226:E226"/>
    <mergeCell ref="D229:E229"/>
    <mergeCell ref="D232:E232"/>
    <mergeCell ref="D234:E234"/>
    <mergeCell ref="D215:E215"/>
    <mergeCell ref="D217:E217"/>
    <mergeCell ref="D219:E219"/>
    <mergeCell ref="D222:E222"/>
    <mergeCell ref="D223:E223"/>
    <mergeCell ref="D197:E197"/>
    <mergeCell ref="D202:E202"/>
    <mergeCell ref="D203:E203"/>
    <mergeCell ref="D204:E204"/>
    <mergeCell ref="D213:E213"/>
    <mergeCell ref="D176:E176"/>
    <mergeCell ref="D180:E180"/>
    <mergeCell ref="D184:E184"/>
    <mergeCell ref="D188:E188"/>
    <mergeCell ref="D193:E193"/>
    <mergeCell ref="D163:E163"/>
    <mergeCell ref="D164:E164"/>
    <mergeCell ref="D173:E173"/>
    <mergeCell ref="D174:E174"/>
    <mergeCell ref="D175:E175"/>
    <mergeCell ref="D154:E154"/>
    <mergeCell ref="D157:E157"/>
    <mergeCell ref="D158:E158"/>
    <mergeCell ref="D159:E159"/>
    <mergeCell ref="D162:E162"/>
    <mergeCell ref="D149:E149"/>
    <mergeCell ref="D150:E150"/>
    <mergeCell ref="D151:E151"/>
    <mergeCell ref="D152:E152"/>
    <mergeCell ref="D153:E153"/>
    <mergeCell ref="D138:E138"/>
    <mergeCell ref="D139:E139"/>
    <mergeCell ref="D146:E146"/>
    <mergeCell ref="D147:E147"/>
    <mergeCell ref="D148:E148"/>
    <mergeCell ref="D124:E124"/>
    <mergeCell ref="D126:E126"/>
    <mergeCell ref="D134:E134"/>
    <mergeCell ref="D136:E136"/>
    <mergeCell ref="D137:E137"/>
    <mergeCell ref="D113:E113"/>
    <mergeCell ref="D115:E115"/>
    <mergeCell ref="D116:E116"/>
    <mergeCell ref="D117:E117"/>
    <mergeCell ref="D121:E121"/>
    <mergeCell ref="D100:E100"/>
    <mergeCell ref="D101:E101"/>
    <mergeCell ref="D105:E105"/>
    <mergeCell ref="D109:E109"/>
    <mergeCell ref="D111:E111"/>
    <mergeCell ref="D90:E90"/>
    <mergeCell ref="D93:E93"/>
    <mergeCell ref="D96:E96"/>
    <mergeCell ref="D99:E99"/>
    <mergeCell ref="D56:E56"/>
    <mergeCell ref="D57:E57"/>
    <mergeCell ref="D66:E66"/>
    <mergeCell ref="D75:E75"/>
    <mergeCell ref="D84:E84"/>
    <mergeCell ref="D53:E53"/>
    <mergeCell ref="D54:E54"/>
    <mergeCell ref="D55:E55"/>
    <mergeCell ref="D30:E30"/>
    <mergeCell ref="D37:E37"/>
    <mergeCell ref="D39:E39"/>
    <mergeCell ref="D43:E43"/>
    <mergeCell ref="D50:E50"/>
    <mergeCell ref="D87:E87"/>
    <mergeCell ref="D28:E28"/>
    <mergeCell ref="D11:E11"/>
    <mergeCell ref="L10:M10"/>
    <mergeCell ref="D13:E13"/>
    <mergeCell ref="D14:E14"/>
    <mergeCell ref="D10:E10"/>
    <mergeCell ref="I10:J10"/>
    <mergeCell ref="D51:E51"/>
    <mergeCell ref="D52:E52"/>
    <mergeCell ref="H8:H9"/>
    <mergeCell ref="L7:N7"/>
    <mergeCell ref="K8:K9"/>
    <mergeCell ref="L8:N8"/>
    <mergeCell ref="L9:N9"/>
    <mergeCell ref="D15:E15"/>
    <mergeCell ref="D21:E21"/>
    <mergeCell ref="D24:E24"/>
    <mergeCell ref="D26:E26"/>
    <mergeCell ref="A1:N1"/>
    <mergeCell ref="A2:C3"/>
    <mergeCell ref="A4:C5"/>
    <mergeCell ref="A6:C7"/>
    <mergeCell ref="A8:C9"/>
    <mergeCell ref="F2:G3"/>
    <mergeCell ref="F4:G5"/>
    <mergeCell ref="F6:G7"/>
    <mergeCell ref="F8:G9"/>
    <mergeCell ref="D2:E3"/>
    <mergeCell ref="D4:E5"/>
    <mergeCell ref="D6:E7"/>
    <mergeCell ref="K2:K3"/>
    <mergeCell ref="L2:N2"/>
    <mergeCell ref="L3:N3"/>
    <mergeCell ref="K4:K5"/>
    <mergeCell ref="L4:N4"/>
    <mergeCell ref="L5:N5"/>
    <mergeCell ref="K6:K7"/>
    <mergeCell ref="L6:N6"/>
    <mergeCell ref="D8:E9"/>
    <mergeCell ref="H2:H3"/>
    <mergeCell ref="H4:H5"/>
    <mergeCell ref="H6:H7"/>
  </mergeCells>
  <pageMargins left="0.39370078740157483" right="0.39370078740157483" top="0.59055118110236227" bottom="0.59055118110236227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 - podskupiny</vt:lpstr>
      <vt:lpstr>Stavební rozpočet</vt:lpstr>
      <vt:lpstr>'Stavební rozpočet'!Názvy_tisku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Bartoň Dalibor</cp:lastModifiedBy>
  <cp:lastPrinted>2025-01-23T15:59:08Z</cp:lastPrinted>
  <dcterms:created xsi:type="dcterms:W3CDTF">2021-06-10T20:06:38Z</dcterms:created>
  <dcterms:modified xsi:type="dcterms:W3CDTF">2025-02-17T08:34:02Z</dcterms:modified>
</cp:coreProperties>
</file>