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 Švrčková\! celoplošky 2025\VZ\dotazy\P01 Soupisy stavebnich praci\P01 Soupisy stavebnich praci\"/>
    </mc:Choice>
  </mc:AlternateContent>
  <xr:revisionPtr revIDLastSave="0" documentId="13_ncr:1_{501EDD25-30D7-4F61-904C-D1330E817F29}" xr6:coauthVersionLast="36" xr6:coauthVersionMax="47" xr10:uidLastSave="{00000000-0000-0000-0000-000000000000}"/>
  <bookViews>
    <workbookView xWindow="0" yWindow="0" windowWidth="21570" windowHeight="9855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</workbook>
</file>

<file path=xl/calcChain.xml><?xml version="1.0" encoding="utf-8"?>
<calcChain xmlns="http://schemas.openxmlformats.org/spreadsheetml/2006/main">
  <c r="BJ54" i="4" l="1"/>
  <c r="Z54" i="4" s="1"/>
  <c r="BF54" i="4"/>
  <c r="BD54" i="4"/>
  <c r="AP54" i="4"/>
  <c r="BI54" i="4" s="1"/>
  <c r="AO54" i="4"/>
  <c r="AW54" i="4" s="1"/>
  <c r="AK54" i="4"/>
  <c r="AJ54" i="4"/>
  <c r="AH54" i="4"/>
  <c r="AG54" i="4"/>
  <c r="AF54" i="4"/>
  <c r="AE54" i="4"/>
  <c r="AD54" i="4"/>
  <c r="AC54" i="4"/>
  <c r="AB54" i="4"/>
  <c r="I54" i="4"/>
  <c r="AL54" i="4" s="1"/>
  <c r="BJ53" i="4"/>
  <c r="Z53" i="4" s="1"/>
  <c r="BF53" i="4"/>
  <c r="BD53" i="4"/>
  <c r="AP53" i="4"/>
  <c r="BI53" i="4" s="1"/>
  <c r="AO53" i="4"/>
  <c r="BH53" i="4" s="1"/>
  <c r="AL53" i="4"/>
  <c r="AK53" i="4"/>
  <c r="AJ53" i="4"/>
  <c r="AH53" i="4"/>
  <c r="AG53" i="4"/>
  <c r="AF53" i="4"/>
  <c r="AE53" i="4"/>
  <c r="AD53" i="4"/>
  <c r="AC53" i="4"/>
  <c r="AB53" i="4"/>
  <c r="I53" i="4"/>
  <c r="BJ51" i="4"/>
  <c r="Z51" i="4" s="1"/>
  <c r="BF51" i="4"/>
  <c r="BD51" i="4"/>
  <c r="AP51" i="4"/>
  <c r="BI51" i="4" s="1"/>
  <c r="AO51" i="4"/>
  <c r="BH51" i="4" s="1"/>
  <c r="AK51" i="4"/>
  <c r="AJ51" i="4"/>
  <c r="AH51" i="4"/>
  <c r="AG51" i="4"/>
  <c r="AF51" i="4"/>
  <c r="AE51" i="4"/>
  <c r="AD51" i="4"/>
  <c r="AC51" i="4"/>
  <c r="AB51" i="4"/>
  <c r="I51" i="4"/>
  <c r="AL51" i="4" s="1"/>
  <c r="BJ50" i="4"/>
  <c r="BF50" i="4"/>
  <c r="BD50" i="4"/>
  <c r="AP50" i="4"/>
  <c r="AX50" i="4" s="1"/>
  <c r="AO50" i="4"/>
  <c r="BH50" i="4" s="1"/>
  <c r="AB50" i="4" s="1"/>
  <c r="AK50" i="4"/>
  <c r="AJ50" i="4"/>
  <c r="AH50" i="4"/>
  <c r="AG50" i="4"/>
  <c r="AF50" i="4"/>
  <c r="AE50" i="4"/>
  <c r="AD50" i="4"/>
  <c r="Z50" i="4"/>
  <c r="I50" i="4"/>
  <c r="AL50" i="4" s="1"/>
  <c r="BJ49" i="4"/>
  <c r="BF49" i="4"/>
  <c r="BD49" i="4"/>
  <c r="AX49" i="4"/>
  <c r="AP49" i="4"/>
  <c r="BI49" i="4" s="1"/>
  <c r="AC49" i="4" s="1"/>
  <c r="AO49" i="4"/>
  <c r="AW49" i="4" s="1"/>
  <c r="AK49" i="4"/>
  <c r="AJ49" i="4"/>
  <c r="AH49" i="4"/>
  <c r="AG49" i="4"/>
  <c r="AF49" i="4"/>
  <c r="AE49" i="4"/>
  <c r="AD49" i="4"/>
  <c r="Z49" i="4"/>
  <c r="I49" i="4"/>
  <c r="AL49" i="4" s="1"/>
  <c r="BJ48" i="4"/>
  <c r="BF48" i="4"/>
  <c r="BD48" i="4"/>
  <c r="AP48" i="4"/>
  <c r="BI48" i="4" s="1"/>
  <c r="AC48" i="4" s="1"/>
  <c r="AO48" i="4"/>
  <c r="BH48" i="4" s="1"/>
  <c r="AB48" i="4" s="1"/>
  <c r="AK48" i="4"/>
  <c r="AJ48" i="4"/>
  <c r="AH48" i="4"/>
  <c r="AG48" i="4"/>
  <c r="AF48" i="4"/>
  <c r="AE48" i="4"/>
  <c r="AD48" i="4"/>
  <c r="Z48" i="4"/>
  <c r="I48" i="4"/>
  <c r="AL48" i="4" s="1"/>
  <c r="BJ46" i="4"/>
  <c r="BF46" i="4"/>
  <c r="BD46" i="4"/>
  <c r="AP46" i="4"/>
  <c r="BI46" i="4" s="1"/>
  <c r="AC46" i="4" s="1"/>
  <c r="AO46" i="4"/>
  <c r="BH46" i="4" s="1"/>
  <c r="AB46" i="4" s="1"/>
  <c r="AK46" i="4"/>
  <c r="AJ46" i="4"/>
  <c r="AH46" i="4"/>
  <c r="AG46" i="4"/>
  <c r="AF46" i="4"/>
  <c r="AE46" i="4"/>
  <c r="AD46" i="4"/>
  <c r="Z46" i="4"/>
  <c r="I46" i="4"/>
  <c r="AL46" i="4" s="1"/>
  <c r="BJ45" i="4"/>
  <c r="BF45" i="4"/>
  <c r="BD45" i="4"/>
  <c r="AP45" i="4"/>
  <c r="AX45" i="4" s="1"/>
  <c r="AO45" i="4"/>
  <c r="BH45" i="4" s="1"/>
  <c r="AB45" i="4" s="1"/>
  <c r="AK45" i="4"/>
  <c r="AJ45" i="4"/>
  <c r="AH45" i="4"/>
  <c r="AG45" i="4"/>
  <c r="AF45" i="4"/>
  <c r="AE45" i="4"/>
  <c r="AD45" i="4"/>
  <c r="Z45" i="4"/>
  <c r="I45" i="4"/>
  <c r="AL45" i="4" s="1"/>
  <c r="BJ44" i="4"/>
  <c r="BF44" i="4"/>
  <c r="BD44" i="4"/>
  <c r="AP44" i="4"/>
  <c r="BI44" i="4" s="1"/>
  <c r="AC44" i="4" s="1"/>
  <c r="AO44" i="4"/>
  <c r="AW44" i="4" s="1"/>
  <c r="AK44" i="4"/>
  <c r="AJ44" i="4"/>
  <c r="AH44" i="4"/>
  <c r="AG44" i="4"/>
  <c r="AF44" i="4"/>
  <c r="AE44" i="4"/>
  <c r="AD44" i="4"/>
  <c r="Z44" i="4"/>
  <c r="I44" i="4"/>
  <c r="AL44" i="4" s="1"/>
  <c r="BJ42" i="4"/>
  <c r="BF42" i="4"/>
  <c r="BD42" i="4"/>
  <c r="AP42" i="4"/>
  <c r="BI42" i="4" s="1"/>
  <c r="AC42" i="4" s="1"/>
  <c r="AO42" i="4"/>
  <c r="BH42" i="4" s="1"/>
  <c r="AB42" i="4" s="1"/>
  <c r="AK42" i="4"/>
  <c r="AJ42" i="4"/>
  <c r="AH42" i="4"/>
  <c r="AG42" i="4"/>
  <c r="AF42" i="4"/>
  <c r="AE42" i="4"/>
  <c r="AD42" i="4"/>
  <c r="Z42" i="4"/>
  <c r="I42" i="4"/>
  <c r="AL42" i="4" s="1"/>
  <c r="BJ41" i="4"/>
  <c r="BF41" i="4"/>
  <c r="BD41" i="4"/>
  <c r="AP41" i="4"/>
  <c r="BI41" i="4" s="1"/>
  <c r="AC41" i="4" s="1"/>
  <c r="AO41" i="4"/>
  <c r="BH41" i="4" s="1"/>
  <c r="AB41" i="4" s="1"/>
  <c r="AL41" i="4"/>
  <c r="AK41" i="4"/>
  <c r="AJ41" i="4"/>
  <c r="AH41" i="4"/>
  <c r="AG41" i="4"/>
  <c r="AF41" i="4"/>
  <c r="AE41" i="4"/>
  <c r="AD41" i="4"/>
  <c r="Z41" i="4"/>
  <c r="I41" i="4"/>
  <c r="BJ40" i="4"/>
  <c r="BF40" i="4"/>
  <c r="BD40" i="4"/>
  <c r="AP40" i="4"/>
  <c r="AX40" i="4" s="1"/>
  <c r="AO40" i="4"/>
  <c r="BH40" i="4" s="1"/>
  <c r="AB40" i="4" s="1"/>
  <c r="AK40" i="4"/>
  <c r="AJ40" i="4"/>
  <c r="AS39" i="4" s="1"/>
  <c r="AH40" i="4"/>
  <c r="AG40" i="4"/>
  <c r="AF40" i="4"/>
  <c r="AE40" i="4"/>
  <c r="AD40" i="4"/>
  <c r="Z40" i="4"/>
  <c r="I40" i="4"/>
  <c r="AL40" i="4" s="1"/>
  <c r="BJ38" i="4"/>
  <c r="BF38" i="4"/>
  <c r="BD38" i="4"/>
  <c r="AP38" i="4"/>
  <c r="BI38" i="4" s="1"/>
  <c r="AC38" i="4" s="1"/>
  <c r="AO38" i="4"/>
  <c r="AW38" i="4" s="1"/>
  <c r="AK38" i="4"/>
  <c r="AT37" i="4" s="1"/>
  <c r="AJ38" i="4"/>
  <c r="AS37" i="4" s="1"/>
  <c r="AH38" i="4"/>
  <c r="AG38" i="4"/>
  <c r="AF38" i="4"/>
  <c r="AE38" i="4"/>
  <c r="AD38" i="4"/>
  <c r="Z38" i="4"/>
  <c r="I38" i="4"/>
  <c r="AL38" i="4" s="1"/>
  <c r="AU37" i="4" s="1"/>
  <c r="BJ36" i="4"/>
  <c r="BF36" i="4"/>
  <c r="BD36" i="4"/>
  <c r="AP36" i="4"/>
  <c r="BI36" i="4" s="1"/>
  <c r="AC36" i="4" s="1"/>
  <c r="AO36" i="4"/>
  <c r="BH36" i="4" s="1"/>
  <c r="AB36" i="4" s="1"/>
  <c r="AK36" i="4"/>
  <c r="AJ36" i="4"/>
  <c r="AH36" i="4"/>
  <c r="AG36" i="4"/>
  <c r="AF36" i="4"/>
  <c r="AE36" i="4"/>
  <c r="AD36" i="4"/>
  <c r="Z36" i="4"/>
  <c r="I36" i="4"/>
  <c r="AL36" i="4" s="1"/>
  <c r="BJ34" i="4"/>
  <c r="BF34" i="4"/>
  <c r="BD34" i="4"/>
  <c r="AP34" i="4"/>
  <c r="BI34" i="4" s="1"/>
  <c r="AC34" i="4" s="1"/>
  <c r="AO34" i="4"/>
  <c r="BH34" i="4" s="1"/>
  <c r="AB34" i="4" s="1"/>
  <c r="AK34" i="4"/>
  <c r="AJ34" i="4"/>
  <c r="AH34" i="4"/>
  <c r="AG34" i="4"/>
  <c r="AF34" i="4"/>
  <c r="AE34" i="4"/>
  <c r="AD34" i="4"/>
  <c r="Z34" i="4"/>
  <c r="I34" i="4"/>
  <c r="AL34" i="4" s="1"/>
  <c r="BJ31" i="4"/>
  <c r="BF31" i="4"/>
  <c r="BD31" i="4"/>
  <c r="AP31" i="4"/>
  <c r="AX31" i="4" s="1"/>
  <c r="AO31" i="4"/>
  <c r="BH31" i="4" s="1"/>
  <c r="AB31" i="4" s="1"/>
  <c r="AK31" i="4"/>
  <c r="AJ31" i="4"/>
  <c r="AH31" i="4"/>
  <c r="AG31" i="4"/>
  <c r="AF31" i="4"/>
  <c r="AE31" i="4"/>
  <c r="AD31" i="4"/>
  <c r="Z31" i="4"/>
  <c r="I31" i="4"/>
  <c r="AL31" i="4" s="1"/>
  <c r="BJ29" i="4"/>
  <c r="BF29" i="4"/>
  <c r="BD29" i="4"/>
  <c r="AP29" i="4"/>
  <c r="BI29" i="4" s="1"/>
  <c r="AC29" i="4" s="1"/>
  <c r="AO29" i="4"/>
  <c r="AW29" i="4" s="1"/>
  <c r="AK29" i="4"/>
  <c r="AJ29" i="4"/>
  <c r="AH29" i="4"/>
  <c r="AG29" i="4"/>
  <c r="AF29" i="4"/>
  <c r="AE29" i="4"/>
  <c r="AD29" i="4"/>
  <c r="Z29" i="4"/>
  <c r="I29" i="4"/>
  <c r="AL29" i="4" s="1"/>
  <c r="BJ22" i="4"/>
  <c r="BF22" i="4"/>
  <c r="BD22" i="4"/>
  <c r="AP22" i="4"/>
  <c r="BI22" i="4" s="1"/>
  <c r="AC22" i="4" s="1"/>
  <c r="AO22" i="4"/>
  <c r="BH22" i="4" s="1"/>
  <c r="AB22" i="4" s="1"/>
  <c r="AK22" i="4"/>
  <c r="AT21" i="4" s="1"/>
  <c r="AJ22" i="4"/>
  <c r="AS21" i="4" s="1"/>
  <c r="AH22" i="4"/>
  <c r="AG22" i="4"/>
  <c r="AF22" i="4"/>
  <c r="AE22" i="4"/>
  <c r="AD22" i="4"/>
  <c r="Z22" i="4"/>
  <c r="I22" i="4"/>
  <c r="AL22" i="4" s="1"/>
  <c r="BJ20" i="4"/>
  <c r="BF20" i="4"/>
  <c r="BD20" i="4"/>
  <c r="AP20" i="4"/>
  <c r="BI20" i="4" s="1"/>
  <c r="AC20" i="4" s="1"/>
  <c r="AO20" i="4"/>
  <c r="BH20" i="4" s="1"/>
  <c r="AB20" i="4" s="1"/>
  <c r="AK20" i="4"/>
  <c r="AJ20" i="4"/>
  <c r="AH20" i="4"/>
  <c r="AG20" i="4"/>
  <c r="AF20" i="4"/>
  <c r="AE20" i="4"/>
  <c r="AD20" i="4"/>
  <c r="Z20" i="4"/>
  <c r="I20" i="4"/>
  <c r="AL20" i="4" s="1"/>
  <c r="BJ19" i="4"/>
  <c r="BF19" i="4"/>
  <c r="BD19" i="4"/>
  <c r="AP19" i="4"/>
  <c r="AX19" i="4" s="1"/>
  <c r="AO19" i="4"/>
  <c r="BH19" i="4" s="1"/>
  <c r="AB19" i="4" s="1"/>
  <c r="AK19" i="4"/>
  <c r="AJ19" i="4"/>
  <c r="AH19" i="4"/>
  <c r="AG19" i="4"/>
  <c r="AF19" i="4"/>
  <c r="AE19" i="4"/>
  <c r="AD19" i="4"/>
  <c r="Z19" i="4"/>
  <c r="I19" i="4"/>
  <c r="AL19" i="4" s="1"/>
  <c r="BJ18" i="4"/>
  <c r="BF18" i="4"/>
  <c r="BD18" i="4"/>
  <c r="AP18" i="4"/>
  <c r="BI18" i="4" s="1"/>
  <c r="AC18" i="4" s="1"/>
  <c r="AO18" i="4"/>
  <c r="AW18" i="4" s="1"/>
  <c r="AK18" i="4"/>
  <c r="AJ18" i="4"/>
  <c r="AH18" i="4"/>
  <c r="AG18" i="4"/>
  <c r="AF18" i="4"/>
  <c r="AE18" i="4"/>
  <c r="AD18" i="4"/>
  <c r="Z18" i="4"/>
  <c r="I18" i="4"/>
  <c r="AL18" i="4" s="1"/>
  <c r="BJ17" i="4"/>
  <c r="BF17" i="4"/>
  <c r="BD17" i="4"/>
  <c r="AP17" i="4"/>
  <c r="BI17" i="4" s="1"/>
  <c r="AC17" i="4" s="1"/>
  <c r="AO17" i="4"/>
  <c r="BH17" i="4" s="1"/>
  <c r="AB17" i="4" s="1"/>
  <c r="AK17" i="4"/>
  <c r="AJ17" i="4"/>
  <c r="AH17" i="4"/>
  <c r="AG17" i="4"/>
  <c r="AF17" i="4"/>
  <c r="AE17" i="4"/>
  <c r="AD17" i="4"/>
  <c r="Z17" i="4"/>
  <c r="I17" i="4"/>
  <c r="AL17" i="4" s="1"/>
  <c r="BJ16" i="4"/>
  <c r="BF16" i="4"/>
  <c r="BD16" i="4"/>
  <c r="AP16" i="4"/>
  <c r="BI16" i="4" s="1"/>
  <c r="AC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3" i="4"/>
  <c r="BF13" i="4"/>
  <c r="BD13" i="4"/>
  <c r="AP13" i="4"/>
  <c r="AX13" i="4" s="1"/>
  <c r="AO13" i="4"/>
  <c r="BH13" i="4" s="1"/>
  <c r="AB13" i="4" s="1"/>
  <c r="AK13" i="4"/>
  <c r="AJ13" i="4"/>
  <c r="AH13" i="4"/>
  <c r="AG13" i="4"/>
  <c r="AF13" i="4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19" i="2" s="1"/>
  <c r="I25" i="3"/>
  <c r="I24" i="3"/>
  <c r="I23" i="3"/>
  <c r="I16" i="2" s="1"/>
  <c r="I22" i="3"/>
  <c r="I21" i="3"/>
  <c r="I14" i="2" s="1"/>
  <c r="I17" i="3"/>
  <c r="F16" i="2" s="1"/>
  <c r="I16" i="3"/>
  <c r="I15" i="3"/>
  <c r="F14" i="2" s="1"/>
  <c r="I10" i="3"/>
  <c r="F10" i="3"/>
  <c r="C10" i="3"/>
  <c r="F8" i="3"/>
  <c r="C8" i="3"/>
  <c r="F6" i="3"/>
  <c r="C6" i="3"/>
  <c r="F4" i="3"/>
  <c r="C4" i="3"/>
  <c r="F2" i="3"/>
  <c r="C2" i="3"/>
  <c r="I18" i="2"/>
  <c r="I17" i="2"/>
  <c r="I15" i="2"/>
  <c r="F15" i="2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AS30" i="4" l="1"/>
  <c r="AW17" i="4"/>
  <c r="BC17" i="4" s="1"/>
  <c r="AX48" i="4"/>
  <c r="AT47" i="4"/>
  <c r="AS52" i="4"/>
  <c r="AW16" i="4"/>
  <c r="AX17" i="4"/>
  <c r="AW41" i="4"/>
  <c r="AW42" i="4"/>
  <c r="AT52" i="4"/>
  <c r="AU39" i="4"/>
  <c r="AX18" i="4"/>
  <c r="AV18" i="4" s="1"/>
  <c r="I30" i="4"/>
  <c r="G13" i="1" s="1"/>
  <c r="I13" i="1" s="1"/>
  <c r="C19" i="2"/>
  <c r="AW34" i="4"/>
  <c r="AX36" i="4"/>
  <c r="AW22" i="4"/>
  <c r="AV22" i="4" s="1"/>
  <c r="AX29" i="4"/>
  <c r="BC29" i="4" s="1"/>
  <c r="AW46" i="4"/>
  <c r="AW48" i="4"/>
  <c r="AV48" i="4" s="1"/>
  <c r="AX22" i="4"/>
  <c r="AT30" i="4"/>
  <c r="AW36" i="4"/>
  <c r="BC36" i="4" s="1"/>
  <c r="AW51" i="4"/>
  <c r="C17" i="2"/>
  <c r="C27" i="2"/>
  <c r="AS12" i="4"/>
  <c r="AX38" i="4"/>
  <c r="BC38" i="4" s="1"/>
  <c r="C20" i="2"/>
  <c r="AX42" i="4"/>
  <c r="BC42" i="4" s="1"/>
  <c r="AX44" i="4"/>
  <c r="AW53" i="4"/>
  <c r="AS47" i="4"/>
  <c r="AX53" i="4"/>
  <c r="AU21" i="4"/>
  <c r="AT43" i="4"/>
  <c r="AX54" i="4"/>
  <c r="BC54" i="4" s="1"/>
  <c r="AW20" i="4"/>
  <c r="AU30" i="4"/>
  <c r="I39" i="4"/>
  <c r="G15" i="1" s="1"/>
  <c r="I15" i="1" s="1"/>
  <c r="AT39" i="4"/>
  <c r="AS43" i="4"/>
  <c r="C21" i="2"/>
  <c r="C16" i="2"/>
  <c r="I43" i="4"/>
  <c r="G16" i="1" s="1"/>
  <c r="I16" i="1" s="1"/>
  <c r="AT12" i="4"/>
  <c r="C18" i="2"/>
  <c r="AV36" i="4"/>
  <c r="AU52" i="4"/>
  <c r="AV44" i="4"/>
  <c r="BC44" i="4"/>
  <c r="I22" i="2"/>
  <c r="AU12" i="4"/>
  <c r="AV29" i="4"/>
  <c r="AU47" i="4"/>
  <c r="AV49" i="4"/>
  <c r="BC49" i="4"/>
  <c r="AV54" i="4"/>
  <c r="F22" i="2"/>
  <c r="AV38" i="4"/>
  <c r="AU43" i="4"/>
  <c r="BI19" i="4"/>
  <c r="AC19" i="4" s="1"/>
  <c r="BH29" i="4"/>
  <c r="AB29" i="4" s="1"/>
  <c r="BH44" i="4"/>
  <c r="AB44" i="4" s="1"/>
  <c r="BH49" i="4"/>
  <c r="AB49" i="4" s="1"/>
  <c r="BH54" i="4"/>
  <c r="C28" i="2"/>
  <c r="F28" i="2" s="1"/>
  <c r="I18" i="3"/>
  <c r="I21" i="4"/>
  <c r="G12" i="1" s="1"/>
  <c r="I12" i="1" s="1"/>
  <c r="I47" i="4"/>
  <c r="G17" i="1" s="1"/>
  <c r="I17" i="1" s="1"/>
  <c r="I52" i="4"/>
  <c r="G18" i="1" s="1"/>
  <c r="I18" i="1" s="1"/>
  <c r="I27" i="3"/>
  <c r="BI13" i="4"/>
  <c r="AC13" i="4" s="1"/>
  <c r="BI31" i="4"/>
  <c r="AC31" i="4" s="1"/>
  <c r="BI40" i="4"/>
  <c r="AC40" i="4" s="1"/>
  <c r="AW13" i="4"/>
  <c r="AX16" i="4"/>
  <c r="AV16" i="4" s="1"/>
  <c r="AW19" i="4"/>
  <c r="AX20" i="4"/>
  <c r="AW31" i="4"/>
  <c r="AX34" i="4"/>
  <c r="AV34" i="4" s="1"/>
  <c r="AW40" i="4"/>
  <c r="AX41" i="4"/>
  <c r="AW45" i="4"/>
  <c r="AX46" i="4"/>
  <c r="AW50" i="4"/>
  <c r="AX51" i="4"/>
  <c r="BH18" i="4"/>
  <c r="AB18" i="4" s="1"/>
  <c r="I37" i="4"/>
  <c r="G14" i="1" s="1"/>
  <c r="I14" i="1" s="1"/>
  <c r="BH38" i="4"/>
  <c r="AB38" i="4" s="1"/>
  <c r="BI45" i="4"/>
  <c r="AC45" i="4" s="1"/>
  <c r="BI50" i="4"/>
  <c r="AC50" i="4" s="1"/>
  <c r="I12" i="4"/>
  <c r="AV41" i="4" l="1"/>
  <c r="AV17" i="4"/>
  <c r="AV20" i="4"/>
  <c r="AV51" i="4"/>
  <c r="BC53" i="4"/>
  <c r="C29" i="2"/>
  <c r="F29" i="2" s="1"/>
  <c r="AV42" i="4"/>
  <c r="BC22" i="4"/>
  <c r="BC18" i="4"/>
  <c r="BC34" i="4"/>
  <c r="BC48" i="4"/>
  <c r="AV46" i="4"/>
  <c r="AV53" i="4"/>
  <c r="C14" i="2"/>
  <c r="AV31" i="4"/>
  <c r="BC31" i="4"/>
  <c r="BC45" i="4"/>
  <c r="AV45" i="4"/>
  <c r="BC13" i="4"/>
  <c r="AV13" i="4"/>
  <c r="F29" i="3"/>
  <c r="BC20" i="4"/>
  <c r="I55" i="4"/>
  <c r="G11" i="1"/>
  <c r="I11" i="1" s="1"/>
  <c r="G19" i="1" s="1"/>
  <c r="AV50" i="4"/>
  <c r="BC50" i="4"/>
  <c r="BC19" i="4"/>
  <c r="AV19" i="4"/>
  <c r="BC51" i="4"/>
  <c r="BC41" i="4"/>
  <c r="BC46" i="4"/>
  <c r="BC40" i="4"/>
  <c r="AV40" i="4"/>
  <c r="C15" i="2"/>
  <c r="BC16" i="4"/>
  <c r="I28" i="2" l="1"/>
  <c r="I29" i="2" s="1"/>
  <c r="C22" i="2"/>
</calcChain>
</file>

<file path=xl/sharedStrings.xml><?xml version="1.0" encoding="utf-8"?>
<sst xmlns="http://schemas.openxmlformats.org/spreadsheetml/2006/main" count="635" uniqueCount="226">
  <si>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</si>
  <si>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</si>
  <si>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</si>
  <si>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</si>
  <si>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</si>
  <si>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</si>
  <si>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</si>
  <si>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18.06.2024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</si>
  <si>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</si>
  <si>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</si>
  <si>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</si>
  <si>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</si>
  <si>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</si>
  <si>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</si>
  <si>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</si>
  <si>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</si>
  <si>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</si>
  <si>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</si>
  <si>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</si>
  <si>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00</t>
  </si>
  <si>
    <t>Vedlejší a ostatní náklady</t>
  </si>
  <si>
    <t>T</t>
  </si>
  <si>
    <t>11</t>
  </si>
  <si>
    <t>Přípravné a přidružené práce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</si>
  <si>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</si>
  <si>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</si>
  <si>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</si>
  <si>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</si>
  <si>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83</t>
  </si>
  <si>
    <t>Potrubí z trub kameninových</t>
  </si>
  <si>
    <t>89</t>
  </si>
  <si>
    <t>Ostatní konstrukce a práce na trubním vedení</t>
  </si>
  <si>
    <t>91</t>
  </si>
  <si>
    <t>Doplňující konstrukce a práce na pozemních komunikacích a zpevněných plochách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</si>
  <si>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</si>
  <si>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</si>
  <si>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</si>
  <si>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</si>
  <si>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</si>
  <si>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</si>
  <si>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</si>
  <si>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</si>
  <si>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</si>
  <si>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</si>
  <si>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</si>
  <si>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</si>
  <si>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</si>
  <si>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</si>
  <si>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</si>
  <si>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</si>
  <si>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</si>
  <si>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</si>
  <si>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</si>
  <si>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</si>
  <si>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</si>
  <si>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</si>
  <si>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</si>
  <si>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</si>
  <si>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</si>
  <si>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</si>
  <si>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</si>
  <si>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</si>
  <si>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</si>
  <si>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</si>
  <si>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</si>
  <si>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</si>
  <si>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</si>
  <si>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</si>
  <si>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</si>
  <si>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</si>
  <si>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</si>
  <si>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</si>
  <si>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</si>
  <si>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</si>
  <si>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</si>
  <si>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</si>
  <si>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</si>
  <si>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</si>
  <si>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</si>
  <si>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</si>
  <si>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</si>
  <si>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</si>
  <si>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</si>
  <si>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</si>
  <si>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</si>
  <si>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</si>
  <si>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</si>
  <si>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</si>
  <si>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</si>
  <si>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</si>
  <si>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</si>
  <si>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</si>
  <si>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</si>
  <si>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</si>
  <si>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</si>
  <si>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</si>
  <si>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</si>
  <si>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24100 Bruntál, U Rybníka - oprava komunikace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</si>
  <si>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</si>
  <si>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</si>
  <si>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</si>
  <si>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</si>
  <si>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</si>
  <si>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</si>
  <si>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</si>
  <si>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</si>
  <si>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</si>
  <si>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</si>
  <si>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</si>
  <si>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</si>
  <si>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</si>
  <si>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</si>
  <si>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</si>
  <si>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</si>
  <si>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</si>
  <si>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</si>
  <si>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</si>
  <si>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</si>
  <si>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</si>
  <si>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</si>
  <si>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</si>
  <si>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</si>
  <si>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</si>
  <si>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123118VD</t>
  </si>
  <si>
    <t>Geodetické práce</t>
  </si>
  <si>
    <t>kpl</t>
  </si>
  <si>
    <t>00_</t>
  </si>
  <si>
    <t>0_</t>
  </si>
  <si>
    <t>_</t>
  </si>
  <si>
    <t>vytýčení nových nivelet komunikace</t>
  </si>
  <si>
    <t>2</t>
  </si>
  <si>
    <t>123119VD</t>
  </si>
  <si>
    <t>Fotodokumentace</t>
  </si>
  <si>
    <t>3</t>
  </si>
  <si>
    <t>123140VD</t>
  </si>
  <si>
    <t>Čistění komunikací po dobu výstavby</t>
  </si>
  <si>
    <t>4</t>
  </si>
  <si>
    <t>123171VD</t>
  </si>
  <si>
    <t>Přechodné dopravní značení</t>
  </si>
  <si>
    <t>5</t>
  </si>
  <si>
    <t>123188VD</t>
  </si>
  <si>
    <t>Vytýčení sítí</t>
  </si>
  <si>
    <t>6</t>
  </si>
  <si>
    <t>123126VD</t>
  </si>
  <si>
    <t>7</t>
  </si>
  <si>
    <t>113151315R00</t>
  </si>
  <si>
    <t>Fréz.živič.krytu nad 500 m2, s překážkami, tl.6 cm</t>
  </si>
  <si>
    <t>m2</t>
  </si>
  <si>
    <t>11_</t>
  </si>
  <si>
    <t>1_</t>
  </si>
  <si>
    <t>průměrná tloušťka - vč. zametení</t>
  </si>
  <si>
    <t>5,6*102,0</t>
  </si>
  <si>
    <t>(5,2+5,5)/2*26,5</t>
  </si>
  <si>
    <t>5,0*2,5/2</t>
  </si>
  <si>
    <t>7,07*7,0/2*2</t>
  </si>
  <si>
    <t>3,0*2,0/2</t>
  </si>
  <si>
    <t>8</t>
  </si>
  <si>
    <t>113203111R00</t>
  </si>
  <si>
    <t>Vytrhání obrub z dlažebních kostek</t>
  </si>
  <si>
    <t>m</t>
  </si>
  <si>
    <t>9</t>
  </si>
  <si>
    <t>572713112R00</t>
  </si>
  <si>
    <t>Vyrovnání povrchu krytů kamen. obaleným asfaltem</t>
  </si>
  <si>
    <t>t</t>
  </si>
  <si>
    <t>57_</t>
  </si>
  <si>
    <t>5_</t>
  </si>
  <si>
    <t>průměrní tloušťka 2cm</t>
  </si>
  <si>
    <t>771,715*0,02*2,5</t>
  </si>
  <si>
    <t>10</t>
  </si>
  <si>
    <t>573231125R00</t>
  </si>
  <si>
    <t>Postřik spojovací z KAE, množství zbytkového asfaltu 0,5 kg/m2</t>
  </si>
  <si>
    <t>771,715*2</t>
  </si>
  <si>
    <t>577141212R00</t>
  </si>
  <si>
    <t>Beton asfalt. ACO 8,ACO 11,ACO 16, do 3 m, tl.5 cm</t>
  </si>
  <si>
    <t>12</t>
  </si>
  <si>
    <t>599141111R00</t>
  </si>
  <si>
    <t>Vyplnění spár  živičnou zálivkou</t>
  </si>
  <si>
    <t>59_</t>
  </si>
  <si>
    <t>13</t>
  </si>
  <si>
    <t>831350012RA0</t>
  </si>
  <si>
    <t>Kanalizace z trub PVC hrdlových D 160 mm</t>
  </si>
  <si>
    <t>83_</t>
  </si>
  <si>
    <t>8_</t>
  </si>
  <si>
    <t>14</t>
  </si>
  <si>
    <t>831263195R00</t>
  </si>
  <si>
    <t>Příplatek za zřízení kanal. přípojky DN 100 - 300</t>
  </si>
  <si>
    <t>kus</t>
  </si>
  <si>
    <t>15</t>
  </si>
  <si>
    <t>831990101RA0</t>
  </si>
  <si>
    <t>Příplatek za trasu ve vozovce živičné</t>
  </si>
  <si>
    <t>16</t>
  </si>
  <si>
    <t>899231111R00</t>
  </si>
  <si>
    <t>Výšková úprava vstupu do 20 cm, zvýšení mříže</t>
  </si>
  <si>
    <t>89_</t>
  </si>
  <si>
    <t>17</t>
  </si>
  <si>
    <t>899331111R00</t>
  </si>
  <si>
    <t>Výšková úprava vstupu do 20 cm, zvýšení poklopu</t>
  </si>
  <si>
    <t>18</t>
  </si>
  <si>
    <t>894411010RAF</t>
  </si>
  <si>
    <t>Vpusť uliční z dílců DN 450,s odkalištěm,napojení</t>
  </si>
  <si>
    <t>19</t>
  </si>
  <si>
    <t>919735112R00</t>
  </si>
  <si>
    <t>Řezání stávajícího živičného krytu tl. 5 - 10 cm</t>
  </si>
  <si>
    <t>91_</t>
  </si>
  <si>
    <t>9_</t>
  </si>
  <si>
    <t>20</t>
  </si>
  <si>
    <t>915711111RT2</t>
  </si>
  <si>
    <t>Vodorovné značení dělicích čar 12 cm střík.barvou</t>
  </si>
  <si>
    <t>21</t>
  </si>
  <si>
    <t>915791111R00</t>
  </si>
  <si>
    <t>Předznačení pro značení dělicí čáry,vodicí proužky</t>
  </si>
  <si>
    <t>22</t>
  </si>
  <si>
    <t>998225111R00</t>
  </si>
  <si>
    <t>Přesun hmot, pozemní komunikace, kryt živičný</t>
  </si>
  <si>
    <t>23</t>
  </si>
  <si>
    <t>979084215R00</t>
  </si>
  <si>
    <t>Vodorovná doprava vybour. hmot po suchu do 3 km</t>
  </si>
  <si>
    <t>S_</t>
  </si>
  <si>
    <t>24</t>
  </si>
  <si>
    <t>979999995R00</t>
  </si>
  <si>
    <t>Výkup asfaltového recyklátu</t>
  </si>
  <si>
    <t>Beton asfalt. ACO 11, tl.5 cm</t>
  </si>
  <si>
    <t>Město Bruntál</t>
  </si>
  <si>
    <t>IČ 00295892</t>
  </si>
  <si>
    <t>00295892</t>
  </si>
  <si>
    <t>M. Petrů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</si>
</sst>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62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0" fontId="3" fillId="0" borderId="63" xfId="0" applyFont="1" applyBorder="1" applyAlignment="1">
      <alignment horizontal="center" vertical="center"/>
    </xf>
    <xf numFmtId="0" fontId="0" fillId="0" borderId="68" xfId="0" applyBorder="1"/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9" xfId="0" applyFont="1" applyBorder="1" applyAlignment="1">
      <alignment horizontal="left" vertical="center"/>
    </xf>
    <xf numFmtId="0" fontId="2" fillId="0" borderId="70" xfId="0" applyFont="1" applyBorder="1" applyAlignment="1">
      <alignment horizontal="left" vertical="center"/>
    </xf>
    <xf numFmtId="0" fontId="0" fillId="0" borderId="6" xfId="0" applyBorder="1"/>
    <xf numFmtId="0" fontId="2" fillId="2" borderId="15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0" fillId="0" borderId="5" xfId="0" applyBorder="1"/>
    <xf numFmtId="0" fontId="10" fillId="0" borderId="0" xfId="0" applyFont="1" applyAlignment="1">
      <alignment horizontal="left" vertical="center"/>
    </xf>
    <xf numFmtId="4" fontId="10" fillId="0" borderId="0" xfId="0" applyNumberFormat="1" applyFont="1" applyAlignment="1">
      <alignment horizontal="righ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4" fontId="2" fillId="0" borderId="9" xfId="0" applyNumberFormat="1" applyFont="1" applyBorder="1" applyAlignment="1">
      <alignment horizontal="right" vertical="center"/>
    </xf>
    <xf numFmtId="0" fontId="0" fillId="0" borderId="18" xfId="0" applyBorder="1"/>
    <xf numFmtId="0" fontId="9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7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0" fillId="0" borderId="9" xfId="0" applyBorder="1" applyProtection="1"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1" fillId="0" borderId="37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3" fillId="0" borderId="7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"/>
  <sheetViews>
    <sheetView workbookViewId="0">
      <pane ySplit="11" topLeftCell="A12" activePane="bottomLeft" state="frozen"/>
      <selection pane="bottomLeft" activeCell="C10" sqref="C10"/>
    </sheetView>
  </sheetViews>
  <sheetFormatPr defaultColWidth="12.140625" defaultRowHeight="15" customHeight="1" x14ac:dyDescent="0.25"/>
  <cols>
    <col min="1" max="2" width="8.42578125" customWidth="1"/>
    <col min="3" max="3" width="71.42578125" customWidth="1"/>
    <col min="4" max="4" width="13.28515625" customWidth="1"/>
    <col min="5" max="6" width="12.140625" customWidth="1"/>
    <col min="7" max="7" width="27.85546875" customWidth="1"/>
    <col min="8" max="9" width="0" hidden="1" customWidth="1"/>
  </cols>
  <sheetData>
    <row r="1" spans="1:9" ht="54.75" customHeight="1" x14ac:dyDescent="0.25">
      <c r="A1" s="82" t="s">
        <v>0</v>
      </c>
      <c r="B1" s="82"/>
      <c r="C1" s="82"/>
      <c r="D1" s="82"/>
      <c r="E1" s="82"/>
      <c r="F1" s="82"/>
      <c r="G1" s="82"/>
    </row>
    <row r="2" spans="1:9" x14ac:dyDescent="0.25">
      <c r="A2" s="83" t="s">
        <v>1</v>
      </c>
      <c r="B2" s="84"/>
      <c r="C2" s="93" t="str">
        <f>'Stavební rozpočet'!D2</f>
        <v>24100 Bruntál, U Rybníka - oprava komunikace</v>
      </c>
      <c r="D2" s="84" t="s">
        <v>2</v>
      </c>
      <c r="E2" s="84" t="s">
        <v>3</v>
      </c>
      <c r="F2" s="91" t="s">
        <v>4</v>
      </c>
      <c r="G2" s="95" t="str">
        <f>'Stavební rozpočet'!J2</f>
        <v>Město Bruntál</v>
      </c>
    </row>
    <row r="3" spans="1:9" ht="15" customHeight="1" x14ac:dyDescent="0.25">
      <c r="A3" s="85"/>
      <c r="B3" s="86"/>
      <c r="C3" s="94"/>
      <c r="D3" s="86"/>
      <c r="E3" s="86"/>
      <c r="F3" s="86"/>
      <c r="G3" s="96"/>
    </row>
    <row r="4" spans="1:9" x14ac:dyDescent="0.25">
      <c r="A4" s="87" t="s">
        <v>5</v>
      </c>
      <c r="B4" s="86"/>
      <c r="C4" s="92" t="str">
        <f>'Stavební rozpočet'!D4</f>
        <v xml:space="preserve"> </v>
      </c>
      <c r="D4" s="86" t="s">
        <v>6</v>
      </c>
      <c r="E4" s="86"/>
      <c r="F4" s="92" t="s">
        <v>8</v>
      </c>
      <c r="G4" s="97" t="str">
        <f>'Stavební rozpočet'!J4</f>
        <v> </v>
      </c>
    </row>
    <row r="5" spans="1:9" ht="15" customHeight="1" x14ac:dyDescent="0.25">
      <c r="A5" s="85"/>
      <c r="B5" s="86"/>
      <c r="C5" s="86"/>
      <c r="D5" s="86"/>
      <c r="E5" s="86"/>
      <c r="F5" s="86"/>
      <c r="G5" s="96"/>
    </row>
    <row r="6" spans="1:9" x14ac:dyDescent="0.25">
      <c r="A6" s="87" t="s">
        <v>9</v>
      </c>
      <c r="B6" s="86"/>
      <c r="C6" s="92" t="str">
        <f>'Stavební rozpočet'!D6</f>
        <v xml:space="preserve"> </v>
      </c>
      <c r="D6" s="86" t="s">
        <v>10</v>
      </c>
      <c r="E6" s="86" t="s">
        <v>3</v>
      </c>
      <c r="F6" s="92" t="s">
        <v>11</v>
      </c>
      <c r="G6" s="97" t="str">
        <f>'Stavební rozpočet'!J6</f>
        <v> </v>
      </c>
    </row>
    <row r="7" spans="1:9" ht="15" customHeight="1" x14ac:dyDescent="0.25">
      <c r="A7" s="85"/>
      <c r="B7" s="86"/>
      <c r="C7" s="86"/>
      <c r="D7" s="86"/>
      <c r="E7" s="86"/>
      <c r="F7" s="86"/>
      <c r="G7" s="96"/>
    </row>
    <row r="8" spans="1:9" x14ac:dyDescent="0.25">
      <c r="A8" s="87" t="s">
        <v>12</v>
      </c>
      <c r="B8" s="86"/>
      <c r="C8" s="92" t="s">
        <v>225</v>
      </c>
      <c r="D8" s="86" t="s">
        <v>13</v>
      </c>
      <c r="E8" s="86" t="s">
        <v>7</v>
      </c>
      <c r="F8" s="86" t="s">
        <v>13</v>
      </c>
      <c r="G8" s="97" t="str">
        <f>'Stavební rozpočet'!H8</f>
        <v>18.06.2024</v>
      </c>
    </row>
    <row r="9" spans="1:9" x14ac:dyDescent="0.25">
      <c r="A9" s="88"/>
      <c r="B9" s="89"/>
      <c r="C9" s="89"/>
      <c r="D9" s="90"/>
      <c r="E9" s="90"/>
      <c r="F9" s="90"/>
      <c r="G9" s="98"/>
    </row>
    <row r="10" spans="1:9" x14ac:dyDescent="0.25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5">
      <c r="A11" s="8" t="s">
        <v>18</v>
      </c>
      <c r="B11" s="9" t="s">
        <v>19</v>
      </c>
      <c r="C11" s="86" t="s">
        <v>20</v>
      </c>
      <c r="D11" s="86"/>
      <c r="E11" s="86"/>
      <c r="F11" s="86"/>
      <c r="G11" s="10">
        <f>ROUND('Stavební rozpočet'!I12,2)</f>
        <v>0</v>
      </c>
      <c r="H11" s="11" t="s">
        <v>21</v>
      </c>
      <c r="I11" s="12">
        <f t="shared" ref="I11:I18" si="0">IF(H11="F",0,G11)</f>
        <v>0</v>
      </c>
    </row>
    <row r="12" spans="1:9" x14ac:dyDescent="0.25">
      <c r="A12" s="1" t="s">
        <v>18</v>
      </c>
      <c r="B12" s="2" t="s">
        <v>22</v>
      </c>
      <c r="C12" s="86" t="s">
        <v>23</v>
      </c>
      <c r="D12" s="86"/>
      <c r="E12" s="86"/>
      <c r="F12" s="86"/>
      <c r="G12" s="12">
        <f>ROUND('Stavební rozpočet'!I21,2)</f>
        <v>0</v>
      </c>
      <c r="H12" s="11" t="s">
        <v>21</v>
      </c>
      <c r="I12" s="12">
        <f t="shared" si="0"/>
        <v>0</v>
      </c>
    </row>
    <row r="13" spans="1:9" x14ac:dyDescent="0.25">
      <c r="A13" s="1" t="s">
        <v>18</v>
      </c>
      <c r="B13" s="2" t="s">
        <v>24</v>
      </c>
      <c r="C13" s="86" t="s">
        <v>25</v>
      </c>
      <c r="D13" s="86"/>
      <c r="E13" s="86"/>
      <c r="F13" s="86"/>
      <c r="G13" s="12">
        <f>ROUND('Stavební rozpočet'!I30,2)</f>
        <v>0</v>
      </c>
      <c r="H13" s="11" t="s">
        <v>21</v>
      </c>
      <c r="I13" s="12">
        <f t="shared" si="0"/>
        <v>0</v>
      </c>
    </row>
    <row r="14" spans="1:9" x14ac:dyDescent="0.25">
      <c r="A14" s="1" t="s">
        <v>18</v>
      </c>
      <c r="B14" s="2" t="s">
        <v>26</v>
      </c>
      <c r="C14" s="86" t="s">
        <v>27</v>
      </c>
      <c r="D14" s="86"/>
      <c r="E14" s="86"/>
      <c r="F14" s="86"/>
      <c r="G14" s="12">
        <f>ROUND('Stavební rozpočet'!I37,2)</f>
        <v>0</v>
      </c>
      <c r="H14" s="11" t="s">
        <v>21</v>
      </c>
      <c r="I14" s="12">
        <f t="shared" si="0"/>
        <v>0</v>
      </c>
    </row>
    <row r="15" spans="1:9" x14ac:dyDescent="0.25">
      <c r="A15" s="1" t="s">
        <v>18</v>
      </c>
      <c r="B15" s="2" t="s">
        <v>28</v>
      </c>
      <c r="C15" s="86" t="s">
        <v>29</v>
      </c>
      <c r="D15" s="86"/>
      <c r="E15" s="86"/>
      <c r="F15" s="86"/>
      <c r="G15" s="12">
        <f>ROUND('Stavební rozpočet'!I39,2)</f>
        <v>0</v>
      </c>
      <c r="H15" s="11" t="s">
        <v>21</v>
      </c>
      <c r="I15" s="12">
        <f t="shared" si="0"/>
        <v>0</v>
      </c>
    </row>
    <row r="16" spans="1:9" x14ac:dyDescent="0.25">
      <c r="A16" s="1" t="s">
        <v>18</v>
      </c>
      <c r="B16" s="2" t="s">
        <v>30</v>
      </c>
      <c r="C16" s="86" t="s">
        <v>31</v>
      </c>
      <c r="D16" s="86"/>
      <c r="E16" s="86"/>
      <c r="F16" s="86"/>
      <c r="G16" s="12">
        <f>ROUND('Stavební rozpočet'!I43,2)</f>
        <v>0</v>
      </c>
      <c r="H16" s="11" t="s">
        <v>21</v>
      </c>
      <c r="I16" s="12">
        <f t="shared" si="0"/>
        <v>0</v>
      </c>
    </row>
    <row r="17" spans="1:9" x14ac:dyDescent="0.25">
      <c r="A17" s="1" t="s">
        <v>18</v>
      </c>
      <c r="B17" s="2" t="s">
        <v>32</v>
      </c>
      <c r="C17" s="86" t="s">
        <v>33</v>
      </c>
      <c r="D17" s="86"/>
      <c r="E17" s="86"/>
      <c r="F17" s="86"/>
      <c r="G17" s="12">
        <f>ROUND('Stavební rozpočet'!I47,2)</f>
        <v>0</v>
      </c>
      <c r="H17" s="11" t="s">
        <v>21</v>
      </c>
      <c r="I17" s="12">
        <f t="shared" si="0"/>
        <v>0</v>
      </c>
    </row>
    <row r="18" spans="1:9" x14ac:dyDescent="0.25">
      <c r="A18" s="1" t="s">
        <v>18</v>
      </c>
      <c r="B18" s="2" t="s">
        <v>34</v>
      </c>
      <c r="C18" s="86" t="s">
        <v>35</v>
      </c>
      <c r="D18" s="86"/>
      <c r="E18" s="86"/>
      <c r="F18" s="86"/>
      <c r="G18" s="12">
        <f>ROUND('Stavební rozpočet'!I52,2)</f>
        <v>-10186.6</v>
      </c>
      <c r="H18" s="11" t="s">
        <v>21</v>
      </c>
      <c r="I18" s="12">
        <f t="shared" si="0"/>
        <v>-10186.6</v>
      </c>
    </row>
    <row r="19" spans="1:9" x14ac:dyDescent="0.25">
      <c r="F19" s="3" t="s">
        <v>36</v>
      </c>
      <c r="G19" s="13">
        <f>ROUND(SUM(I11:I18),2)</f>
        <v>-10186.6</v>
      </c>
    </row>
  </sheetData>
  <mergeCells count="33">
    <mergeCell ref="C17:F17"/>
    <mergeCell ref="C18:F18"/>
    <mergeCell ref="C12:F12"/>
    <mergeCell ref="C13:F13"/>
    <mergeCell ref="C14:F14"/>
    <mergeCell ref="C15:F15"/>
    <mergeCell ref="C16:F16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I4" sqref="I4:I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99" t="s">
        <v>37</v>
      </c>
      <c r="B1" s="82"/>
      <c r="C1" s="82"/>
      <c r="D1" s="82"/>
      <c r="E1" s="82"/>
      <c r="F1" s="82"/>
      <c r="G1" s="82"/>
      <c r="H1" s="82"/>
      <c r="I1" s="82"/>
    </row>
    <row r="2" spans="1:9" x14ac:dyDescent="0.25">
      <c r="A2" s="83" t="s">
        <v>1</v>
      </c>
      <c r="B2" s="84"/>
      <c r="C2" s="93" t="str">
        <f>'Stavební rozpočet'!D2</f>
        <v>24100 Bruntál, U Rybníka - oprava komunikace</v>
      </c>
      <c r="D2" s="103"/>
      <c r="E2" s="91" t="s">
        <v>4</v>
      </c>
      <c r="F2" s="91" t="str">
        <f>'Stavební rozpočet'!J2</f>
        <v>Město Bruntál</v>
      </c>
      <c r="G2" s="84"/>
      <c r="H2" s="91" t="s">
        <v>38</v>
      </c>
      <c r="I2" s="100" t="s">
        <v>224</v>
      </c>
    </row>
    <row r="3" spans="1:9" ht="15" customHeight="1" x14ac:dyDescent="0.25">
      <c r="A3" s="85"/>
      <c r="B3" s="86"/>
      <c r="C3" s="94"/>
      <c r="D3" s="94"/>
      <c r="E3" s="86"/>
      <c r="F3" s="86"/>
      <c r="G3" s="86"/>
      <c r="H3" s="86"/>
      <c r="I3" s="101"/>
    </row>
    <row r="4" spans="1:9" x14ac:dyDescent="0.25">
      <c r="A4" s="87" t="s">
        <v>5</v>
      </c>
      <c r="B4" s="86"/>
      <c r="C4" s="92" t="str">
        <f>'Stavební rozpočet'!D4</f>
        <v xml:space="preserve"> </v>
      </c>
      <c r="D4" s="86"/>
      <c r="E4" s="92" t="s">
        <v>8</v>
      </c>
      <c r="F4" s="92" t="str">
        <f>'Stavební rozpočet'!J4</f>
        <v> </v>
      </c>
      <c r="G4" s="86"/>
      <c r="H4" s="92" t="s">
        <v>38</v>
      </c>
      <c r="I4" s="96" t="s">
        <v>18</v>
      </c>
    </row>
    <row r="5" spans="1:9" ht="15" customHeight="1" x14ac:dyDescent="0.25">
      <c r="A5" s="85"/>
      <c r="B5" s="86"/>
      <c r="C5" s="86"/>
      <c r="D5" s="86"/>
      <c r="E5" s="86"/>
      <c r="F5" s="86"/>
      <c r="G5" s="86"/>
      <c r="H5" s="86"/>
      <c r="I5" s="96"/>
    </row>
    <row r="6" spans="1:9" x14ac:dyDescent="0.25">
      <c r="A6" s="87" t="s">
        <v>9</v>
      </c>
      <c r="B6" s="86"/>
      <c r="C6" s="92" t="str">
        <f>'Stavební rozpočet'!D6</f>
        <v xml:space="preserve"> </v>
      </c>
      <c r="D6" s="86"/>
      <c r="E6" s="92" t="s">
        <v>11</v>
      </c>
      <c r="F6" s="92" t="str">
        <f>'Stavební rozpočet'!J6</f>
        <v> </v>
      </c>
      <c r="G6" s="86"/>
      <c r="H6" s="92" t="s">
        <v>38</v>
      </c>
      <c r="I6" s="96" t="s">
        <v>18</v>
      </c>
    </row>
    <row r="7" spans="1:9" ht="15" customHeight="1" x14ac:dyDescent="0.25">
      <c r="A7" s="85"/>
      <c r="B7" s="86"/>
      <c r="C7" s="86"/>
      <c r="D7" s="86"/>
      <c r="E7" s="86"/>
      <c r="F7" s="86"/>
      <c r="G7" s="86"/>
      <c r="H7" s="86"/>
      <c r="I7" s="96"/>
    </row>
    <row r="8" spans="1:9" x14ac:dyDescent="0.25">
      <c r="A8" s="87" t="s">
        <v>6</v>
      </c>
      <c r="B8" s="86"/>
      <c r="C8" s="92"/>
      <c r="D8" s="86"/>
      <c r="E8" s="92" t="s">
        <v>10</v>
      </c>
      <c r="F8" s="92" t="str">
        <f>'Stavební rozpočet'!H6</f>
        <v xml:space="preserve"> </v>
      </c>
      <c r="G8" s="86"/>
      <c r="H8" s="86" t="s">
        <v>39</v>
      </c>
      <c r="I8" s="102">
        <v>24</v>
      </c>
    </row>
    <row r="9" spans="1:9" x14ac:dyDescent="0.25">
      <c r="A9" s="85"/>
      <c r="B9" s="86"/>
      <c r="C9" s="86"/>
      <c r="D9" s="86"/>
      <c r="E9" s="86"/>
      <c r="F9" s="86"/>
      <c r="G9" s="86"/>
      <c r="H9" s="86"/>
      <c r="I9" s="96"/>
    </row>
    <row r="10" spans="1:9" x14ac:dyDescent="0.25">
      <c r="A10" s="87" t="s">
        <v>40</v>
      </c>
      <c r="B10" s="86"/>
      <c r="C10" s="92" t="str">
        <f>'Stavební rozpočet'!D8</f>
        <v xml:space="preserve"> </v>
      </c>
      <c r="D10" s="86"/>
      <c r="E10" s="92" t="s">
        <v>12</v>
      </c>
      <c r="F10" s="92" t="s">
        <v>225</v>
      </c>
      <c r="G10" s="86"/>
      <c r="H10" s="86" t="s">
        <v>41</v>
      </c>
      <c r="I10" s="97" t="str">
        <f>'Stavební rozpočet'!H8</f>
        <v>18.06.2024</v>
      </c>
    </row>
    <row r="11" spans="1:9" x14ac:dyDescent="0.25">
      <c r="A11" s="108"/>
      <c r="B11" s="90"/>
      <c r="C11" s="90"/>
      <c r="D11" s="90"/>
      <c r="E11" s="90"/>
      <c r="F11" s="90"/>
      <c r="G11" s="90"/>
      <c r="H11" s="90"/>
      <c r="I11" s="104"/>
    </row>
    <row r="12" spans="1:9" ht="23.25" x14ac:dyDescent="0.25">
      <c r="A12" s="105" t="s">
        <v>42</v>
      </c>
      <c r="B12" s="105"/>
      <c r="C12" s="105"/>
      <c r="D12" s="105"/>
      <c r="E12" s="105"/>
      <c r="F12" s="105"/>
      <c r="G12" s="105"/>
      <c r="H12" s="105"/>
      <c r="I12" s="105"/>
    </row>
    <row r="13" spans="1:9" ht="26.25" customHeight="1" x14ac:dyDescent="0.25">
      <c r="A13" s="14" t="s">
        <v>43</v>
      </c>
      <c r="B13" s="106" t="s">
        <v>44</v>
      </c>
      <c r="C13" s="107"/>
      <c r="D13" s="15" t="s">
        <v>45</v>
      </c>
      <c r="E13" s="106" t="s">
        <v>46</v>
      </c>
      <c r="F13" s="107"/>
      <c r="G13" s="15" t="s">
        <v>47</v>
      </c>
      <c r="H13" s="106" t="s">
        <v>48</v>
      </c>
      <c r="I13" s="107"/>
    </row>
    <row r="14" spans="1:9" ht="15.75" x14ac:dyDescent="0.25">
      <c r="A14" s="16" t="s">
        <v>49</v>
      </c>
      <c r="B14" s="17" t="s">
        <v>50</v>
      </c>
      <c r="C14" s="18">
        <f>SUM('Stavební rozpočet'!AB12:AB54)</f>
        <v>0</v>
      </c>
      <c r="D14" s="115" t="s">
        <v>51</v>
      </c>
      <c r="E14" s="116"/>
      <c r="F14" s="18">
        <f>VORN!I15</f>
        <v>0</v>
      </c>
      <c r="G14" s="115" t="s">
        <v>52</v>
      </c>
      <c r="H14" s="116"/>
      <c r="I14" s="19">
        <f>VORN!I21</f>
        <v>0</v>
      </c>
    </row>
    <row r="15" spans="1:9" ht="15.75" x14ac:dyDescent="0.25">
      <c r="A15" s="20" t="s">
        <v>18</v>
      </c>
      <c r="B15" s="17" t="s">
        <v>53</v>
      </c>
      <c r="C15" s="18">
        <f>SUM('Stavební rozpočet'!AC12:AC54)</f>
        <v>0</v>
      </c>
      <c r="D15" s="115" t="s">
        <v>54</v>
      </c>
      <c r="E15" s="116"/>
      <c r="F15" s="18">
        <f>VORN!I16</f>
        <v>0</v>
      </c>
      <c r="G15" s="115" t="s">
        <v>55</v>
      </c>
      <c r="H15" s="116"/>
      <c r="I15" s="19">
        <f>VORN!I22</f>
        <v>0</v>
      </c>
    </row>
    <row r="16" spans="1:9" ht="15.75" x14ac:dyDescent="0.25">
      <c r="A16" s="16" t="s">
        <v>56</v>
      </c>
      <c r="B16" s="17" t="s">
        <v>50</v>
      </c>
      <c r="C16" s="18">
        <f>SUM('Stavební rozpočet'!AD12:AD54)</f>
        <v>0</v>
      </c>
      <c r="D16" s="115" t="s">
        <v>57</v>
      </c>
      <c r="E16" s="116"/>
      <c r="F16" s="18">
        <f>VORN!I17</f>
        <v>0</v>
      </c>
      <c r="G16" s="115" t="s">
        <v>58</v>
      </c>
      <c r="H16" s="116"/>
      <c r="I16" s="19">
        <f>VORN!I23</f>
        <v>0</v>
      </c>
    </row>
    <row r="17" spans="1:9" ht="15.75" x14ac:dyDescent="0.25">
      <c r="A17" s="20" t="s">
        <v>18</v>
      </c>
      <c r="B17" s="17" t="s">
        <v>53</v>
      </c>
      <c r="C17" s="18">
        <f>SUM('Stavební rozpočet'!AE12:AE54)</f>
        <v>0</v>
      </c>
      <c r="D17" s="115" t="s">
        <v>18</v>
      </c>
      <c r="E17" s="116"/>
      <c r="F17" s="19" t="s">
        <v>18</v>
      </c>
      <c r="G17" s="115" t="s">
        <v>59</v>
      </c>
      <c r="H17" s="116"/>
      <c r="I17" s="19">
        <f>VORN!I24</f>
        <v>0</v>
      </c>
    </row>
    <row r="18" spans="1:9" ht="15.75" x14ac:dyDescent="0.25">
      <c r="A18" s="16" t="s">
        <v>60</v>
      </c>
      <c r="B18" s="17" t="s">
        <v>50</v>
      </c>
      <c r="C18" s="18">
        <f>SUM('Stavební rozpočet'!AF12:AF54)</f>
        <v>0</v>
      </c>
      <c r="D18" s="115" t="s">
        <v>18</v>
      </c>
      <c r="E18" s="116"/>
      <c r="F18" s="19" t="s">
        <v>18</v>
      </c>
      <c r="G18" s="115" t="s">
        <v>61</v>
      </c>
      <c r="H18" s="116"/>
      <c r="I18" s="19">
        <f>VORN!I25</f>
        <v>0</v>
      </c>
    </row>
    <row r="19" spans="1:9" ht="15.75" x14ac:dyDescent="0.25">
      <c r="A19" s="20" t="s">
        <v>18</v>
      </c>
      <c r="B19" s="17" t="s">
        <v>53</v>
      </c>
      <c r="C19" s="18">
        <f>SUM('Stavební rozpočet'!AG12:AG54)</f>
        <v>0</v>
      </c>
      <c r="D19" s="115" t="s">
        <v>18</v>
      </c>
      <c r="E19" s="116"/>
      <c r="F19" s="19" t="s">
        <v>18</v>
      </c>
      <c r="G19" s="115" t="s">
        <v>62</v>
      </c>
      <c r="H19" s="116"/>
      <c r="I19" s="19">
        <f>VORN!I26</f>
        <v>0</v>
      </c>
    </row>
    <row r="20" spans="1:9" ht="15.75" x14ac:dyDescent="0.25">
      <c r="A20" s="109" t="s">
        <v>63</v>
      </c>
      <c r="B20" s="110"/>
      <c r="C20" s="18">
        <f>SUM('Stavební rozpočet'!AH12:AH54)</f>
        <v>0</v>
      </c>
      <c r="D20" s="115" t="s">
        <v>18</v>
      </c>
      <c r="E20" s="116"/>
      <c r="F20" s="19" t="s">
        <v>18</v>
      </c>
      <c r="G20" s="115" t="s">
        <v>18</v>
      </c>
      <c r="H20" s="116"/>
      <c r="I20" s="19" t="s">
        <v>18</v>
      </c>
    </row>
    <row r="21" spans="1:9" ht="15.75" x14ac:dyDescent="0.25">
      <c r="A21" s="111" t="s">
        <v>64</v>
      </c>
      <c r="B21" s="112"/>
      <c r="C21" s="21">
        <f>SUM('Stavební rozpočet'!Z12:Z54)</f>
        <v>-10186.6</v>
      </c>
      <c r="D21" s="117" t="s">
        <v>18</v>
      </c>
      <c r="E21" s="118"/>
      <c r="F21" s="22" t="s">
        <v>18</v>
      </c>
      <c r="G21" s="117" t="s">
        <v>18</v>
      </c>
      <c r="H21" s="118"/>
      <c r="I21" s="22" t="s">
        <v>18</v>
      </c>
    </row>
    <row r="22" spans="1:9" ht="16.5" customHeight="1" x14ac:dyDescent="0.25">
      <c r="A22" s="113" t="s">
        <v>65</v>
      </c>
      <c r="B22" s="114"/>
      <c r="C22" s="23">
        <f>ROUND(SUM(C14:C21),2)</f>
        <v>-10186.6</v>
      </c>
      <c r="D22" s="119" t="s">
        <v>66</v>
      </c>
      <c r="E22" s="114"/>
      <c r="F22" s="23">
        <f>SUM(F14:F21)</f>
        <v>0</v>
      </c>
      <c r="G22" s="119" t="s">
        <v>67</v>
      </c>
      <c r="H22" s="114"/>
      <c r="I22" s="23">
        <f>SUM(I14:I21)</f>
        <v>0</v>
      </c>
    </row>
    <row r="23" spans="1:9" ht="15.75" x14ac:dyDescent="0.25">
      <c r="D23" s="109" t="s">
        <v>68</v>
      </c>
      <c r="E23" s="110"/>
      <c r="F23" s="24">
        <v>0</v>
      </c>
      <c r="G23" s="120" t="s">
        <v>69</v>
      </c>
      <c r="H23" s="110"/>
      <c r="I23" s="18">
        <v>0</v>
      </c>
    </row>
    <row r="24" spans="1:9" ht="15.75" x14ac:dyDescent="0.25">
      <c r="G24" s="109" t="s">
        <v>70</v>
      </c>
      <c r="H24" s="110"/>
      <c r="I24" s="21">
        <f>vorn_sum</f>
        <v>0</v>
      </c>
    </row>
    <row r="25" spans="1:9" ht="15.75" x14ac:dyDescent="0.25">
      <c r="G25" s="109" t="s">
        <v>71</v>
      </c>
      <c r="H25" s="110"/>
      <c r="I25" s="23">
        <v>0</v>
      </c>
    </row>
    <row r="27" spans="1:9" ht="15.75" x14ac:dyDescent="0.25">
      <c r="A27" s="121" t="s">
        <v>72</v>
      </c>
      <c r="B27" s="122"/>
      <c r="C27" s="25">
        <f>ROUND(SUM('Stavební rozpočet'!AJ12:AJ54),2)</f>
        <v>0</v>
      </c>
    </row>
    <row r="28" spans="1:9" ht="15.75" x14ac:dyDescent="0.25">
      <c r="A28" s="123" t="s">
        <v>73</v>
      </c>
      <c r="B28" s="124"/>
      <c r="C28" s="26">
        <f>ROUND(SUM('Stavební rozpočet'!AK12:AK54),2)</f>
        <v>0</v>
      </c>
      <c r="D28" s="125" t="s">
        <v>74</v>
      </c>
      <c r="E28" s="122"/>
      <c r="F28" s="25">
        <f>ROUND(C28*(12/100),2)</f>
        <v>0</v>
      </c>
      <c r="G28" s="125" t="s">
        <v>75</v>
      </c>
      <c r="H28" s="122"/>
      <c r="I28" s="25">
        <f>ROUND(SUM(C27:C29),2)</f>
        <v>-10186.6</v>
      </c>
    </row>
    <row r="29" spans="1:9" ht="15.75" x14ac:dyDescent="0.25">
      <c r="A29" s="123" t="s">
        <v>76</v>
      </c>
      <c r="B29" s="124"/>
      <c r="C29" s="26">
        <f>ROUND(SUM('Stavební rozpočet'!AL12:AL54)+(F22+I22+F23+I23+I24+I25),2)</f>
        <v>-10186.6</v>
      </c>
      <c r="D29" s="126" t="s">
        <v>77</v>
      </c>
      <c r="E29" s="124"/>
      <c r="F29" s="26">
        <f>ROUND(C29*(21/100),2)</f>
        <v>-2139.19</v>
      </c>
      <c r="G29" s="126" t="s">
        <v>78</v>
      </c>
      <c r="H29" s="124"/>
      <c r="I29" s="26">
        <f>ROUND(SUM(F28:F29)+I28,2)</f>
        <v>-12325.79</v>
      </c>
    </row>
    <row r="31" spans="1:9" x14ac:dyDescent="0.25">
      <c r="A31" s="136" t="s">
        <v>79</v>
      </c>
      <c r="B31" s="128"/>
      <c r="C31" s="129"/>
      <c r="D31" s="127" t="s">
        <v>80</v>
      </c>
      <c r="E31" s="128"/>
      <c r="F31" s="129"/>
      <c r="G31" s="127" t="s">
        <v>81</v>
      </c>
      <c r="H31" s="128"/>
      <c r="I31" s="129"/>
    </row>
    <row r="32" spans="1:9" x14ac:dyDescent="0.25">
      <c r="A32" s="137" t="s">
        <v>18</v>
      </c>
      <c r="B32" s="131"/>
      <c r="C32" s="132"/>
      <c r="D32" s="130" t="s">
        <v>18</v>
      </c>
      <c r="E32" s="131"/>
      <c r="F32" s="132"/>
      <c r="G32" s="130" t="s">
        <v>18</v>
      </c>
      <c r="H32" s="131"/>
      <c r="I32" s="132"/>
    </row>
    <row r="33" spans="1:9" x14ac:dyDescent="0.25">
      <c r="A33" s="137" t="s">
        <v>18</v>
      </c>
      <c r="B33" s="131"/>
      <c r="C33" s="132"/>
      <c r="D33" s="130" t="s">
        <v>18</v>
      </c>
      <c r="E33" s="131"/>
      <c r="F33" s="132"/>
      <c r="G33" s="130" t="s">
        <v>18</v>
      </c>
      <c r="H33" s="131"/>
      <c r="I33" s="132"/>
    </row>
    <row r="34" spans="1:9" x14ac:dyDescent="0.25">
      <c r="A34" s="137" t="s">
        <v>18</v>
      </c>
      <c r="B34" s="131"/>
      <c r="C34" s="132"/>
      <c r="D34" s="130" t="s">
        <v>18</v>
      </c>
      <c r="E34" s="131"/>
      <c r="F34" s="132"/>
      <c r="G34" s="130" t="s">
        <v>18</v>
      </c>
      <c r="H34" s="131"/>
      <c r="I34" s="132"/>
    </row>
    <row r="35" spans="1:9" x14ac:dyDescent="0.25">
      <c r="A35" s="138" t="s">
        <v>82</v>
      </c>
      <c r="B35" s="134"/>
      <c r="C35" s="135"/>
      <c r="D35" s="133" t="s">
        <v>82</v>
      </c>
      <c r="E35" s="134"/>
      <c r="F35" s="135"/>
      <c r="G35" s="133" t="s">
        <v>82</v>
      </c>
      <c r="H35" s="134"/>
      <c r="I35" s="135"/>
    </row>
    <row r="36" spans="1:9" x14ac:dyDescent="0.25">
      <c r="A36" s="27" t="s">
        <v>83</v>
      </c>
    </row>
    <row r="37" spans="1:9" ht="12.75" customHeight="1" x14ac:dyDescent="0.25">
      <c r="A37" s="92" t="s">
        <v>18</v>
      </c>
      <c r="B37" s="86"/>
      <c r="C37" s="86"/>
      <c r="D37" s="86"/>
      <c r="E37" s="86"/>
      <c r="F37" s="86"/>
      <c r="G37" s="86"/>
      <c r="H37" s="86"/>
      <c r="I37" s="86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99" t="s">
        <v>84</v>
      </c>
      <c r="B1" s="82"/>
      <c r="C1" s="82"/>
      <c r="D1" s="82"/>
      <c r="E1" s="82"/>
      <c r="F1" s="82"/>
      <c r="G1" s="82"/>
      <c r="H1" s="82"/>
      <c r="I1" s="82"/>
    </row>
    <row r="2" spans="1:9" x14ac:dyDescent="0.25">
      <c r="A2" s="83" t="s">
        <v>1</v>
      </c>
      <c r="B2" s="84"/>
      <c r="C2" s="93" t="str">
        <f>'Stavební rozpočet'!D2</f>
        <v>24100 Bruntál, U Rybníka - oprava komunikace</v>
      </c>
      <c r="D2" s="103"/>
      <c r="E2" s="91" t="s">
        <v>4</v>
      </c>
      <c r="F2" s="91" t="str">
        <f>'Stavební rozpočet'!J2</f>
        <v>Město Bruntál</v>
      </c>
      <c r="G2" s="84"/>
      <c r="H2" s="91" t="s">
        <v>38</v>
      </c>
      <c r="I2" s="139" t="s">
        <v>18</v>
      </c>
    </row>
    <row r="3" spans="1:9" ht="15" customHeight="1" x14ac:dyDescent="0.25">
      <c r="A3" s="85"/>
      <c r="B3" s="86"/>
      <c r="C3" s="94"/>
      <c r="D3" s="94"/>
      <c r="E3" s="86"/>
      <c r="F3" s="86"/>
      <c r="G3" s="86"/>
      <c r="H3" s="86"/>
      <c r="I3" s="96"/>
    </row>
    <row r="4" spans="1:9" x14ac:dyDescent="0.25">
      <c r="A4" s="87" t="s">
        <v>5</v>
      </c>
      <c r="B4" s="86"/>
      <c r="C4" s="92" t="str">
        <f>'Stavební rozpočet'!D4</f>
        <v xml:space="preserve"> </v>
      </c>
      <c r="D4" s="86"/>
      <c r="E4" s="92" t="s">
        <v>8</v>
      </c>
      <c r="F4" s="92" t="str">
        <f>'Stavební rozpočet'!J4</f>
        <v> </v>
      </c>
      <c r="G4" s="86"/>
      <c r="H4" s="92" t="s">
        <v>38</v>
      </c>
      <c r="I4" s="96" t="s">
        <v>18</v>
      </c>
    </row>
    <row r="5" spans="1:9" ht="15" customHeight="1" x14ac:dyDescent="0.25">
      <c r="A5" s="85"/>
      <c r="B5" s="86"/>
      <c r="C5" s="86"/>
      <c r="D5" s="86"/>
      <c r="E5" s="86"/>
      <c r="F5" s="86"/>
      <c r="G5" s="86"/>
      <c r="H5" s="86"/>
      <c r="I5" s="96"/>
    </row>
    <row r="6" spans="1:9" x14ac:dyDescent="0.25">
      <c r="A6" s="87" t="s">
        <v>9</v>
      </c>
      <c r="B6" s="86"/>
      <c r="C6" s="92" t="str">
        <f>'Stavební rozpočet'!D6</f>
        <v xml:space="preserve"> </v>
      </c>
      <c r="D6" s="86"/>
      <c r="E6" s="92" t="s">
        <v>11</v>
      </c>
      <c r="F6" s="92" t="str">
        <f>'Stavební rozpočet'!J6</f>
        <v> </v>
      </c>
      <c r="G6" s="86"/>
      <c r="H6" s="92" t="s">
        <v>38</v>
      </c>
      <c r="I6" s="96" t="s">
        <v>18</v>
      </c>
    </row>
    <row r="7" spans="1:9" ht="15" customHeight="1" x14ac:dyDescent="0.25">
      <c r="A7" s="85"/>
      <c r="B7" s="86"/>
      <c r="C7" s="86"/>
      <c r="D7" s="86"/>
      <c r="E7" s="86"/>
      <c r="F7" s="86"/>
      <c r="G7" s="86"/>
      <c r="H7" s="86"/>
      <c r="I7" s="96"/>
    </row>
    <row r="8" spans="1:9" x14ac:dyDescent="0.25">
      <c r="A8" s="87" t="s">
        <v>6</v>
      </c>
      <c r="B8" s="86"/>
      <c r="C8" s="92">
        <f>'Stavební rozpočet'!H4</f>
        <v>0</v>
      </c>
      <c r="D8" s="86"/>
      <c r="E8" s="92" t="s">
        <v>10</v>
      </c>
      <c r="F8" s="92" t="str">
        <f>'Stavební rozpočet'!H6</f>
        <v xml:space="preserve"> </v>
      </c>
      <c r="G8" s="86"/>
      <c r="H8" s="86" t="s">
        <v>39</v>
      </c>
      <c r="I8" s="102">
        <v>24</v>
      </c>
    </row>
    <row r="9" spans="1:9" x14ac:dyDescent="0.25">
      <c r="A9" s="85"/>
      <c r="B9" s="86"/>
      <c r="C9" s="86"/>
      <c r="D9" s="86"/>
      <c r="E9" s="86"/>
      <c r="F9" s="86"/>
      <c r="G9" s="86"/>
      <c r="H9" s="86"/>
      <c r="I9" s="96"/>
    </row>
    <row r="10" spans="1:9" x14ac:dyDescent="0.25">
      <c r="A10" s="87" t="s">
        <v>40</v>
      </c>
      <c r="B10" s="86"/>
      <c r="C10" s="92" t="str">
        <f>'Stavební rozpočet'!D8</f>
        <v xml:space="preserve"> </v>
      </c>
      <c r="D10" s="86"/>
      <c r="E10" s="92" t="s">
        <v>12</v>
      </c>
      <c r="F10" s="92" t="str">
        <f>'Stavební rozpočet'!J8</f>
        <v>M. Petrů</v>
      </c>
      <c r="G10" s="86"/>
      <c r="H10" s="86" t="s">
        <v>41</v>
      </c>
      <c r="I10" s="97" t="str">
        <f>'Stavební rozpočet'!H8</f>
        <v>18.06.2024</v>
      </c>
    </row>
    <row r="11" spans="1:9" x14ac:dyDescent="0.25">
      <c r="A11" s="108"/>
      <c r="B11" s="90"/>
      <c r="C11" s="90"/>
      <c r="D11" s="90"/>
      <c r="E11" s="90"/>
      <c r="F11" s="90"/>
      <c r="G11" s="90"/>
      <c r="H11" s="90"/>
      <c r="I11" s="104"/>
    </row>
    <row r="13" spans="1:9" ht="15.75" x14ac:dyDescent="0.25">
      <c r="A13" s="140" t="s">
        <v>85</v>
      </c>
      <c r="B13" s="140"/>
      <c r="C13" s="140"/>
      <c r="D13" s="140"/>
      <c r="E13" s="140"/>
    </row>
    <row r="14" spans="1:9" x14ac:dyDescent="0.25">
      <c r="A14" s="141" t="s">
        <v>86</v>
      </c>
      <c r="B14" s="142"/>
      <c r="C14" s="142"/>
      <c r="D14" s="142"/>
      <c r="E14" s="143"/>
      <c r="F14" s="28" t="s">
        <v>87</v>
      </c>
      <c r="G14" s="28" t="s">
        <v>88</v>
      </c>
      <c r="H14" s="28" t="s">
        <v>89</v>
      </c>
      <c r="I14" s="28" t="s">
        <v>87</v>
      </c>
    </row>
    <row r="15" spans="1:9" x14ac:dyDescent="0.25">
      <c r="A15" s="144" t="s">
        <v>51</v>
      </c>
      <c r="B15" s="145"/>
      <c r="C15" s="145"/>
      <c r="D15" s="145"/>
      <c r="E15" s="146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5">
      <c r="A16" s="144" t="s">
        <v>54</v>
      </c>
      <c r="B16" s="145"/>
      <c r="C16" s="145"/>
      <c r="D16" s="145"/>
      <c r="E16" s="146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5">
      <c r="A17" s="147" t="s">
        <v>57</v>
      </c>
      <c r="B17" s="148"/>
      <c r="C17" s="148"/>
      <c r="D17" s="148"/>
      <c r="E17" s="149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5">
      <c r="A18" s="150" t="s">
        <v>90</v>
      </c>
      <c r="B18" s="151"/>
      <c r="C18" s="151"/>
      <c r="D18" s="151"/>
      <c r="E18" s="152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5">
      <c r="A20" s="141" t="s">
        <v>48</v>
      </c>
      <c r="B20" s="142"/>
      <c r="C20" s="142"/>
      <c r="D20" s="142"/>
      <c r="E20" s="143"/>
      <c r="F20" s="28" t="s">
        <v>87</v>
      </c>
      <c r="G20" s="28" t="s">
        <v>88</v>
      </c>
      <c r="H20" s="28" t="s">
        <v>89</v>
      </c>
      <c r="I20" s="28" t="s">
        <v>87</v>
      </c>
    </row>
    <row r="21" spans="1:9" x14ac:dyDescent="0.25">
      <c r="A21" s="144" t="s">
        <v>52</v>
      </c>
      <c r="B21" s="145"/>
      <c r="C21" s="145"/>
      <c r="D21" s="145"/>
      <c r="E21" s="146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5">
      <c r="A22" s="144" t="s">
        <v>55</v>
      </c>
      <c r="B22" s="145"/>
      <c r="C22" s="145"/>
      <c r="D22" s="145"/>
      <c r="E22" s="146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5">
      <c r="A23" s="144" t="s">
        <v>58</v>
      </c>
      <c r="B23" s="145"/>
      <c r="C23" s="145"/>
      <c r="D23" s="145"/>
      <c r="E23" s="146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5">
      <c r="A24" s="144" t="s">
        <v>59</v>
      </c>
      <c r="B24" s="145"/>
      <c r="C24" s="145"/>
      <c r="D24" s="145"/>
      <c r="E24" s="146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5">
      <c r="A25" s="144" t="s">
        <v>61</v>
      </c>
      <c r="B25" s="145"/>
      <c r="C25" s="145"/>
      <c r="D25" s="145"/>
      <c r="E25" s="146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5">
      <c r="A26" s="147" t="s">
        <v>62</v>
      </c>
      <c r="B26" s="148"/>
      <c r="C26" s="148"/>
      <c r="D26" s="148"/>
      <c r="E26" s="149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5">
      <c r="A27" s="150" t="s">
        <v>91</v>
      </c>
      <c r="B27" s="151"/>
      <c r="C27" s="151"/>
      <c r="D27" s="151"/>
      <c r="E27" s="152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5.75" x14ac:dyDescent="0.25">
      <c r="A29" s="153" t="s">
        <v>92</v>
      </c>
      <c r="B29" s="154"/>
      <c r="C29" s="154"/>
      <c r="D29" s="154"/>
      <c r="E29" s="155"/>
      <c r="F29" s="156">
        <f>I18+I27</f>
        <v>0</v>
      </c>
      <c r="G29" s="157"/>
      <c r="H29" s="157"/>
      <c r="I29" s="158"/>
    </row>
    <row r="33" spans="1:9" ht="15.75" x14ac:dyDescent="0.25">
      <c r="A33" s="140" t="s">
        <v>93</v>
      </c>
      <c r="B33" s="140"/>
      <c r="C33" s="140"/>
      <c r="D33" s="140"/>
      <c r="E33" s="140"/>
    </row>
    <row r="34" spans="1:9" x14ac:dyDescent="0.25">
      <c r="A34" s="141" t="s">
        <v>94</v>
      </c>
      <c r="B34" s="142"/>
      <c r="C34" s="142"/>
      <c r="D34" s="142"/>
      <c r="E34" s="143"/>
      <c r="F34" s="28" t="s">
        <v>87</v>
      </c>
      <c r="G34" s="28" t="s">
        <v>88</v>
      </c>
      <c r="H34" s="28" t="s">
        <v>89</v>
      </c>
      <c r="I34" s="28" t="s">
        <v>87</v>
      </c>
    </row>
    <row r="35" spans="1:9" x14ac:dyDescent="0.25">
      <c r="A35" s="147" t="s">
        <v>18</v>
      </c>
      <c r="B35" s="148"/>
      <c r="C35" s="148"/>
      <c r="D35" s="148"/>
      <c r="E35" s="149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5">
      <c r="A36" s="150" t="s">
        <v>95</v>
      </c>
      <c r="B36" s="151"/>
      <c r="C36" s="151"/>
      <c r="D36" s="151"/>
      <c r="E36" s="152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56"/>
  <sheetViews>
    <sheetView tabSelected="1" workbookViewId="0">
      <pane ySplit="11" topLeftCell="A42" activePane="bottomLeft" state="frozen"/>
      <selection pane="bottomLeft" activeCell="D53" sqref="D53:E53"/>
    </sheetView>
  </sheetViews>
  <sheetFormatPr defaultColWidth="12.140625" defaultRowHeight="15" customHeight="1" x14ac:dyDescent="0.25"/>
  <cols>
    <col min="1" max="1" width="3.140625" customWidth="1"/>
    <col min="2" max="2" width="7.42578125" customWidth="1"/>
    <col min="3" max="3" width="17.85546875" customWidth="1"/>
    <col min="4" max="4" width="30.7109375" customWidth="1"/>
    <col min="5" max="5" width="23.28515625" customWidth="1"/>
    <col min="6" max="6" width="4.28515625" customWidth="1"/>
    <col min="7" max="7" width="12.85546875" customWidth="1"/>
    <col min="8" max="8" width="12" style="61" customWidth="1"/>
    <col min="9" max="9" width="15.7109375" style="61" customWidth="1"/>
    <col min="10" max="10" width="12.140625" style="61"/>
    <col min="25" max="75" width="12.140625" hidden="1"/>
    <col min="76" max="76" width="54" hidden="1" customWidth="1"/>
    <col min="77" max="78" width="12.140625" hidden="1"/>
  </cols>
  <sheetData>
    <row r="1" spans="1:76" ht="54.75" customHeight="1" x14ac:dyDescent="0.25">
      <c r="A1" s="159" t="s">
        <v>96</v>
      </c>
      <c r="B1" s="159"/>
      <c r="C1" s="159"/>
      <c r="D1" s="159"/>
      <c r="E1" s="159"/>
      <c r="F1" s="159"/>
      <c r="G1" s="159"/>
      <c r="H1" s="80"/>
      <c r="I1" s="80"/>
      <c r="J1" s="80"/>
      <c r="K1" s="81"/>
      <c r="AS1" s="36">
        <f>SUM(AJ1:AJ2)</f>
        <v>0</v>
      </c>
      <c r="AT1" s="36">
        <f>SUM(AK1:AK2)</f>
        <v>0</v>
      </c>
      <c r="AU1" s="36">
        <f>SUM(AL1:AL2)</f>
        <v>0</v>
      </c>
    </row>
    <row r="2" spans="1:76" x14ac:dyDescent="0.25">
      <c r="A2" s="83" t="s">
        <v>1</v>
      </c>
      <c r="B2" s="84"/>
      <c r="C2" s="84"/>
      <c r="D2" s="93" t="s">
        <v>97</v>
      </c>
      <c r="E2" s="103"/>
      <c r="F2" s="84" t="s">
        <v>2</v>
      </c>
      <c r="G2" s="84"/>
      <c r="H2" s="166" t="s">
        <v>3</v>
      </c>
      <c r="I2" s="160" t="s">
        <v>4</v>
      </c>
      <c r="J2" s="76" t="s">
        <v>222</v>
      </c>
      <c r="K2" s="73"/>
    </row>
    <row r="3" spans="1:76" x14ac:dyDescent="0.25">
      <c r="A3" s="85"/>
      <c r="B3" s="86"/>
      <c r="C3" s="86"/>
      <c r="D3" s="94"/>
      <c r="E3" s="94"/>
      <c r="F3" s="86"/>
      <c r="G3" s="86"/>
      <c r="H3" s="161"/>
      <c r="I3" s="161"/>
      <c r="J3" s="77" t="s">
        <v>223</v>
      </c>
      <c r="K3" s="74"/>
    </row>
    <row r="4" spans="1:76" x14ac:dyDescent="0.25">
      <c r="A4" s="87" t="s">
        <v>5</v>
      </c>
      <c r="B4" s="86"/>
      <c r="C4" s="86"/>
      <c r="D4" s="92" t="s">
        <v>3</v>
      </c>
      <c r="E4" s="86"/>
      <c r="F4" s="86" t="s">
        <v>6</v>
      </c>
      <c r="G4" s="86"/>
      <c r="H4" s="161"/>
      <c r="I4" s="162" t="s">
        <v>8</v>
      </c>
      <c r="J4" s="77" t="s">
        <v>98</v>
      </c>
      <c r="K4" s="74"/>
    </row>
    <row r="5" spans="1:76" x14ac:dyDescent="0.25">
      <c r="A5" s="85"/>
      <c r="B5" s="86"/>
      <c r="C5" s="86"/>
      <c r="D5" s="86"/>
      <c r="E5" s="86"/>
      <c r="F5" s="86"/>
      <c r="G5" s="86"/>
      <c r="H5" s="161"/>
      <c r="I5" s="161"/>
      <c r="J5" s="77"/>
      <c r="K5" s="74"/>
    </row>
    <row r="6" spans="1:76" x14ac:dyDescent="0.25">
      <c r="A6" s="87" t="s">
        <v>9</v>
      </c>
      <c r="B6" s="86"/>
      <c r="C6" s="86"/>
      <c r="D6" s="92" t="s">
        <v>3</v>
      </c>
      <c r="E6" s="86"/>
      <c r="F6" s="86" t="s">
        <v>10</v>
      </c>
      <c r="G6" s="86"/>
      <c r="H6" s="161" t="s">
        <v>3</v>
      </c>
      <c r="I6" s="162" t="s">
        <v>11</v>
      </c>
      <c r="J6" s="77" t="s">
        <v>98</v>
      </c>
      <c r="K6" s="74"/>
    </row>
    <row r="7" spans="1:76" x14ac:dyDescent="0.25">
      <c r="A7" s="85"/>
      <c r="B7" s="86"/>
      <c r="C7" s="86"/>
      <c r="D7" s="86"/>
      <c r="E7" s="86"/>
      <c r="F7" s="86"/>
      <c r="G7" s="86"/>
      <c r="H7" s="161"/>
      <c r="I7" s="161"/>
      <c r="J7" s="77"/>
      <c r="K7" s="74"/>
    </row>
    <row r="8" spans="1:76" x14ac:dyDescent="0.25">
      <c r="A8" s="87" t="s">
        <v>40</v>
      </c>
      <c r="B8" s="86"/>
      <c r="C8" s="86"/>
      <c r="D8" s="92" t="s">
        <v>3</v>
      </c>
      <c r="E8" s="86"/>
      <c r="F8" s="86" t="s">
        <v>13</v>
      </c>
      <c r="G8" s="86"/>
      <c r="H8" s="161" t="s">
        <v>7</v>
      </c>
      <c r="I8" s="162" t="s">
        <v>12</v>
      </c>
      <c r="J8" s="77" t="s">
        <v>225</v>
      </c>
      <c r="K8" s="74"/>
    </row>
    <row r="9" spans="1:76" x14ac:dyDescent="0.25">
      <c r="A9" s="88"/>
      <c r="B9" s="89"/>
      <c r="C9" s="89"/>
      <c r="D9" s="89"/>
      <c r="E9" s="89"/>
      <c r="F9" s="89"/>
      <c r="G9" s="89"/>
      <c r="H9" s="163"/>
      <c r="I9" s="163"/>
      <c r="J9" s="78"/>
      <c r="K9" s="75"/>
    </row>
    <row r="10" spans="1:76" x14ac:dyDescent="0.25">
      <c r="A10" s="37" t="s">
        <v>99</v>
      </c>
      <c r="B10" s="38" t="s">
        <v>14</v>
      </c>
      <c r="C10" s="38" t="s">
        <v>15</v>
      </c>
      <c r="D10" s="164" t="s">
        <v>16</v>
      </c>
      <c r="E10" s="165"/>
      <c r="F10" s="38" t="s">
        <v>100</v>
      </c>
      <c r="G10" s="39" t="s">
        <v>101</v>
      </c>
      <c r="H10" s="63" t="s">
        <v>102</v>
      </c>
      <c r="I10" s="64" t="s">
        <v>103</v>
      </c>
      <c r="K10" s="40"/>
      <c r="BK10" s="41" t="s">
        <v>104</v>
      </c>
      <c r="BL10" s="42" t="s">
        <v>105</v>
      </c>
      <c r="BW10" s="42" t="s">
        <v>106</v>
      </c>
    </row>
    <row r="11" spans="1:76" x14ac:dyDescent="0.25">
      <c r="A11" s="43" t="s">
        <v>3</v>
      </c>
      <c r="B11" s="44" t="s">
        <v>3</v>
      </c>
      <c r="C11" s="44" t="s">
        <v>3</v>
      </c>
      <c r="D11" s="167" t="s">
        <v>107</v>
      </c>
      <c r="E11" s="168"/>
      <c r="F11" s="44" t="s">
        <v>3</v>
      </c>
      <c r="G11" s="44" t="s">
        <v>3</v>
      </c>
      <c r="H11" s="65" t="s">
        <v>108</v>
      </c>
      <c r="I11" s="66" t="s">
        <v>109</v>
      </c>
      <c r="K11" s="45"/>
      <c r="Z11" s="41" t="s">
        <v>110</v>
      </c>
      <c r="AA11" s="41" t="s">
        <v>111</v>
      </c>
      <c r="AB11" s="41" t="s">
        <v>112</v>
      </c>
      <c r="AC11" s="41" t="s">
        <v>113</v>
      </c>
      <c r="AD11" s="41" t="s">
        <v>114</v>
      </c>
      <c r="AE11" s="41" t="s">
        <v>115</v>
      </c>
      <c r="AF11" s="41" t="s">
        <v>116</v>
      </c>
      <c r="AG11" s="41" t="s">
        <v>117</v>
      </c>
      <c r="AH11" s="41" t="s">
        <v>118</v>
      </c>
      <c r="BH11" s="41" t="s">
        <v>119</v>
      </c>
      <c r="BI11" s="41" t="s">
        <v>120</v>
      </c>
      <c r="BJ11" s="41" t="s">
        <v>121</v>
      </c>
    </row>
    <row r="12" spans="1:76" x14ac:dyDescent="0.25">
      <c r="A12" s="46" t="s">
        <v>18</v>
      </c>
      <c r="B12" s="59" t="s">
        <v>18</v>
      </c>
      <c r="C12" s="59" t="s">
        <v>19</v>
      </c>
      <c r="D12" s="169" t="s">
        <v>20</v>
      </c>
      <c r="E12" s="170"/>
      <c r="F12" s="47" t="s">
        <v>3</v>
      </c>
      <c r="G12" s="47" t="s">
        <v>3</v>
      </c>
      <c r="H12" s="67" t="s">
        <v>3</v>
      </c>
      <c r="I12" s="68">
        <f>SUM(I13:I20)</f>
        <v>0</v>
      </c>
      <c r="K12" s="45"/>
      <c r="AI12" s="41" t="s">
        <v>18</v>
      </c>
      <c r="AS12" s="36">
        <f>SUM(AJ13:AJ20)</f>
        <v>0</v>
      </c>
      <c r="AT12" s="36">
        <f>SUM(AK13:AK20)</f>
        <v>0</v>
      </c>
      <c r="AU12" s="36">
        <f>SUM(AL13:AL20)</f>
        <v>0</v>
      </c>
    </row>
    <row r="13" spans="1:76" x14ac:dyDescent="0.25">
      <c r="A13" s="1" t="s">
        <v>122</v>
      </c>
      <c r="B13" s="2" t="s">
        <v>18</v>
      </c>
      <c r="C13" s="2" t="s">
        <v>123</v>
      </c>
      <c r="D13" s="92" t="s">
        <v>124</v>
      </c>
      <c r="E13" s="86"/>
      <c r="F13" s="2" t="s">
        <v>125</v>
      </c>
      <c r="G13" s="12">
        <v>1</v>
      </c>
      <c r="H13" s="69">
        <v>0</v>
      </c>
      <c r="I13" s="69">
        <f>ROUND(G13*H13,2)</f>
        <v>0</v>
      </c>
      <c r="K13" s="45"/>
      <c r="Z13" s="12">
        <f>ROUND(IF(AQ13="5",BJ13,0),2)</f>
        <v>0</v>
      </c>
      <c r="AB13" s="12">
        <f>ROUND(IF(AQ13="1",BH13,0),2)</f>
        <v>0</v>
      </c>
      <c r="AC13" s="12">
        <f>ROUND(IF(AQ13="1",BI13,0),2)</f>
        <v>0</v>
      </c>
      <c r="AD13" s="12">
        <f>ROUND(IF(AQ13="7",BH13,0),2)</f>
        <v>0</v>
      </c>
      <c r="AE13" s="12">
        <f>ROUND(IF(AQ13="7",BI13,0),2)</f>
        <v>0</v>
      </c>
      <c r="AF13" s="12">
        <f>ROUND(IF(AQ13="2",BH13,0),2)</f>
        <v>0</v>
      </c>
      <c r="AG13" s="12">
        <f>ROUND(IF(AQ13="2",BI13,0),2)</f>
        <v>0</v>
      </c>
      <c r="AH13" s="12">
        <f>ROUND(IF(AQ13="0",BJ13,0),2)</f>
        <v>0</v>
      </c>
      <c r="AI13" s="41" t="s">
        <v>18</v>
      </c>
      <c r="AJ13" s="12">
        <f>IF(AN13=0,I13,0)</f>
        <v>0</v>
      </c>
      <c r="AK13" s="12">
        <f>IF(AN13=12,I13,0)</f>
        <v>0</v>
      </c>
      <c r="AL13" s="12">
        <f>IF(AN13=21,I13,0)</f>
        <v>0</v>
      </c>
      <c r="AN13" s="12">
        <v>21</v>
      </c>
      <c r="AO13" s="12">
        <f>H13*0</f>
        <v>0</v>
      </c>
      <c r="AP13" s="12">
        <f>H13*(1-0)</f>
        <v>0</v>
      </c>
      <c r="AQ13" s="11" t="s">
        <v>122</v>
      </c>
      <c r="AV13" s="12">
        <f>ROUND(AW13+AX13,2)</f>
        <v>0</v>
      </c>
      <c r="AW13" s="12">
        <f>ROUND(G13*AO13,2)</f>
        <v>0</v>
      </c>
      <c r="AX13" s="12">
        <f>ROUND(G13*AP13,2)</f>
        <v>0</v>
      </c>
      <c r="AY13" s="11" t="s">
        <v>126</v>
      </c>
      <c r="AZ13" s="11" t="s">
        <v>127</v>
      </c>
      <c r="BA13" s="41" t="s">
        <v>128</v>
      </c>
      <c r="BC13" s="12">
        <f>AW13+AX13</f>
        <v>0</v>
      </c>
      <c r="BD13" s="12">
        <f>H13/(100-BE13)*100</f>
        <v>0</v>
      </c>
      <c r="BE13" s="12">
        <v>0</v>
      </c>
      <c r="BF13" s="12">
        <f>13</f>
        <v>13</v>
      </c>
      <c r="BH13" s="12">
        <f>G13*AO13</f>
        <v>0</v>
      </c>
      <c r="BI13" s="12">
        <f>G13*AP13</f>
        <v>0</v>
      </c>
      <c r="BJ13" s="12">
        <f>G13*H13</f>
        <v>0</v>
      </c>
      <c r="BK13" s="12"/>
      <c r="BL13" s="12">
        <v>0</v>
      </c>
      <c r="BW13" s="12">
        <v>21</v>
      </c>
      <c r="BX13" s="57" t="s">
        <v>124</v>
      </c>
    </row>
    <row r="14" spans="1:76" x14ac:dyDescent="0.25">
      <c r="A14" s="48"/>
      <c r="D14" s="49" t="s">
        <v>129</v>
      </c>
      <c r="E14" s="49" t="s">
        <v>18</v>
      </c>
      <c r="G14" s="50">
        <v>0</v>
      </c>
      <c r="K14" s="45"/>
    </row>
    <row r="15" spans="1:76" x14ac:dyDescent="0.25">
      <c r="A15" s="48"/>
      <c r="D15" s="49" t="s">
        <v>122</v>
      </c>
      <c r="E15" s="49" t="s">
        <v>18</v>
      </c>
      <c r="G15" s="50">
        <v>1</v>
      </c>
      <c r="K15" s="45"/>
    </row>
    <row r="16" spans="1:76" x14ac:dyDescent="0.25">
      <c r="A16" s="1" t="s">
        <v>130</v>
      </c>
      <c r="B16" s="2" t="s">
        <v>18</v>
      </c>
      <c r="C16" s="2" t="s">
        <v>131</v>
      </c>
      <c r="D16" s="92" t="s">
        <v>132</v>
      </c>
      <c r="E16" s="86"/>
      <c r="F16" s="2" t="s">
        <v>125</v>
      </c>
      <c r="G16" s="12">
        <v>1</v>
      </c>
      <c r="H16" s="69">
        <v>0</v>
      </c>
      <c r="I16" s="69">
        <f>ROUND(G16*H16,2)</f>
        <v>0</v>
      </c>
      <c r="K16" s="45"/>
      <c r="Z16" s="12">
        <f>ROUND(IF(AQ16="5",BJ16,0),2)</f>
        <v>0</v>
      </c>
      <c r="AB16" s="12">
        <f>ROUND(IF(AQ16="1",BH16,0),2)</f>
        <v>0</v>
      </c>
      <c r="AC16" s="12">
        <f>ROUND(IF(AQ16="1",BI16,0),2)</f>
        <v>0</v>
      </c>
      <c r="AD16" s="12">
        <f>ROUND(IF(AQ16="7",BH16,0),2)</f>
        <v>0</v>
      </c>
      <c r="AE16" s="12">
        <f>ROUND(IF(AQ16="7",BI16,0),2)</f>
        <v>0</v>
      </c>
      <c r="AF16" s="12">
        <f>ROUND(IF(AQ16="2",BH16,0),2)</f>
        <v>0</v>
      </c>
      <c r="AG16" s="12">
        <f>ROUND(IF(AQ16="2",BI16,0),2)</f>
        <v>0</v>
      </c>
      <c r="AH16" s="12">
        <f>ROUND(IF(AQ16="0",BJ16,0),2)</f>
        <v>0</v>
      </c>
      <c r="AI16" s="41" t="s">
        <v>18</v>
      </c>
      <c r="AJ16" s="12">
        <f>IF(AN16=0,I16,0)</f>
        <v>0</v>
      </c>
      <c r="AK16" s="12">
        <f>IF(AN16=12,I16,0)</f>
        <v>0</v>
      </c>
      <c r="AL16" s="12">
        <f>IF(AN16=21,I16,0)</f>
        <v>0</v>
      </c>
      <c r="AN16" s="12">
        <v>21</v>
      </c>
      <c r="AO16" s="12">
        <f>H16*0</f>
        <v>0</v>
      </c>
      <c r="AP16" s="12">
        <f>H16*(1-0)</f>
        <v>0</v>
      </c>
      <c r="AQ16" s="11" t="s">
        <v>122</v>
      </c>
      <c r="AV16" s="12">
        <f>ROUND(AW16+AX16,2)</f>
        <v>0</v>
      </c>
      <c r="AW16" s="12">
        <f>ROUND(G16*AO16,2)</f>
        <v>0</v>
      </c>
      <c r="AX16" s="12">
        <f>ROUND(G16*AP16,2)</f>
        <v>0</v>
      </c>
      <c r="AY16" s="11" t="s">
        <v>126</v>
      </c>
      <c r="AZ16" s="11" t="s">
        <v>127</v>
      </c>
      <c r="BA16" s="41" t="s">
        <v>128</v>
      </c>
      <c r="BC16" s="12">
        <f>AW16+AX16</f>
        <v>0</v>
      </c>
      <c r="BD16" s="12">
        <f>H16/(100-BE16)*100</f>
        <v>0</v>
      </c>
      <c r="BE16" s="12">
        <v>0</v>
      </c>
      <c r="BF16" s="12">
        <f>16</f>
        <v>16</v>
      </c>
      <c r="BH16" s="12">
        <f>G16*AO16</f>
        <v>0</v>
      </c>
      <c r="BI16" s="12">
        <f>G16*AP16</f>
        <v>0</v>
      </c>
      <c r="BJ16" s="12">
        <f>G16*H16</f>
        <v>0</v>
      </c>
      <c r="BK16" s="12"/>
      <c r="BL16" s="12">
        <v>0</v>
      </c>
      <c r="BW16" s="12">
        <v>21</v>
      </c>
      <c r="BX16" s="57" t="s">
        <v>132</v>
      </c>
    </row>
    <row r="17" spans="1:76" x14ac:dyDescent="0.25">
      <c r="A17" s="1" t="s">
        <v>133</v>
      </c>
      <c r="B17" s="2" t="s">
        <v>18</v>
      </c>
      <c r="C17" s="2" t="s">
        <v>134</v>
      </c>
      <c r="D17" s="92" t="s">
        <v>135</v>
      </c>
      <c r="E17" s="86"/>
      <c r="F17" s="2" t="s">
        <v>125</v>
      </c>
      <c r="G17" s="12">
        <v>1</v>
      </c>
      <c r="H17" s="69">
        <v>0</v>
      </c>
      <c r="I17" s="69">
        <f>ROUND(G17*H17,2)</f>
        <v>0</v>
      </c>
      <c r="K17" s="45"/>
      <c r="Z17" s="12">
        <f>ROUND(IF(AQ17="5",BJ17,0),2)</f>
        <v>0</v>
      </c>
      <c r="AB17" s="12">
        <f>ROUND(IF(AQ17="1",BH17,0),2)</f>
        <v>0</v>
      </c>
      <c r="AC17" s="12">
        <f>ROUND(IF(AQ17="1",BI17,0),2)</f>
        <v>0</v>
      </c>
      <c r="AD17" s="12">
        <f>ROUND(IF(AQ17="7",BH17,0),2)</f>
        <v>0</v>
      </c>
      <c r="AE17" s="12">
        <f>ROUND(IF(AQ17="7",BI17,0),2)</f>
        <v>0</v>
      </c>
      <c r="AF17" s="12">
        <f>ROUND(IF(AQ17="2",BH17,0),2)</f>
        <v>0</v>
      </c>
      <c r="AG17" s="12">
        <f>ROUND(IF(AQ17="2",BI17,0),2)</f>
        <v>0</v>
      </c>
      <c r="AH17" s="12">
        <f>ROUND(IF(AQ17="0",BJ17,0),2)</f>
        <v>0</v>
      </c>
      <c r="AI17" s="41" t="s">
        <v>18</v>
      </c>
      <c r="AJ17" s="12">
        <f>IF(AN17=0,I17,0)</f>
        <v>0</v>
      </c>
      <c r="AK17" s="12">
        <f>IF(AN17=12,I17,0)</f>
        <v>0</v>
      </c>
      <c r="AL17" s="12">
        <f>IF(AN17=21,I17,0)</f>
        <v>0</v>
      </c>
      <c r="AN17" s="12">
        <v>21</v>
      </c>
      <c r="AO17" s="12">
        <f>H17*0</f>
        <v>0</v>
      </c>
      <c r="AP17" s="12">
        <f>H17*(1-0)</f>
        <v>0</v>
      </c>
      <c r="AQ17" s="11" t="s">
        <v>122</v>
      </c>
      <c r="AV17" s="12">
        <f>ROUND(AW17+AX17,2)</f>
        <v>0</v>
      </c>
      <c r="AW17" s="12">
        <f>ROUND(G17*AO17,2)</f>
        <v>0</v>
      </c>
      <c r="AX17" s="12">
        <f>ROUND(G17*AP17,2)</f>
        <v>0</v>
      </c>
      <c r="AY17" s="11" t="s">
        <v>126</v>
      </c>
      <c r="AZ17" s="11" t="s">
        <v>127</v>
      </c>
      <c r="BA17" s="41" t="s">
        <v>128</v>
      </c>
      <c r="BC17" s="12">
        <f>AW17+AX17</f>
        <v>0</v>
      </c>
      <c r="BD17" s="12">
        <f>H17/(100-BE17)*100</f>
        <v>0</v>
      </c>
      <c r="BE17" s="12">
        <v>0</v>
      </c>
      <c r="BF17" s="12">
        <f>17</f>
        <v>17</v>
      </c>
      <c r="BH17" s="12">
        <f>G17*AO17</f>
        <v>0</v>
      </c>
      <c r="BI17" s="12">
        <f>G17*AP17</f>
        <v>0</v>
      </c>
      <c r="BJ17" s="12">
        <f>G17*H17</f>
        <v>0</v>
      </c>
      <c r="BK17" s="12"/>
      <c r="BL17" s="12">
        <v>0</v>
      </c>
      <c r="BW17" s="12">
        <v>21</v>
      </c>
      <c r="BX17" s="57" t="s">
        <v>135</v>
      </c>
    </row>
    <row r="18" spans="1:76" x14ac:dyDescent="0.25">
      <c r="A18" s="1" t="s">
        <v>136</v>
      </c>
      <c r="B18" s="2" t="s">
        <v>18</v>
      </c>
      <c r="C18" s="2" t="s">
        <v>137</v>
      </c>
      <c r="D18" s="92" t="s">
        <v>138</v>
      </c>
      <c r="E18" s="86"/>
      <c r="F18" s="2" t="s">
        <v>125</v>
      </c>
      <c r="G18" s="12">
        <v>1</v>
      </c>
      <c r="H18" s="69">
        <v>0</v>
      </c>
      <c r="I18" s="69">
        <f>ROUND(G18*H18,2)</f>
        <v>0</v>
      </c>
      <c r="K18" s="45"/>
      <c r="Z18" s="12">
        <f>ROUND(IF(AQ18="5",BJ18,0),2)</f>
        <v>0</v>
      </c>
      <c r="AB18" s="12">
        <f>ROUND(IF(AQ18="1",BH18,0),2)</f>
        <v>0</v>
      </c>
      <c r="AC18" s="12">
        <f>ROUND(IF(AQ18="1",BI18,0),2)</f>
        <v>0</v>
      </c>
      <c r="AD18" s="12">
        <f>ROUND(IF(AQ18="7",BH18,0),2)</f>
        <v>0</v>
      </c>
      <c r="AE18" s="12">
        <f>ROUND(IF(AQ18="7",BI18,0),2)</f>
        <v>0</v>
      </c>
      <c r="AF18" s="12">
        <f>ROUND(IF(AQ18="2",BH18,0),2)</f>
        <v>0</v>
      </c>
      <c r="AG18" s="12">
        <f>ROUND(IF(AQ18="2",BI18,0),2)</f>
        <v>0</v>
      </c>
      <c r="AH18" s="12">
        <f>ROUND(IF(AQ18="0",BJ18,0),2)</f>
        <v>0</v>
      </c>
      <c r="AI18" s="41" t="s">
        <v>18</v>
      </c>
      <c r="AJ18" s="12">
        <f>IF(AN18=0,I18,0)</f>
        <v>0</v>
      </c>
      <c r="AK18" s="12">
        <f>IF(AN18=12,I18,0)</f>
        <v>0</v>
      </c>
      <c r="AL18" s="12">
        <f>IF(AN18=21,I18,0)</f>
        <v>0</v>
      </c>
      <c r="AN18" s="12">
        <v>21</v>
      </c>
      <c r="AO18" s="12">
        <f>H18*0</f>
        <v>0</v>
      </c>
      <c r="AP18" s="12">
        <f>H18*(1-0)</f>
        <v>0</v>
      </c>
      <c r="AQ18" s="11" t="s">
        <v>122</v>
      </c>
      <c r="AV18" s="12">
        <f>ROUND(AW18+AX18,2)</f>
        <v>0</v>
      </c>
      <c r="AW18" s="12">
        <f>ROUND(G18*AO18,2)</f>
        <v>0</v>
      </c>
      <c r="AX18" s="12">
        <f>ROUND(G18*AP18,2)</f>
        <v>0</v>
      </c>
      <c r="AY18" s="11" t="s">
        <v>126</v>
      </c>
      <c r="AZ18" s="11" t="s">
        <v>127</v>
      </c>
      <c r="BA18" s="41" t="s">
        <v>128</v>
      </c>
      <c r="BC18" s="12">
        <f>AW18+AX18</f>
        <v>0</v>
      </c>
      <c r="BD18" s="12">
        <f>H18/(100-BE18)*100</f>
        <v>0</v>
      </c>
      <c r="BE18" s="12">
        <v>0</v>
      </c>
      <c r="BF18" s="12">
        <f>18</f>
        <v>18</v>
      </c>
      <c r="BH18" s="12">
        <f>G18*AO18</f>
        <v>0</v>
      </c>
      <c r="BI18" s="12">
        <f>G18*AP18</f>
        <v>0</v>
      </c>
      <c r="BJ18" s="12">
        <f>G18*H18</f>
        <v>0</v>
      </c>
      <c r="BK18" s="12"/>
      <c r="BL18" s="12">
        <v>0</v>
      </c>
      <c r="BW18" s="12">
        <v>21</v>
      </c>
      <c r="BX18" s="57" t="s">
        <v>138</v>
      </c>
    </row>
    <row r="19" spans="1:76" x14ac:dyDescent="0.25">
      <c r="A19" s="1" t="s">
        <v>139</v>
      </c>
      <c r="B19" s="2" t="s">
        <v>18</v>
      </c>
      <c r="C19" s="2" t="s">
        <v>140</v>
      </c>
      <c r="D19" s="92" t="s">
        <v>141</v>
      </c>
      <c r="E19" s="86"/>
      <c r="F19" s="2" t="s">
        <v>125</v>
      </c>
      <c r="G19" s="12">
        <v>1</v>
      </c>
      <c r="H19" s="69">
        <v>0</v>
      </c>
      <c r="I19" s="69">
        <f>ROUND(G19*H19,2)</f>
        <v>0</v>
      </c>
      <c r="K19" s="45"/>
      <c r="Z19" s="12">
        <f>ROUND(IF(AQ19="5",BJ19,0),2)</f>
        <v>0</v>
      </c>
      <c r="AB19" s="12">
        <f>ROUND(IF(AQ19="1",BH19,0),2)</f>
        <v>0</v>
      </c>
      <c r="AC19" s="12">
        <f>ROUND(IF(AQ19="1",BI19,0),2)</f>
        <v>0</v>
      </c>
      <c r="AD19" s="12">
        <f>ROUND(IF(AQ19="7",BH19,0),2)</f>
        <v>0</v>
      </c>
      <c r="AE19" s="12">
        <f>ROUND(IF(AQ19="7",BI19,0),2)</f>
        <v>0</v>
      </c>
      <c r="AF19" s="12">
        <f>ROUND(IF(AQ19="2",BH19,0),2)</f>
        <v>0</v>
      </c>
      <c r="AG19" s="12">
        <f>ROUND(IF(AQ19="2",BI19,0),2)</f>
        <v>0</v>
      </c>
      <c r="AH19" s="12">
        <f>ROUND(IF(AQ19="0",BJ19,0),2)</f>
        <v>0</v>
      </c>
      <c r="AI19" s="41" t="s">
        <v>18</v>
      </c>
      <c r="AJ19" s="12">
        <f>IF(AN19=0,I19,0)</f>
        <v>0</v>
      </c>
      <c r="AK19" s="12">
        <f>IF(AN19=12,I19,0)</f>
        <v>0</v>
      </c>
      <c r="AL19" s="12">
        <f>IF(AN19=21,I19,0)</f>
        <v>0</v>
      </c>
      <c r="AN19" s="12">
        <v>21</v>
      </c>
      <c r="AO19" s="12">
        <f>H19*0</f>
        <v>0</v>
      </c>
      <c r="AP19" s="12">
        <f>H19*(1-0)</f>
        <v>0</v>
      </c>
      <c r="AQ19" s="11" t="s">
        <v>122</v>
      </c>
      <c r="AV19" s="12">
        <f>ROUND(AW19+AX19,2)</f>
        <v>0</v>
      </c>
      <c r="AW19" s="12">
        <f>ROUND(G19*AO19,2)</f>
        <v>0</v>
      </c>
      <c r="AX19" s="12">
        <f>ROUND(G19*AP19,2)</f>
        <v>0</v>
      </c>
      <c r="AY19" s="11" t="s">
        <v>126</v>
      </c>
      <c r="AZ19" s="11" t="s">
        <v>127</v>
      </c>
      <c r="BA19" s="41" t="s">
        <v>128</v>
      </c>
      <c r="BC19" s="12">
        <f>AW19+AX19</f>
        <v>0</v>
      </c>
      <c r="BD19" s="12">
        <f>H19/(100-BE19)*100</f>
        <v>0</v>
      </c>
      <c r="BE19" s="12">
        <v>0</v>
      </c>
      <c r="BF19" s="12">
        <f>19</f>
        <v>19</v>
      </c>
      <c r="BH19" s="12">
        <f>G19*AO19</f>
        <v>0</v>
      </c>
      <c r="BI19" s="12">
        <f>G19*AP19</f>
        <v>0</v>
      </c>
      <c r="BJ19" s="12">
        <f>G19*H19</f>
        <v>0</v>
      </c>
      <c r="BK19" s="12"/>
      <c r="BL19" s="12">
        <v>0</v>
      </c>
      <c r="BW19" s="12">
        <v>21</v>
      </c>
      <c r="BX19" s="57" t="s">
        <v>141</v>
      </c>
    </row>
    <row r="20" spans="1:76" x14ac:dyDescent="0.25">
      <c r="A20" s="1" t="s">
        <v>142</v>
      </c>
      <c r="B20" s="2" t="s">
        <v>18</v>
      </c>
      <c r="C20" s="2" t="s">
        <v>143</v>
      </c>
      <c r="D20" s="92" t="s">
        <v>59</v>
      </c>
      <c r="E20" s="86"/>
      <c r="F20" s="2" t="s">
        <v>125</v>
      </c>
      <c r="G20" s="12">
        <v>1</v>
      </c>
      <c r="H20" s="69">
        <v>0</v>
      </c>
      <c r="I20" s="69">
        <f>ROUND(G20*H20,2)</f>
        <v>0</v>
      </c>
      <c r="K20" s="45"/>
      <c r="Z20" s="12">
        <f>ROUND(IF(AQ20="5",BJ20,0),2)</f>
        <v>0</v>
      </c>
      <c r="AB20" s="12">
        <f>ROUND(IF(AQ20="1",BH20,0),2)</f>
        <v>0</v>
      </c>
      <c r="AC20" s="12">
        <f>ROUND(IF(AQ20="1",BI20,0),2)</f>
        <v>0</v>
      </c>
      <c r="AD20" s="12">
        <f>ROUND(IF(AQ20="7",BH20,0),2)</f>
        <v>0</v>
      </c>
      <c r="AE20" s="12">
        <f>ROUND(IF(AQ20="7",BI20,0),2)</f>
        <v>0</v>
      </c>
      <c r="AF20" s="12">
        <f>ROUND(IF(AQ20="2",BH20,0),2)</f>
        <v>0</v>
      </c>
      <c r="AG20" s="12">
        <f>ROUND(IF(AQ20="2",BI20,0),2)</f>
        <v>0</v>
      </c>
      <c r="AH20" s="12">
        <f>ROUND(IF(AQ20="0",BJ20,0),2)</f>
        <v>0</v>
      </c>
      <c r="AI20" s="41" t="s">
        <v>18</v>
      </c>
      <c r="AJ20" s="12">
        <f>IF(AN20=0,I20,0)</f>
        <v>0</v>
      </c>
      <c r="AK20" s="12">
        <f>IF(AN20=12,I20,0)</f>
        <v>0</v>
      </c>
      <c r="AL20" s="12">
        <f>IF(AN20=21,I20,0)</f>
        <v>0</v>
      </c>
      <c r="AN20" s="12">
        <v>21</v>
      </c>
      <c r="AO20" s="12">
        <f>H20*0</f>
        <v>0</v>
      </c>
      <c r="AP20" s="12">
        <f>H20*(1-0)</f>
        <v>0</v>
      </c>
      <c r="AQ20" s="11" t="s">
        <v>122</v>
      </c>
      <c r="AV20" s="12">
        <f>ROUND(AW20+AX20,2)</f>
        <v>0</v>
      </c>
      <c r="AW20" s="12">
        <f>ROUND(G20*AO20,2)</f>
        <v>0</v>
      </c>
      <c r="AX20" s="12">
        <f>ROUND(G20*AP20,2)</f>
        <v>0</v>
      </c>
      <c r="AY20" s="11" t="s">
        <v>126</v>
      </c>
      <c r="AZ20" s="11" t="s">
        <v>127</v>
      </c>
      <c r="BA20" s="41" t="s">
        <v>128</v>
      </c>
      <c r="BC20" s="12">
        <f>AW20+AX20</f>
        <v>0</v>
      </c>
      <c r="BD20" s="12">
        <f>H20/(100-BE20)*100</f>
        <v>0</v>
      </c>
      <c r="BE20" s="12">
        <v>0</v>
      </c>
      <c r="BF20" s="12">
        <f>20</f>
        <v>20</v>
      </c>
      <c r="BH20" s="12">
        <f>G20*AO20</f>
        <v>0</v>
      </c>
      <c r="BI20" s="12">
        <f>G20*AP20</f>
        <v>0</v>
      </c>
      <c r="BJ20" s="12">
        <f>G20*H20</f>
        <v>0</v>
      </c>
      <c r="BK20" s="12"/>
      <c r="BL20" s="12">
        <v>0</v>
      </c>
      <c r="BW20" s="12">
        <v>21</v>
      </c>
      <c r="BX20" s="57" t="s">
        <v>59</v>
      </c>
    </row>
    <row r="21" spans="1:76" x14ac:dyDescent="0.25">
      <c r="A21" s="51" t="s">
        <v>18</v>
      </c>
      <c r="B21" s="60" t="s">
        <v>18</v>
      </c>
      <c r="C21" s="60" t="s">
        <v>22</v>
      </c>
      <c r="D21" s="171" t="s">
        <v>23</v>
      </c>
      <c r="E21" s="172"/>
      <c r="F21" s="52" t="s">
        <v>3</v>
      </c>
      <c r="G21" s="52" t="s">
        <v>3</v>
      </c>
      <c r="H21" s="70" t="s">
        <v>3</v>
      </c>
      <c r="I21" s="62">
        <f>SUM(I22:I29)</f>
        <v>0</v>
      </c>
      <c r="K21" s="45"/>
      <c r="AI21" s="41" t="s">
        <v>18</v>
      </c>
      <c r="AS21" s="36">
        <f>SUM(AJ22:AJ29)</f>
        <v>0</v>
      </c>
      <c r="AT21" s="36">
        <f>SUM(AK22:AK29)</f>
        <v>0</v>
      </c>
      <c r="AU21" s="36">
        <f>SUM(AL22:AL29)</f>
        <v>0</v>
      </c>
    </row>
    <row r="22" spans="1:76" x14ac:dyDescent="0.25">
      <c r="A22" s="1" t="s">
        <v>144</v>
      </c>
      <c r="B22" s="2" t="s">
        <v>18</v>
      </c>
      <c r="C22" s="2" t="s">
        <v>145</v>
      </c>
      <c r="D22" s="92" t="s">
        <v>146</v>
      </c>
      <c r="E22" s="86"/>
      <c r="F22" s="2" t="s">
        <v>147</v>
      </c>
      <c r="G22" s="12">
        <v>771.71500000000003</v>
      </c>
      <c r="H22" s="69">
        <v>0</v>
      </c>
      <c r="I22" s="69">
        <f>ROUND(G22*H22,2)</f>
        <v>0</v>
      </c>
      <c r="K22" s="45"/>
      <c r="Z22" s="12">
        <f>ROUND(IF(AQ22="5",BJ22,0),2)</f>
        <v>0</v>
      </c>
      <c r="AB22" s="12">
        <f>ROUND(IF(AQ22="1",BH22,0),2)</f>
        <v>0</v>
      </c>
      <c r="AC22" s="12">
        <f>ROUND(IF(AQ22="1",BI22,0),2)</f>
        <v>0</v>
      </c>
      <c r="AD22" s="12">
        <f>ROUND(IF(AQ22="7",BH22,0),2)</f>
        <v>0</v>
      </c>
      <c r="AE22" s="12">
        <f>ROUND(IF(AQ22="7",BI22,0),2)</f>
        <v>0</v>
      </c>
      <c r="AF22" s="12">
        <f>ROUND(IF(AQ22="2",BH22,0),2)</f>
        <v>0</v>
      </c>
      <c r="AG22" s="12">
        <f>ROUND(IF(AQ22="2",BI22,0),2)</f>
        <v>0</v>
      </c>
      <c r="AH22" s="12">
        <f>ROUND(IF(AQ22="0",BJ22,0),2)</f>
        <v>0</v>
      </c>
      <c r="AI22" s="41" t="s">
        <v>18</v>
      </c>
      <c r="AJ22" s="12">
        <f>IF(AN22=0,I22,0)</f>
        <v>0</v>
      </c>
      <c r="AK22" s="12">
        <f>IF(AN22=12,I22,0)</f>
        <v>0</v>
      </c>
      <c r="AL22" s="12">
        <f>IF(AN22=21,I22,0)</f>
        <v>0</v>
      </c>
      <c r="AN22" s="12">
        <v>21</v>
      </c>
      <c r="AO22" s="12">
        <f>H22*0</f>
        <v>0</v>
      </c>
      <c r="AP22" s="12">
        <f>H22*(1-0)</f>
        <v>0</v>
      </c>
      <c r="AQ22" s="11" t="s">
        <v>122</v>
      </c>
      <c r="AV22" s="12">
        <f>ROUND(AW22+AX22,2)</f>
        <v>0</v>
      </c>
      <c r="AW22" s="12">
        <f>ROUND(G22*AO22,2)</f>
        <v>0</v>
      </c>
      <c r="AX22" s="12">
        <f>ROUND(G22*AP22,2)</f>
        <v>0</v>
      </c>
      <c r="AY22" s="11" t="s">
        <v>148</v>
      </c>
      <c r="AZ22" s="11" t="s">
        <v>149</v>
      </c>
      <c r="BA22" s="41" t="s">
        <v>128</v>
      </c>
      <c r="BC22" s="12">
        <f>AW22+AX22</f>
        <v>0</v>
      </c>
      <c r="BD22" s="12">
        <f>H22/(100-BE22)*100</f>
        <v>0</v>
      </c>
      <c r="BE22" s="12">
        <v>0</v>
      </c>
      <c r="BF22" s="12">
        <f>22</f>
        <v>22</v>
      </c>
      <c r="BH22" s="12">
        <f>G22*AO22</f>
        <v>0</v>
      </c>
      <c r="BI22" s="12">
        <f>G22*AP22</f>
        <v>0</v>
      </c>
      <c r="BJ22" s="12">
        <f>G22*H22</f>
        <v>0</v>
      </c>
      <c r="BK22" s="12"/>
      <c r="BL22" s="12">
        <v>11</v>
      </c>
      <c r="BW22" s="12">
        <v>21</v>
      </c>
      <c r="BX22" s="57" t="s">
        <v>146</v>
      </c>
    </row>
    <row r="23" spans="1:76" x14ac:dyDescent="0.25">
      <c r="A23" s="48"/>
      <c r="D23" s="49" t="s">
        <v>150</v>
      </c>
      <c r="E23" s="49" t="s">
        <v>18</v>
      </c>
      <c r="G23" s="50">
        <v>0</v>
      </c>
      <c r="K23" s="45"/>
    </row>
    <row r="24" spans="1:76" x14ac:dyDescent="0.25">
      <c r="A24" s="48"/>
      <c r="D24" s="49" t="s">
        <v>151</v>
      </c>
      <c r="E24" s="49" t="s">
        <v>18</v>
      </c>
      <c r="G24" s="50">
        <v>571.20000000000005</v>
      </c>
      <c r="K24" s="45"/>
    </row>
    <row r="25" spans="1:76" x14ac:dyDescent="0.25">
      <c r="A25" s="48"/>
      <c r="D25" s="49" t="s">
        <v>152</v>
      </c>
      <c r="E25" s="49" t="s">
        <v>18</v>
      </c>
      <c r="G25" s="50">
        <v>141.77500000000001</v>
      </c>
      <c r="K25" s="45"/>
    </row>
    <row r="26" spans="1:76" x14ac:dyDescent="0.25">
      <c r="A26" s="48"/>
      <c r="D26" s="49" t="s">
        <v>153</v>
      </c>
      <c r="E26" s="49" t="s">
        <v>18</v>
      </c>
      <c r="G26" s="50">
        <v>6.25</v>
      </c>
      <c r="K26" s="45"/>
    </row>
    <row r="27" spans="1:76" x14ac:dyDescent="0.25">
      <c r="A27" s="48"/>
      <c r="D27" s="49" t="s">
        <v>154</v>
      </c>
      <c r="E27" s="49" t="s">
        <v>18</v>
      </c>
      <c r="G27" s="50">
        <v>49.49</v>
      </c>
      <c r="K27" s="45"/>
    </row>
    <row r="28" spans="1:76" x14ac:dyDescent="0.25">
      <c r="A28" s="48"/>
      <c r="D28" s="49" t="s">
        <v>155</v>
      </c>
      <c r="E28" s="49" t="s">
        <v>18</v>
      </c>
      <c r="G28" s="50">
        <v>3</v>
      </c>
      <c r="K28" s="45"/>
    </row>
    <row r="29" spans="1:76" x14ac:dyDescent="0.25">
      <c r="A29" s="1" t="s">
        <v>156</v>
      </c>
      <c r="B29" s="2" t="s">
        <v>18</v>
      </c>
      <c r="C29" s="2" t="s">
        <v>157</v>
      </c>
      <c r="D29" s="92" t="s">
        <v>158</v>
      </c>
      <c r="E29" s="86"/>
      <c r="F29" s="2" t="s">
        <v>159</v>
      </c>
      <c r="G29" s="12">
        <v>19</v>
      </c>
      <c r="H29" s="69">
        <v>0</v>
      </c>
      <c r="I29" s="69">
        <f>ROUND(G29*H29,2)</f>
        <v>0</v>
      </c>
      <c r="K29" s="45"/>
      <c r="Z29" s="12">
        <f>ROUND(IF(AQ29="5",BJ29,0),2)</f>
        <v>0</v>
      </c>
      <c r="AB29" s="12">
        <f>ROUND(IF(AQ29="1",BH29,0),2)</f>
        <v>0</v>
      </c>
      <c r="AC29" s="12">
        <f>ROUND(IF(AQ29="1",BI29,0),2)</f>
        <v>0</v>
      </c>
      <c r="AD29" s="12">
        <f>ROUND(IF(AQ29="7",BH29,0),2)</f>
        <v>0</v>
      </c>
      <c r="AE29" s="12">
        <f>ROUND(IF(AQ29="7",BI29,0),2)</f>
        <v>0</v>
      </c>
      <c r="AF29" s="12">
        <f>ROUND(IF(AQ29="2",BH29,0),2)</f>
        <v>0</v>
      </c>
      <c r="AG29" s="12">
        <f>ROUND(IF(AQ29="2",BI29,0),2)</f>
        <v>0</v>
      </c>
      <c r="AH29" s="12">
        <f>ROUND(IF(AQ29="0",BJ29,0),2)</f>
        <v>0</v>
      </c>
      <c r="AI29" s="41" t="s">
        <v>18</v>
      </c>
      <c r="AJ29" s="12">
        <f>IF(AN29=0,I29,0)</f>
        <v>0</v>
      </c>
      <c r="AK29" s="12">
        <f>IF(AN29=12,I29,0)</f>
        <v>0</v>
      </c>
      <c r="AL29" s="12">
        <f>IF(AN29=21,I29,0)</f>
        <v>0</v>
      </c>
      <c r="AN29" s="12">
        <v>21</v>
      </c>
      <c r="AO29" s="12">
        <f>H29*0</f>
        <v>0</v>
      </c>
      <c r="AP29" s="12">
        <f>H29*(1-0)</f>
        <v>0</v>
      </c>
      <c r="AQ29" s="11" t="s">
        <v>122</v>
      </c>
      <c r="AV29" s="12">
        <f>ROUND(AW29+AX29,2)</f>
        <v>0</v>
      </c>
      <c r="AW29" s="12">
        <f>ROUND(G29*AO29,2)</f>
        <v>0</v>
      </c>
      <c r="AX29" s="12">
        <f>ROUND(G29*AP29,2)</f>
        <v>0</v>
      </c>
      <c r="AY29" s="11" t="s">
        <v>148</v>
      </c>
      <c r="AZ29" s="11" t="s">
        <v>149</v>
      </c>
      <c r="BA29" s="41" t="s">
        <v>128</v>
      </c>
      <c r="BC29" s="12">
        <f>AW29+AX29</f>
        <v>0</v>
      </c>
      <c r="BD29" s="12">
        <f>H29/(100-BE29)*100</f>
        <v>0</v>
      </c>
      <c r="BE29" s="12">
        <v>0</v>
      </c>
      <c r="BF29" s="12">
        <f>29</f>
        <v>29</v>
      </c>
      <c r="BH29" s="12">
        <f>G29*AO29</f>
        <v>0</v>
      </c>
      <c r="BI29" s="12">
        <f>G29*AP29</f>
        <v>0</v>
      </c>
      <c r="BJ29" s="12">
        <f>G29*H29</f>
        <v>0</v>
      </c>
      <c r="BK29" s="12"/>
      <c r="BL29" s="12">
        <v>11</v>
      </c>
      <c r="BW29" s="12">
        <v>21</v>
      </c>
      <c r="BX29" s="57" t="s">
        <v>158</v>
      </c>
    </row>
    <row r="30" spans="1:76" ht="20.25" customHeight="1" x14ac:dyDescent="0.25">
      <c r="A30" s="51" t="s">
        <v>18</v>
      </c>
      <c r="B30" s="60" t="s">
        <v>18</v>
      </c>
      <c r="C30" s="60" t="s">
        <v>24</v>
      </c>
      <c r="D30" s="171" t="s">
        <v>25</v>
      </c>
      <c r="E30" s="172"/>
      <c r="F30" s="52" t="s">
        <v>3</v>
      </c>
      <c r="G30" s="52" t="s">
        <v>3</v>
      </c>
      <c r="H30" s="70" t="s">
        <v>3</v>
      </c>
      <c r="I30" s="62">
        <f>SUM(I31:I36)</f>
        <v>0</v>
      </c>
      <c r="K30" s="45"/>
      <c r="AI30" s="41" t="s">
        <v>18</v>
      </c>
      <c r="AS30" s="36">
        <f>SUM(AJ31:AJ36)</f>
        <v>0</v>
      </c>
      <c r="AT30" s="36">
        <f>SUM(AK31:AK36)</f>
        <v>0</v>
      </c>
      <c r="AU30" s="36">
        <f>SUM(AL31:AL36)</f>
        <v>0</v>
      </c>
    </row>
    <row r="31" spans="1:76" x14ac:dyDescent="0.25">
      <c r="A31" s="1" t="s">
        <v>160</v>
      </c>
      <c r="B31" s="2" t="s">
        <v>18</v>
      </c>
      <c r="C31" s="2" t="s">
        <v>161</v>
      </c>
      <c r="D31" s="92" t="s">
        <v>162</v>
      </c>
      <c r="E31" s="86"/>
      <c r="F31" s="2" t="s">
        <v>163</v>
      </c>
      <c r="G31" s="12">
        <v>38.585999999999999</v>
      </c>
      <c r="H31" s="69">
        <v>0</v>
      </c>
      <c r="I31" s="69">
        <f>ROUND(G31*H31,2)</f>
        <v>0</v>
      </c>
      <c r="K31" s="45"/>
      <c r="Z31" s="12">
        <f>ROUND(IF(AQ31="5",BJ31,0),2)</f>
        <v>0</v>
      </c>
      <c r="AB31" s="12">
        <f>ROUND(IF(AQ31="1",BH31,0),2)</f>
        <v>0</v>
      </c>
      <c r="AC31" s="12">
        <f>ROUND(IF(AQ31="1",BI31,0),2)</f>
        <v>0</v>
      </c>
      <c r="AD31" s="12">
        <f>ROUND(IF(AQ31="7",BH31,0),2)</f>
        <v>0</v>
      </c>
      <c r="AE31" s="12">
        <f>ROUND(IF(AQ31="7",BI31,0),2)</f>
        <v>0</v>
      </c>
      <c r="AF31" s="12">
        <f>ROUND(IF(AQ31="2",BH31,0),2)</f>
        <v>0</v>
      </c>
      <c r="AG31" s="12">
        <f>ROUND(IF(AQ31="2",BI31,0),2)</f>
        <v>0</v>
      </c>
      <c r="AH31" s="12">
        <f>ROUND(IF(AQ31="0",BJ31,0),2)</f>
        <v>0</v>
      </c>
      <c r="AI31" s="41" t="s">
        <v>18</v>
      </c>
      <c r="AJ31" s="12">
        <f>IF(AN31=0,I31,0)</f>
        <v>0</v>
      </c>
      <c r="AK31" s="12">
        <f>IF(AN31=12,I31,0)</f>
        <v>0</v>
      </c>
      <c r="AL31" s="12">
        <f>IF(AN31=21,I31,0)</f>
        <v>0</v>
      </c>
      <c r="AN31" s="12">
        <v>21</v>
      </c>
      <c r="AO31" s="12">
        <f>H31*0.914890076</f>
        <v>0</v>
      </c>
      <c r="AP31" s="12">
        <f>H31*(1-0.914890076)</f>
        <v>0</v>
      </c>
      <c r="AQ31" s="11" t="s">
        <v>122</v>
      </c>
      <c r="AV31" s="12">
        <f>ROUND(AW31+AX31,2)</f>
        <v>0</v>
      </c>
      <c r="AW31" s="12">
        <f>ROUND(G31*AO31,2)</f>
        <v>0</v>
      </c>
      <c r="AX31" s="12">
        <f>ROUND(G31*AP31,2)</f>
        <v>0</v>
      </c>
      <c r="AY31" s="11" t="s">
        <v>164</v>
      </c>
      <c r="AZ31" s="11" t="s">
        <v>165</v>
      </c>
      <c r="BA31" s="41" t="s">
        <v>128</v>
      </c>
      <c r="BC31" s="12">
        <f>AW31+AX31</f>
        <v>0</v>
      </c>
      <c r="BD31" s="12">
        <f>H31/(100-BE31)*100</f>
        <v>0</v>
      </c>
      <c r="BE31" s="12">
        <v>0</v>
      </c>
      <c r="BF31" s="12">
        <f>31</f>
        <v>31</v>
      </c>
      <c r="BH31" s="12">
        <f>G31*AO31</f>
        <v>0</v>
      </c>
      <c r="BI31" s="12">
        <f>G31*AP31</f>
        <v>0</v>
      </c>
      <c r="BJ31" s="12">
        <f>G31*H31</f>
        <v>0</v>
      </c>
      <c r="BK31" s="12"/>
      <c r="BL31" s="12">
        <v>57</v>
      </c>
      <c r="BW31" s="12">
        <v>21</v>
      </c>
      <c r="BX31" s="57" t="s">
        <v>162</v>
      </c>
    </row>
    <row r="32" spans="1:76" x14ac:dyDescent="0.25">
      <c r="A32" s="48"/>
      <c r="D32" s="49" t="s">
        <v>166</v>
      </c>
      <c r="E32" s="49" t="s">
        <v>18</v>
      </c>
      <c r="G32" s="50">
        <v>0</v>
      </c>
      <c r="K32" s="45"/>
    </row>
    <row r="33" spans="1:76" x14ac:dyDescent="0.25">
      <c r="A33" s="48"/>
      <c r="D33" s="49" t="s">
        <v>167</v>
      </c>
      <c r="E33" s="49" t="s">
        <v>18</v>
      </c>
      <c r="G33" s="50">
        <v>38.585999999999999</v>
      </c>
      <c r="K33" s="45"/>
    </row>
    <row r="34" spans="1:76" ht="25.5" x14ac:dyDescent="0.25">
      <c r="A34" s="1" t="s">
        <v>168</v>
      </c>
      <c r="B34" s="2" t="s">
        <v>18</v>
      </c>
      <c r="C34" s="2" t="s">
        <v>169</v>
      </c>
      <c r="D34" s="92" t="s">
        <v>170</v>
      </c>
      <c r="E34" s="86"/>
      <c r="F34" s="2" t="s">
        <v>147</v>
      </c>
      <c r="G34" s="12">
        <v>1543.43</v>
      </c>
      <c r="H34" s="69">
        <v>0</v>
      </c>
      <c r="I34" s="69">
        <f>ROUND(G34*H34,2)</f>
        <v>0</v>
      </c>
      <c r="K34" s="45"/>
      <c r="Z34" s="12">
        <f>ROUND(IF(AQ34="5",BJ34,0),2)</f>
        <v>0</v>
      </c>
      <c r="AB34" s="12">
        <f>ROUND(IF(AQ34="1",BH34,0),2)</f>
        <v>0</v>
      </c>
      <c r="AC34" s="12">
        <f>ROUND(IF(AQ34="1",BI34,0),2)</f>
        <v>0</v>
      </c>
      <c r="AD34" s="12">
        <f>ROUND(IF(AQ34="7",BH34,0),2)</f>
        <v>0</v>
      </c>
      <c r="AE34" s="12">
        <f>ROUND(IF(AQ34="7",BI34,0),2)</f>
        <v>0</v>
      </c>
      <c r="AF34" s="12">
        <f>ROUND(IF(AQ34="2",BH34,0),2)</f>
        <v>0</v>
      </c>
      <c r="AG34" s="12">
        <f>ROUND(IF(AQ34="2",BI34,0),2)</f>
        <v>0</v>
      </c>
      <c r="AH34" s="12">
        <f>ROUND(IF(AQ34="0",BJ34,0),2)</f>
        <v>0</v>
      </c>
      <c r="AI34" s="41" t="s">
        <v>18</v>
      </c>
      <c r="AJ34" s="12">
        <f>IF(AN34=0,I34,0)</f>
        <v>0</v>
      </c>
      <c r="AK34" s="12">
        <f>IF(AN34=12,I34,0)</f>
        <v>0</v>
      </c>
      <c r="AL34" s="12">
        <f>IF(AN34=21,I34,0)</f>
        <v>0</v>
      </c>
      <c r="AN34" s="12">
        <v>21</v>
      </c>
      <c r="AO34" s="12">
        <f>H34*0.900000206</f>
        <v>0</v>
      </c>
      <c r="AP34" s="12">
        <f>H34*(1-0.900000206)</f>
        <v>0</v>
      </c>
      <c r="AQ34" s="11" t="s">
        <v>122</v>
      </c>
      <c r="AV34" s="12">
        <f>ROUND(AW34+AX34,2)</f>
        <v>0</v>
      </c>
      <c r="AW34" s="12">
        <f>ROUND(G34*AO34,2)</f>
        <v>0</v>
      </c>
      <c r="AX34" s="12">
        <f>ROUND(G34*AP34,2)</f>
        <v>0</v>
      </c>
      <c r="AY34" s="11" t="s">
        <v>164</v>
      </c>
      <c r="AZ34" s="11" t="s">
        <v>165</v>
      </c>
      <c r="BA34" s="41" t="s">
        <v>128</v>
      </c>
      <c r="BC34" s="12">
        <f>AW34+AX34</f>
        <v>0</v>
      </c>
      <c r="BD34" s="12">
        <f>H34/(100-BE34)*100</f>
        <v>0</v>
      </c>
      <c r="BE34" s="12">
        <v>0</v>
      </c>
      <c r="BF34" s="12">
        <f>34</f>
        <v>34</v>
      </c>
      <c r="BH34" s="12">
        <f>G34*AO34</f>
        <v>0</v>
      </c>
      <c r="BI34" s="12">
        <f>G34*AP34</f>
        <v>0</v>
      </c>
      <c r="BJ34" s="12">
        <f>G34*H34</f>
        <v>0</v>
      </c>
      <c r="BK34" s="12"/>
      <c r="BL34" s="12">
        <v>57</v>
      </c>
      <c r="BW34" s="12">
        <v>21</v>
      </c>
      <c r="BX34" s="57" t="s">
        <v>170</v>
      </c>
    </row>
    <row r="35" spans="1:76" x14ac:dyDescent="0.25">
      <c r="A35" s="48"/>
      <c r="D35" s="49" t="s">
        <v>171</v>
      </c>
      <c r="E35" s="49" t="s">
        <v>18</v>
      </c>
      <c r="G35" s="50">
        <v>1543.43</v>
      </c>
      <c r="K35" s="45"/>
    </row>
    <row r="36" spans="1:76" x14ac:dyDescent="0.25">
      <c r="A36" s="1" t="s">
        <v>22</v>
      </c>
      <c r="B36" s="2" t="s">
        <v>18</v>
      </c>
      <c r="C36" s="2" t="s">
        <v>172</v>
      </c>
      <c r="D36" s="92" t="s">
        <v>221</v>
      </c>
      <c r="E36" s="86"/>
      <c r="F36" s="2" t="s">
        <v>147</v>
      </c>
      <c r="G36" s="12">
        <v>771.71500000000003</v>
      </c>
      <c r="H36" s="69">
        <v>0</v>
      </c>
      <c r="I36" s="69">
        <f>ROUND(G36*H36,2)</f>
        <v>0</v>
      </c>
      <c r="K36" s="45"/>
      <c r="Z36" s="12">
        <f>ROUND(IF(AQ36="5",BJ36,0),2)</f>
        <v>0</v>
      </c>
      <c r="AB36" s="12">
        <f>ROUND(IF(AQ36="1",BH36,0),2)</f>
        <v>0</v>
      </c>
      <c r="AC36" s="12">
        <f>ROUND(IF(AQ36="1",BI36,0),2)</f>
        <v>0</v>
      </c>
      <c r="AD36" s="12">
        <f>ROUND(IF(AQ36="7",BH36,0),2)</f>
        <v>0</v>
      </c>
      <c r="AE36" s="12">
        <f>ROUND(IF(AQ36="7",BI36,0),2)</f>
        <v>0</v>
      </c>
      <c r="AF36" s="12">
        <f>ROUND(IF(AQ36="2",BH36,0),2)</f>
        <v>0</v>
      </c>
      <c r="AG36" s="12">
        <f>ROUND(IF(AQ36="2",BI36,0),2)</f>
        <v>0</v>
      </c>
      <c r="AH36" s="12">
        <f>ROUND(IF(AQ36="0",BJ36,0),2)</f>
        <v>0</v>
      </c>
      <c r="AI36" s="41" t="s">
        <v>18</v>
      </c>
      <c r="AJ36" s="12">
        <f>IF(AN36=0,I36,0)</f>
        <v>0</v>
      </c>
      <c r="AK36" s="12">
        <f>IF(AN36=12,I36,0)</f>
        <v>0</v>
      </c>
      <c r="AL36" s="12">
        <f>IF(AN36=21,I36,0)</f>
        <v>0</v>
      </c>
      <c r="AN36" s="12">
        <v>21</v>
      </c>
      <c r="AO36" s="12">
        <f>H36*0.78678408</f>
        <v>0</v>
      </c>
      <c r="AP36" s="12">
        <f>H36*(1-0.78678408)</f>
        <v>0</v>
      </c>
      <c r="AQ36" s="11" t="s">
        <v>122</v>
      </c>
      <c r="AV36" s="12">
        <f>ROUND(AW36+AX36,2)</f>
        <v>0</v>
      </c>
      <c r="AW36" s="12">
        <f>ROUND(G36*AO36,2)</f>
        <v>0</v>
      </c>
      <c r="AX36" s="12">
        <f>ROUND(G36*AP36,2)</f>
        <v>0</v>
      </c>
      <c r="AY36" s="11" t="s">
        <v>164</v>
      </c>
      <c r="AZ36" s="11" t="s">
        <v>165</v>
      </c>
      <c r="BA36" s="41" t="s">
        <v>128</v>
      </c>
      <c r="BC36" s="12">
        <f>AW36+AX36</f>
        <v>0</v>
      </c>
      <c r="BD36" s="12">
        <f>H36/(100-BE36)*100</f>
        <v>0</v>
      </c>
      <c r="BE36" s="12">
        <v>0</v>
      </c>
      <c r="BF36" s="12">
        <f>36</f>
        <v>36</v>
      </c>
      <c r="BH36" s="12">
        <f>G36*AO36</f>
        <v>0</v>
      </c>
      <c r="BI36" s="12">
        <f>G36*AP36</f>
        <v>0</v>
      </c>
      <c r="BJ36" s="12">
        <f>G36*H36</f>
        <v>0</v>
      </c>
      <c r="BK36" s="12"/>
      <c r="BL36" s="12">
        <v>57</v>
      </c>
      <c r="BW36" s="12">
        <v>21</v>
      </c>
      <c r="BX36" s="57" t="s">
        <v>173</v>
      </c>
    </row>
    <row r="37" spans="1:76" ht="23.25" customHeight="1" x14ac:dyDescent="0.25">
      <c r="A37" s="51" t="s">
        <v>18</v>
      </c>
      <c r="B37" s="60" t="s">
        <v>18</v>
      </c>
      <c r="C37" s="60" t="s">
        <v>26</v>
      </c>
      <c r="D37" s="171" t="s">
        <v>27</v>
      </c>
      <c r="E37" s="172"/>
      <c r="F37" s="52" t="s">
        <v>3</v>
      </c>
      <c r="G37" s="52" t="s">
        <v>3</v>
      </c>
      <c r="H37" s="70" t="s">
        <v>3</v>
      </c>
      <c r="I37" s="62">
        <f>SUM(I38:I38)</f>
        <v>0</v>
      </c>
      <c r="K37" s="45"/>
      <c r="AI37" s="41" t="s">
        <v>18</v>
      </c>
      <c r="AS37" s="36">
        <f>SUM(AJ38:AJ38)</f>
        <v>0</v>
      </c>
      <c r="AT37" s="36">
        <f>SUM(AK38:AK38)</f>
        <v>0</v>
      </c>
      <c r="AU37" s="36">
        <f>SUM(AL38:AL38)</f>
        <v>0</v>
      </c>
    </row>
    <row r="38" spans="1:76" x14ac:dyDescent="0.25">
      <c r="A38" s="1" t="s">
        <v>174</v>
      </c>
      <c r="B38" s="2" t="s">
        <v>18</v>
      </c>
      <c r="C38" s="2" t="s">
        <v>175</v>
      </c>
      <c r="D38" s="92" t="s">
        <v>176</v>
      </c>
      <c r="E38" s="86"/>
      <c r="F38" s="2" t="s">
        <v>159</v>
      </c>
      <c r="G38" s="12">
        <v>19</v>
      </c>
      <c r="H38" s="69">
        <v>0</v>
      </c>
      <c r="I38" s="69">
        <f>ROUND(G38*H38,2)</f>
        <v>0</v>
      </c>
      <c r="K38" s="45"/>
      <c r="Z38" s="12">
        <f>ROUND(IF(AQ38="5",BJ38,0),2)</f>
        <v>0</v>
      </c>
      <c r="AB38" s="12">
        <f>ROUND(IF(AQ38="1",BH38,0),2)</f>
        <v>0</v>
      </c>
      <c r="AC38" s="12">
        <f>ROUND(IF(AQ38="1",BI38,0),2)</f>
        <v>0</v>
      </c>
      <c r="AD38" s="12">
        <f>ROUND(IF(AQ38="7",BH38,0),2)</f>
        <v>0</v>
      </c>
      <c r="AE38" s="12">
        <f>ROUND(IF(AQ38="7",BI38,0),2)</f>
        <v>0</v>
      </c>
      <c r="AF38" s="12">
        <f>ROUND(IF(AQ38="2",BH38,0),2)</f>
        <v>0</v>
      </c>
      <c r="AG38" s="12">
        <f>ROUND(IF(AQ38="2",BI38,0),2)</f>
        <v>0</v>
      </c>
      <c r="AH38" s="12">
        <f>ROUND(IF(AQ38="0",BJ38,0),2)</f>
        <v>0</v>
      </c>
      <c r="AI38" s="41" t="s">
        <v>18</v>
      </c>
      <c r="AJ38" s="12">
        <f>IF(AN38=0,I38,0)</f>
        <v>0</v>
      </c>
      <c r="AK38" s="12">
        <f>IF(AN38=12,I38,0)</f>
        <v>0</v>
      </c>
      <c r="AL38" s="12">
        <f>IF(AN38=21,I38,0)</f>
        <v>0</v>
      </c>
      <c r="AN38" s="12">
        <v>21</v>
      </c>
      <c r="AO38" s="12">
        <f>H38*0.867146205</f>
        <v>0</v>
      </c>
      <c r="AP38" s="12">
        <f>H38*(1-0.867146205)</f>
        <v>0</v>
      </c>
      <c r="AQ38" s="11" t="s">
        <v>122</v>
      </c>
      <c r="AV38" s="12">
        <f>ROUND(AW38+AX38,2)</f>
        <v>0</v>
      </c>
      <c r="AW38" s="12">
        <f>ROUND(G38*AO38,2)</f>
        <v>0</v>
      </c>
      <c r="AX38" s="12">
        <f>ROUND(G38*AP38,2)</f>
        <v>0</v>
      </c>
      <c r="AY38" s="11" t="s">
        <v>177</v>
      </c>
      <c r="AZ38" s="11" t="s">
        <v>165</v>
      </c>
      <c r="BA38" s="41" t="s">
        <v>128</v>
      </c>
      <c r="BC38" s="12">
        <f>AW38+AX38</f>
        <v>0</v>
      </c>
      <c r="BD38" s="12">
        <f>H38/(100-BE38)*100</f>
        <v>0</v>
      </c>
      <c r="BE38" s="12">
        <v>0</v>
      </c>
      <c r="BF38" s="12">
        <f>38</f>
        <v>38</v>
      </c>
      <c r="BH38" s="12">
        <f>G38*AO38</f>
        <v>0</v>
      </c>
      <c r="BI38" s="12">
        <f>G38*AP38</f>
        <v>0</v>
      </c>
      <c r="BJ38" s="12">
        <f>G38*H38</f>
        <v>0</v>
      </c>
      <c r="BK38" s="12"/>
      <c r="BL38" s="12">
        <v>59</v>
      </c>
      <c r="BW38" s="12">
        <v>21</v>
      </c>
      <c r="BX38" s="57" t="s">
        <v>176</v>
      </c>
    </row>
    <row r="39" spans="1:76" x14ac:dyDescent="0.25">
      <c r="A39" s="51" t="s">
        <v>18</v>
      </c>
      <c r="B39" s="60" t="s">
        <v>18</v>
      </c>
      <c r="C39" s="60" t="s">
        <v>28</v>
      </c>
      <c r="D39" s="171" t="s">
        <v>29</v>
      </c>
      <c r="E39" s="172"/>
      <c r="F39" s="52" t="s">
        <v>3</v>
      </c>
      <c r="G39" s="52" t="s">
        <v>3</v>
      </c>
      <c r="H39" s="70" t="s">
        <v>3</v>
      </c>
      <c r="I39" s="62">
        <f>SUM(I40:I42)</f>
        <v>0</v>
      </c>
      <c r="K39" s="45"/>
      <c r="AI39" s="41" t="s">
        <v>18</v>
      </c>
      <c r="AS39" s="36">
        <f>SUM(AJ40:AJ42)</f>
        <v>0</v>
      </c>
      <c r="AT39" s="36">
        <f>SUM(AK40:AK42)</f>
        <v>0</v>
      </c>
      <c r="AU39" s="36">
        <f>SUM(AL40:AL42)</f>
        <v>0</v>
      </c>
    </row>
    <row r="40" spans="1:76" x14ac:dyDescent="0.25">
      <c r="A40" s="1" t="s">
        <v>178</v>
      </c>
      <c r="B40" s="2" t="s">
        <v>18</v>
      </c>
      <c r="C40" s="2" t="s">
        <v>179</v>
      </c>
      <c r="D40" s="92" t="s">
        <v>180</v>
      </c>
      <c r="E40" s="86"/>
      <c r="F40" s="2" t="s">
        <v>159</v>
      </c>
      <c r="G40" s="12">
        <v>6</v>
      </c>
      <c r="H40" s="69">
        <v>0</v>
      </c>
      <c r="I40" s="69">
        <f>ROUND(G40*H40,2)</f>
        <v>0</v>
      </c>
      <c r="K40" s="45"/>
      <c r="Z40" s="12">
        <f>ROUND(IF(AQ40="5",BJ40,0),2)</f>
        <v>0</v>
      </c>
      <c r="AB40" s="12">
        <f>ROUND(IF(AQ40="1",BH40,0),2)</f>
        <v>0</v>
      </c>
      <c r="AC40" s="12">
        <f>ROUND(IF(AQ40="1",BI40,0),2)</f>
        <v>0</v>
      </c>
      <c r="AD40" s="12">
        <f>ROUND(IF(AQ40="7",BH40,0),2)</f>
        <v>0</v>
      </c>
      <c r="AE40" s="12">
        <f>ROUND(IF(AQ40="7",BI40,0),2)</f>
        <v>0</v>
      </c>
      <c r="AF40" s="12">
        <f>ROUND(IF(AQ40="2",BH40,0),2)</f>
        <v>0</v>
      </c>
      <c r="AG40" s="12">
        <f>ROUND(IF(AQ40="2",BI40,0),2)</f>
        <v>0</v>
      </c>
      <c r="AH40" s="12">
        <f>ROUND(IF(AQ40="0",BJ40,0),2)</f>
        <v>0</v>
      </c>
      <c r="AI40" s="41" t="s">
        <v>18</v>
      </c>
      <c r="AJ40" s="12">
        <f>IF(AN40=0,I40,0)</f>
        <v>0</v>
      </c>
      <c r="AK40" s="12">
        <f>IF(AN40=12,I40,0)</f>
        <v>0</v>
      </c>
      <c r="AL40" s="12">
        <f>IF(AN40=21,I40,0)</f>
        <v>0</v>
      </c>
      <c r="AN40" s="12">
        <v>21</v>
      </c>
      <c r="AO40" s="12">
        <f>H40*0.249516024</f>
        <v>0</v>
      </c>
      <c r="AP40" s="12">
        <f>H40*(1-0.249516024)</f>
        <v>0</v>
      </c>
      <c r="AQ40" s="11" t="s">
        <v>122</v>
      </c>
      <c r="AV40" s="12">
        <f>ROUND(AW40+AX40,2)</f>
        <v>0</v>
      </c>
      <c r="AW40" s="12">
        <f>ROUND(G40*AO40,2)</f>
        <v>0</v>
      </c>
      <c r="AX40" s="12">
        <f>ROUND(G40*AP40,2)</f>
        <v>0</v>
      </c>
      <c r="AY40" s="11" t="s">
        <v>181</v>
      </c>
      <c r="AZ40" s="11" t="s">
        <v>182</v>
      </c>
      <c r="BA40" s="41" t="s">
        <v>128</v>
      </c>
      <c r="BC40" s="12">
        <f>AW40+AX40</f>
        <v>0</v>
      </c>
      <c r="BD40" s="12">
        <f>H40/(100-BE40)*100</f>
        <v>0</v>
      </c>
      <c r="BE40" s="12">
        <v>0</v>
      </c>
      <c r="BF40" s="12">
        <f>40</f>
        <v>40</v>
      </c>
      <c r="BH40" s="12">
        <f>G40*AO40</f>
        <v>0</v>
      </c>
      <c r="BI40" s="12">
        <f>G40*AP40</f>
        <v>0</v>
      </c>
      <c r="BJ40" s="12">
        <f>G40*H40</f>
        <v>0</v>
      </c>
      <c r="BK40" s="12"/>
      <c r="BL40" s="12">
        <v>83</v>
      </c>
      <c r="BW40" s="12">
        <v>21</v>
      </c>
      <c r="BX40" s="57" t="s">
        <v>180</v>
      </c>
    </row>
    <row r="41" spans="1:76" x14ac:dyDescent="0.25">
      <c r="A41" s="1" t="s">
        <v>183</v>
      </c>
      <c r="B41" s="2" t="s">
        <v>18</v>
      </c>
      <c r="C41" s="2" t="s">
        <v>184</v>
      </c>
      <c r="D41" s="92" t="s">
        <v>185</v>
      </c>
      <c r="E41" s="86"/>
      <c r="F41" s="2" t="s">
        <v>186</v>
      </c>
      <c r="G41" s="12">
        <v>1</v>
      </c>
      <c r="H41" s="69">
        <v>0</v>
      </c>
      <c r="I41" s="69">
        <f>ROUND(G41*H41,2)</f>
        <v>0</v>
      </c>
      <c r="K41" s="45"/>
      <c r="Z41" s="12">
        <f>ROUND(IF(AQ41="5",BJ41,0),2)</f>
        <v>0</v>
      </c>
      <c r="AB41" s="12">
        <f>ROUND(IF(AQ41="1",BH41,0),2)</f>
        <v>0</v>
      </c>
      <c r="AC41" s="12">
        <f>ROUND(IF(AQ41="1",BI41,0),2)</f>
        <v>0</v>
      </c>
      <c r="AD41" s="12">
        <f>ROUND(IF(AQ41="7",BH41,0),2)</f>
        <v>0</v>
      </c>
      <c r="AE41" s="12">
        <f>ROUND(IF(AQ41="7",BI41,0),2)</f>
        <v>0</v>
      </c>
      <c r="AF41" s="12">
        <f>ROUND(IF(AQ41="2",BH41,0),2)</f>
        <v>0</v>
      </c>
      <c r="AG41" s="12">
        <f>ROUND(IF(AQ41="2",BI41,0),2)</f>
        <v>0</v>
      </c>
      <c r="AH41" s="12">
        <f>ROUND(IF(AQ41="0",BJ41,0),2)</f>
        <v>0</v>
      </c>
      <c r="AI41" s="41" t="s">
        <v>18</v>
      </c>
      <c r="AJ41" s="12">
        <f>IF(AN41=0,I41,0)</f>
        <v>0</v>
      </c>
      <c r="AK41" s="12">
        <f>IF(AN41=12,I41,0)</f>
        <v>0</v>
      </c>
      <c r="AL41" s="12">
        <f>IF(AN41=21,I41,0)</f>
        <v>0</v>
      </c>
      <c r="AN41" s="12">
        <v>21</v>
      </c>
      <c r="AO41" s="12">
        <f>H41*0.293058375</f>
        <v>0</v>
      </c>
      <c r="AP41" s="12">
        <f>H41*(1-0.293058375)</f>
        <v>0</v>
      </c>
      <c r="AQ41" s="11" t="s">
        <v>122</v>
      </c>
      <c r="AV41" s="12">
        <f>ROUND(AW41+AX41,2)</f>
        <v>0</v>
      </c>
      <c r="AW41" s="12">
        <f>ROUND(G41*AO41,2)</f>
        <v>0</v>
      </c>
      <c r="AX41" s="12">
        <f>ROUND(G41*AP41,2)</f>
        <v>0</v>
      </c>
      <c r="AY41" s="11" t="s">
        <v>181</v>
      </c>
      <c r="AZ41" s="11" t="s">
        <v>182</v>
      </c>
      <c r="BA41" s="41" t="s">
        <v>128</v>
      </c>
      <c r="BC41" s="12">
        <f>AW41+AX41</f>
        <v>0</v>
      </c>
      <c r="BD41" s="12">
        <f>H41/(100-BE41)*100</f>
        <v>0</v>
      </c>
      <c r="BE41" s="12">
        <v>0</v>
      </c>
      <c r="BF41" s="12">
        <f>41</f>
        <v>41</v>
      </c>
      <c r="BH41" s="12">
        <f>G41*AO41</f>
        <v>0</v>
      </c>
      <c r="BI41" s="12">
        <f>G41*AP41</f>
        <v>0</v>
      </c>
      <c r="BJ41" s="12">
        <f>G41*H41</f>
        <v>0</v>
      </c>
      <c r="BK41" s="12"/>
      <c r="BL41" s="12">
        <v>83</v>
      </c>
      <c r="BW41" s="12">
        <v>21</v>
      </c>
      <c r="BX41" s="57" t="s">
        <v>185</v>
      </c>
    </row>
    <row r="42" spans="1:76" x14ac:dyDescent="0.25">
      <c r="A42" s="1" t="s">
        <v>187</v>
      </c>
      <c r="B42" s="2" t="s">
        <v>18</v>
      </c>
      <c r="C42" s="2" t="s">
        <v>188</v>
      </c>
      <c r="D42" s="92" t="s">
        <v>189</v>
      </c>
      <c r="E42" s="86"/>
      <c r="F42" s="2" t="s">
        <v>159</v>
      </c>
      <c r="G42" s="12">
        <v>6</v>
      </c>
      <c r="H42" s="69">
        <v>0</v>
      </c>
      <c r="I42" s="69">
        <f>ROUND(G42*H42,2)</f>
        <v>0</v>
      </c>
      <c r="K42" s="45"/>
      <c r="Z42" s="12">
        <f>ROUND(IF(AQ42="5",BJ42,0),2)</f>
        <v>0</v>
      </c>
      <c r="AB42" s="12">
        <f>ROUND(IF(AQ42="1",BH42,0),2)</f>
        <v>0</v>
      </c>
      <c r="AC42" s="12">
        <f>ROUND(IF(AQ42="1",BI42,0),2)</f>
        <v>0</v>
      </c>
      <c r="AD42" s="12">
        <f>ROUND(IF(AQ42="7",BH42,0),2)</f>
        <v>0</v>
      </c>
      <c r="AE42" s="12">
        <f>ROUND(IF(AQ42="7",BI42,0),2)</f>
        <v>0</v>
      </c>
      <c r="AF42" s="12">
        <f>ROUND(IF(AQ42="2",BH42,0),2)</f>
        <v>0</v>
      </c>
      <c r="AG42" s="12">
        <f>ROUND(IF(AQ42="2",BI42,0),2)</f>
        <v>0</v>
      </c>
      <c r="AH42" s="12">
        <f>ROUND(IF(AQ42="0",BJ42,0),2)</f>
        <v>0</v>
      </c>
      <c r="AI42" s="41" t="s">
        <v>18</v>
      </c>
      <c r="AJ42" s="12">
        <f>IF(AN42=0,I42,0)</f>
        <v>0</v>
      </c>
      <c r="AK42" s="12">
        <f>IF(AN42=12,I42,0)</f>
        <v>0</v>
      </c>
      <c r="AL42" s="12">
        <f>IF(AN42=21,I42,0)</f>
        <v>0</v>
      </c>
      <c r="AN42" s="12">
        <v>21</v>
      </c>
      <c r="AO42" s="12">
        <f>H42*0.442264998</f>
        <v>0</v>
      </c>
      <c r="AP42" s="12">
        <f>H42*(1-0.442264998)</f>
        <v>0</v>
      </c>
      <c r="AQ42" s="11" t="s">
        <v>122</v>
      </c>
      <c r="AV42" s="12">
        <f>ROUND(AW42+AX42,2)</f>
        <v>0</v>
      </c>
      <c r="AW42" s="12">
        <f>ROUND(G42*AO42,2)</f>
        <v>0</v>
      </c>
      <c r="AX42" s="12">
        <f>ROUND(G42*AP42,2)</f>
        <v>0</v>
      </c>
      <c r="AY42" s="11" t="s">
        <v>181</v>
      </c>
      <c r="AZ42" s="11" t="s">
        <v>182</v>
      </c>
      <c r="BA42" s="41" t="s">
        <v>128</v>
      </c>
      <c r="BC42" s="12">
        <f>AW42+AX42</f>
        <v>0</v>
      </c>
      <c r="BD42" s="12">
        <f>H42/(100-BE42)*100</f>
        <v>0</v>
      </c>
      <c r="BE42" s="12">
        <v>0</v>
      </c>
      <c r="BF42" s="12">
        <f>42</f>
        <v>42</v>
      </c>
      <c r="BH42" s="12">
        <f>G42*AO42</f>
        <v>0</v>
      </c>
      <c r="BI42" s="12">
        <f>G42*AP42</f>
        <v>0</v>
      </c>
      <c r="BJ42" s="12">
        <f>G42*H42</f>
        <v>0</v>
      </c>
      <c r="BK42" s="12"/>
      <c r="BL42" s="12">
        <v>83</v>
      </c>
      <c r="BW42" s="12">
        <v>21</v>
      </c>
      <c r="BX42" s="57" t="s">
        <v>189</v>
      </c>
    </row>
    <row r="43" spans="1:76" x14ac:dyDescent="0.25">
      <c r="A43" s="51" t="s">
        <v>18</v>
      </c>
      <c r="B43" s="60" t="s">
        <v>18</v>
      </c>
      <c r="C43" s="60" t="s">
        <v>30</v>
      </c>
      <c r="D43" s="171" t="s">
        <v>31</v>
      </c>
      <c r="E43" s="172"/>
      <c r="F43" s="52" t="s">
        <v>3</v>
      </c>
      <c r="G43" s="52" t="s">
        <v>3</v>
      </c>
      <c r="H43" s="70" t="s">
        <v>3</v>
      </c>
      <c r="I43" s="62">
        <f>SUM(I44:I46)</f>
        <v>0</v>
      </c>
      <c r="K43" s="45"/>
      <c r="AI43" s="41" t="s">
        <v>18</v>
      </c>
      <c r="AS43" s="36">
        <f>SUM(AJ44:AJ46)</f>
        <v>0</v>
      </c>
      <c r="AT43" s="36">
        <f>SUM(AK44:AK46)</f>
        <v>0</v>
      </c>
      <c r="AU43" s="36">
        <f>SUM(AL44:AL46)</f>
        <v>0</v>
      </c>
    </row>
    <row r="44" spans="1:76" x14ac:dyDescent="0.25">
      <c r="A44" s="1" t="s">
        <v>190</v>
      </c>
      <c r="B44" s="2" t="s">
        <v>18</v>
      </c>
      <c r="C44" s="2" t="s">
        <v>191</v>
      </c>
      <c r="D44" s="92" t="s">
        <v>192</v>
      </c>
      <c r="E44" s="86"/>
      <c r="F44" s="2" t="s">
        <v>186</v>
      </c>
      <c r="G44" s="12">
        <v>6</v>
      </c>
      <c r="H44" s="69">
        <v>0</v>
      </c>
      <c r="I44" s="69">
        <f>ROUND(G44*H44,2)</f>
        <v>0</v>
      </c>
      <c r="K44" s="45"/>
      <c r="Z44" s="12">
        <f>ROUND(IF(AQ44="5",BJ44,0),2)</f>
        <v>0</v>
      </c>
      <c r="AB44" s="12">
        <f>ROUND(IF(AQ44="1",BH44,0),2)</f>
        <v>0</v>
      </c>
      <c r="AC44" s="12">
        <f>ROUND(IF(AQ44="1",BI44,0),2)</f>
        <v>0</v>
      </c>
      <c r="AD44" s="12">
        <f>ROUND(IF(AQ44="7",BH44,0),2)</f>
        <v>0</v>
      </c>
      <c r="AE44" s="12">
        <f>ROUND(IF(AQ44="7",BI44,0),2)</f>
        <v>0</v>
      </c>
      <c r="AF44" s="12">
        <f>ROUND(IF(AQ44="2",BH44,0),2)</f>
        <v>0</v>
      </c>
      <c r="AG44" s="12">
        <f>ROUND(IF(AQ44="2",BI44,0),2)</f>
        <v>0</v>
      </c>
      <c r="AH44" s="12">
        <f>ROUND(IF(AQ44="0",BJ44,0),2)</f>
        <v>0</v>
      </c>
      <c r="AI44" s="41" t="s">
        <v>18</v>
      </c>
      <c r="AJ44" s="12">
        <f>IF(AN44=0,I44,0)</f>
        <v>0</v>
      </c>
      <c r="AK44" s="12">
        <f>IF(AN44=12,I44,0)</f>
        <v>0</v>
      </c>
      <c r="AL44" s="12">
        <f>IF(AN44=21,I44,0)</f>
        <v>0</v>
      </c>
      <c r="AN44" s="12">
        <v>21</v>
      </c>
      <c r="AO44" s="12">
        <f>H44*0.338885802</f>
        <v>0</v>
      </c>
      <c r="AP44" s="12">
        <f>H44*(1-0.338885802)</f>
        <v>0</v>
      </c>
      <c r="AQ44" s="11" t="s">
        <v>122</v>
      </c>
      <c r="AV44" s="12">
        <f>ROUND(AW44+AX44,2)</f>
        <v>0</v>
      </c>
      <c r="AW44" s="12">
        <f>ROUND(G44*AO44,2)</f>
        <v>0</v>
      </c>
      <c r="AX44" s="12">
        <f>ROUND(G44*AP44,2)</f>
        <v>0</v>
      </c>
      <c r="AY44" s="11" t="s">
        <v>193</v>
      </c>
      <c r="AZ44" s="11" t="s">
        <v>182</v>
      </c>
      <c r="BA44" s="41" t="s">
        <v>128</v>
      </c>
      <c r="BC44" s="12">
        <f>AW44+AX44</f>
        <v>0</v>
      </c>
      <c r="BD44" s="12">
        <f>H44/(100-BE44)*100</f>
        <v>0</v>
      </c>
      <c r="BE44" s="12">
        <v>0</v>
      </c>
      <c r="BF44" s="12">
        <f>44</f>
        <v>44</v>
      </c>
      <c r="BH44" s="12">
        <f>G44*AO44</f>
        <v>0</v>
      </c>
      <c r="BI44" s="12">
        <f>G44*AP44</f>
        <v>0</v>
      </c>
      <c r="BJ44" s="12">
        <f>G44*H44</f>
        <v>0</v>
      </c>
      <c r="BK44" s="12"/>
      <c r="BL44" s="12">
        <v>89</v>
      </c>
      <c r="BW44" s="12">
        <v>21</v>
      </c>
      <c r="BX44" s="57" t="s">
        <v>192</v>
      </c>
    </row>
    <row r="45" spans="1:76" x14ac:dyDescent="0.25">
      <c r="A45" s="1" t="s">
        <v>194</v>
      </c>
      <c r="B45" s="2" t="s">
        <v>18</v>
      </c>
      <c r="C45" s="2" t="s">
        <v>195</v>
      </c>
      <c r="D45" s="92" t="s">
        <v>196</v>
      </c>
      <c r="E45" s="86"/>
      <c r="F45" s="2" t="s">
        <v>186</v>
      </c>
      <c r="G45" s="12">
        <v>2</v>
      </c>
      <c r="H45" s="69">
        <v>0</v>
      </c>
      <c r="I45" s="69">
        <f>ROUND(G45*H45,2)</f>
        <v>0</v>
      </c>
      <c r="K45" s="45"/>
      <c r="Z45" s="12">
        <f>ROUND(IF(AQ45="5",BJ45,0),2)</f>
        <v>0</v>
      </c>
      <c r="AB45" s="12">
        <f>ROUND(IF(AQ45="1",BH45,0),2)</f>
        <v>0</v>
      </c>
      <c r="AC45" s="12">
        <f>ROUND(IF(AQ45="1",BI45,0),2)</f>
        <v>0</v>
      </c>
      <c r="AD45" s="12">
        <f>ROUND(IF(AQ45="7",BH45,0),2)</f>
        <v>0</v>
      </c>
      <c r="AE45" s="12">
        <f>ROUND(IF(AQ45="7",BI45,0),2)</f>
        <v>0</v>
      </c>
      <c r="AF45" s="12">
        <f>ROUND(IF(AQ45="2",BH45,0),2)</f>
        <v>0</v>
      </c>
      <c r="AG45" s="12">
        <f>ROUND(IF(AQ45="2",BI45,0),2)</f>
        <v>0</v>
      </c>
      <c r="AH45" s="12">
        <f>ROUND(IF(AQ45="0",BJ45,0),2)</f>
        <v>0</v>
      </c>
      <c r="AI45" s="41" t="s">
        <v>18</v>
      </c>
      <c r="AJ45" s="12">
        <f>IF(AN45=0,I45,0)</f>
        <v>0</v>
      </c>
      <c r="AK45" s="12">
        <f>IF(AN45=12,I45,0)</f>
        <v>0</v>
      </c>
      <c r="AL45" s="12">
        <f>IF(AN45=21,I45,0)</f>
        <v>0</v>
      </c>
      <c r="AN45" s="12">
        <v>21</v>
      </c>
      <c r="AO45" s="12">
        <f>H45*0.3184608</f>
        <v>0</v>
      </c>
      <c r="AP45" s="12">
        <f>H45*(1-0.3184608)</f>
        <v>0</v>
      </c>
      <c r="AQ45" s="11" t="s">
        <v>122</v>
      </c>
      <c r="AV45" s="12">
        <f>ROUND(AW45+AX45,2)</f>
        <v>0</v>
      </c>
      <c r="AW45" s="12">
        <f>ROUND(G45*AO45,2)</f>
        <v>0</v>
      </c>
      <c r="AX45" s="12">
        <f>ROUND(G45*AP45,2)</f>
        <v>0</v>
      </c>
      <c r="AY45" s="11" t="s">
        <v>193</v>
      </c>
      <c r="AZ45" s="11" t="s">
        <v>182</v>
      </c>
      <c r="BA45" s="41" t="s">
        <v>128</v>
      </c>
      <c r="BC45" s="12">
        <f>AW45+AX45</f>
        <v>0</v>
      </c>
      <c r="BD45" s="12">
        <f>H45/(100-BE45)*100</f>
        <v>0</v>
      </c>
      <c r="BE45" s="12">
        <v>0</v>
      </c>
      <c r="BF45" s="12">
        <f>45</f>
        <v>45</v>
      </c>
      <c r="BH45" s="12">
        <f>G45*AO45</f>
        <v>0</v>
      </c>
      <c r="BI45" s="12">
        <f>G45*AP45</f>
        <v>0</v>
      </c>
      <c r="BJ45" s="12">
        <f>G45*H45</f>
        <v>0</v>
      </c>
      <c r="BK45" s="12"/>
      <c r="BL45" s="12">
        <v>89</v>
      </c>
      <c r="BW45" s="12">
        <v>21</v>
      </c>
      <c r="BX45" s="57" t="s">
        <v>196</v>
      </c>
    </row>
    <row r="46" spans="1:76" x14ac:dyDescent="0.25">
      <c r="A46" s="1" t="s">
        <v>197</v>
      </c>
      <c r="B46" s="2" t="s">
        <v>18</v>
      </c>
      <c r="C46" s="2" t="s">
        <v>198</v>
      </c>
      <c r="D46" s="92" t="s">
        <v>199</v>
      </c>
      <c r="E46" s="86"/>
      <c r="F46" s="2" t="s">
        <v>186</v>
      </c>
      <c r="G46" s="12">
        <v>1</v>
      </c>
      <c r="H46" s="69">
        <v>0</v>
      </c>
      <c r="I46" s="69">
        <f>ROUND(G46*H46,2)</f>
        <v>0</v>
      </c>
      <c r="K46" s="45"/>
      <c r="Z46" s="12">
        <f>ROUND(IF(AQ46="5",BJ46,0),2)</f>
        <v>0</v>
      </c>
      <c r="AB46" s="12">
        <f>ROUND(IF(AQ46="1",BH46,0),2)</f>
        <v>0</v>
      </c>
      <c r="AC46" s="12">
        <f>ROUND(IF(AQ46="1",BI46,0),2)</f>
        <v>0</v>
      </c>
      <c r="AD46" s="12">
        <f>ROUND(IF(AQ46="7",BH46,0),2)</f>
        <v>0</v>
      </c>
      <c r="AE46" s="12">
        <f>ROUND(IF(AQ46="7",BI46,0),2)</f>
        <v>0</v>
      </c>
      <c r="AF46" s="12">
        <f>ROUND(IF(AQ46="2",BH46,0),2)</f>
        <v>0</v>
      </c>
      <c r="AG46" s="12">
        <f>ROUND(IF(AQ46="2",BI46,0),2)</f>
        <v>0</v>
      </c>
      <c r="AH46" s="12">
        <f>ROUND(IF(AQ46="0",BJ46,0),2)</f>
        <v>0</v>
      </c>
      <c r="AI46" s="41" t="s">
        <v>18</v>
      </c>
      <c r="AJ46" s="12">
        <f>IF(AN46=0,I46,0)</f>
        <v>0</v>
      </c>
      <c r="AK46" s="12">
        <f>IF(AN46=12,I46,0)</f>
        <v>0</v>
      </c>
      <c r="AL46" s="12">
        <f>IF(AN46=21,I46,0)</f>
        <v>0</v>
      </c>
      <c r="AN46" s="12">
        <v>21</v>
      </c>
      <c r="AO46" s="12">
        <f>H46*0.601758216</f>
        <v>0</v>
      </c>
      <c r="AP46" s="12">
        <f>H46*(1-0.601758216)</f>
        <v>0</v>
      </c>
      <c r="AQ46" s="11" t="s">
        <v>122</v>
      </c>
      <c r="AV46" s="12">
        <f>ROUND(AW46+AX46,2)</f>
        <v>0</v>
      </c>
      <c r="AW46" s="12">
        <f>ROUND(G46*AO46,2)</f>
        <v>0</v>
      </c>
      <c r="AX46" s="12">
        <f>ROUND(G46*AP46,2)</f>
        <v>0</v>
      </c>
      <c r="AY46" s="11" t="s">
        <v>193</v>
      </c>
      <c r="AZ46" s="11" t="s">
        <v>182</v>
      </c>
      <c r="BA46" s="41" t="s">
        <v>128</v>
      </c>
      <c r="BC46" s="12">
        <f>AW46+AX46</f>
        <v>0</v>
      </c>
      <c r="BD46" s="12">
        <f>H46/(100-BE46)*100</f>
        <v>0</v>
      </c>
      <c r="BE46" s="12">
        <v>0</v>
      </c>
      <c r="BF46" s="12">
        <f>46</f>
        <v>46</v>
      </c>
      <c r="BH46" s="12">
        <f>G46*AO46</f>
        <v>0</v>
      </c>
      <c r="BI46" s="12">
        <f>G46*AP46</f>
        <v>0</v>
      </c>
      <c r="BJ46" s="12">
        <f>G46*H46</f>
        <v>0</v>
      </c>
      <c r="BK46" s="12"/>
      <c r="BL46" s="12">
        <v>89</v>
      </c>
      <c r="BW46" s="12">
        <v>21</v>
      </c>
      <c r="BX46" s="57" t="s">
        <v>199</v>
      </c>
    </row>
    <row r="47" spans="1:76" x14ac:dyDescent="0.25">
      <c r="A47" s="51" t="s">
        <v>18</v>
      </c>
      <c r="B47" s="60" t="s">
        <v>18</v>
      </c>
      <c r="C47" s="60" t="s">
        <v>32</v>
      </c>
      <c r="D47" s="171" t="s">
        <v>33</v>
      </c>
      <c r="E47" s="172"/>
      <c r="F47" s="52" t="s">
        <v>3</v>
      </c>
      <c r="G47" s="52" t="s">
        <v>3</v>
      </c>
      <c r="H47" s="70" t="s">
        <v>3</v>
      </c>
      <c r="I47" s="62">
        <f>SUM(I48:I51)</f>
        <v>0</v>
      </c>
      <c r="K47" s="45"/>
      <c r="AI47" s="41" t="s">
        <v>18</v>
      </c>
      <c r="AS47" s="36">
        <f>SUM(AJ48:AJ51)</f>
        <v>0</v>
      </c>
      <c r="AT47" s="36">
        <f>SUM(AK48:AK51)</f>
        <v>0</v>
      </c>
      <c r="AU47" s="36">
        <f>SUM(AL48:AL51)</f>
        <v>0</v>
      </c>
    </row>
    <row r="48" spans="1:76" x14ac:dyDescent="0.25">
      <c r="A48" s="1" t="s">
        <v>200</v>
      </c>
      <c r="B48" s="2" t="s">
        <v>18</v>
      </c>
      <c r="C48" s="2" t="s">
        <v>201</v>
      </c>
      <c r="D48" s="92" t="s">
        <v>202</v>
      </c>
      <c r="E48" s="86"/>
      <c r="F48" s="2" t="s">
        <v>159</v>
      </c>
      <c r="G48" s="12">
        <v>19</v>
      </c>
      <c r="H48" s="69">
        <v>0</v>
      </c>
      <c r="I48" s="69">
        <f>ROUND(G48*H48,2)</f>
        <v>0</v>
      </c>
      <c r="K48" s="45"/>
      <c r="Z48" s="12">
        <f>ROUND(IF(AQ48="5",BJ48,0),2)</f>
        <v>0</v>
      </c>
      <c r="AB48" s="12">
        <f>ROUND(IF(AQ48="1",BH48,0),2)</f>
        <v>0</v>
      </c>
      <c r="AC48" s="12">
        <f>ROUND(IF(AQ48="1",BI48,0),2)</f>
        <v>0</v>
      </c>
      <c r="AD48" s="12">
        <f>ROUND(IF(AQ48="7",BH48,0),2)</f>
        <v>0</v>
      </c>
      <c r="AE48" s="12">
        <f>ROUND(IF(AQ48="7",BI48,0),2)</f>
        <v>0</v>
      </c>
      <c r="AF48" s="12">
        <f>ROUND(IF(AQ48="2",BH48,0),2)</f>
        <v>0</v>
      </c>
      <c r="AG48" s="12">
        <f>ROUND(IF(AQ48="2",BI48,0),2)</f>
        <v>0</v>
      </c>
      <c r="AH48" s="12">
        <f>ROUND(IF(AQ48="0",BJ48,0),2)</f>
        <v>0</v>
      </c>
      <c r="AI48" s="41" t="s">
        <v>18</v>
      </c>
      <c r="AJ48" s="12">
        <f>IF(AN48=0,I48,0)</f>
        <v>0</v>
      </c>
      <c r="AK48" s="12">
        <f>IF(AN48=12,I48,0)</f>
        <v>0</v>
      </c>
      <c r="AL48" s="12">
        <f>IF(AN48=21,I48,0)</f>
        <v>0</v>
      </c>
      <c r="AN48" s="12">
        <v>21</v>
      </c>
      <c r="AO48" s="12">
        <f>H48*0.556102708</f>
        <v>0</v>
      </c>
      <c r="AP48" s="12">
        <f>H48*(1-0.556102708)</f>
        <v>0</v>
      </c>
      <c r="AQ48" s="11" t="s">
        <v>122</v>
      </c>
      <c r="AV48" s="12">
        <f>ROUND(AW48+AX48,2)</f>
        <v>0</v>
      </c>
      <c r="AW48" s="12">
        <f>ROUND(G48*AO48,2)</f>
        <v>0</v>
      </c>
      <c r="AX48" s="12">
        <f>ROUND(G48*AP48,2)</f>
        <v>0</v>
      </c>
      <c r="AY48" s="11" t="s">
        <v>203</v>
      </c>
      <c r="AZ48" s="11" t="s">
        <v>204</v>
      </c>
      <c r="BA48" s="41" t="s">
        <v>128</v>
      </c>
      <c r="BC48" s="12">
        <f>AW48+AX48</f>
        <v>0</v>
      </c>
      <c r="BD48" s="12">
        <f>H48/(100-BE48)*100</f>
        <v>0</v>
      </c>
      <c r="BE48" s="12">
        <v>0</v>
      </c>
      <c r="BF48" s="12">
        <f>48</f>
        <v>48</v>
      </c>
      <c r="BH48" s="12">
        <f>G48*AO48</f>
        <v>0</v>
      </c>
      <c r="BI48" s="12">
        <f>G48*AP48</f>
        <v>0</v>
      </c>
      <c r="BJ48" s="12">
        <f>G48*H48</f>
        <v>0</v>
      </c>
      <c r="BK48" s="12"/>
      <c r="BL48" s="12">
        <v>91</v>
      </c>
      <c r="BW48" s="12">
        <v>21</v>
      </c>
      <c r="BX48" s="57" t="s">
        <v>202</v>
      </c>
    </row>
    <row r="49" spans="1:76" x14ac:dyDescent="0.25">
      <c r="A49" s="1" t="s">
        <v>205</v>
      </c>
      <c r="B49" s="2" t="s">
        <v>18</v>
      </c>
      <c r="C49" s="2" t="s">
        <v>206</v>
      </c>
      <c r="D49" s="92" t="s">
        <v>207</v>
      </c>
      <c r="E49" s="86"/>
      <c r="F49" s="2" t="s">
        <v>159</v>
      </c>
      <c r="G49" s="12">
        <v>18</v>
      </c>
      <c r="H49" s="69">
        <v>0</v>
      </c>
      <c r="I49" s="69">
        <f>ROUND(G49*H49,2)</f>
        <v>0</v>
      </c>
      <c r="K49" s="45"/>
      <c r="Z49" s="12">
        <f>ROUND(IF(AQ49="5",BJ49,0),2)</f>
        <v>0</v>
      </c>
      <c r="AB49" s="12">
        <f>ROUND(IF(AQ49="1",BH49,0),2)</f>
        <v>0</v>
      </c>
      <c r="AC49" s="12">
        <f>ROUND(IF(AQ49="1",BI49,0),2)</f>
        <v>0</v>
      </c>
      <c r="AD49" s="12">
        <f>ROUND(IF(AQ49="7",BH49,0),2)</f>
        <v>0</v>
      </c>
      <c r="AE49" s="12">
        <f>ROUND(IF(AQ49="7",BI49,0),2)</f>
        <v>0</v>
      </c>
      <c r="AF49" s="12">
        <f>ROUND(IF(AQ49="2",BH49,0),2)</f>
        <v>0</v>
      </c>
      <c r="AG49" s="12">
        <f>ROUND(IF(AQ49="2",BI49,0),2)</f>
        <v>0</v>
      </c>
      <c r="AH49" s="12">
        <f>ROUND(IF(AQ49="0",BJ49,0),2)</f>
        <v>0</v>
      </c>
      <c r="AI49" s="41" t="s">
        <v>18</v>
      </c>
      <c r="AJ49" s="12">
        <f>IF(AN49=0,I49,0)</f>
        <v>0</v>
      </c>
      <c r="AK49" s="12">
        <f>IF(AN49=12,I49,0)</f>
        <v>0</v>
      </c>
      <c r="AL49" s="12">
        <f>IF(AN49=21,I49,0)</f>
        <v>0</v>
      </c>
      <c r="AN49" s="12">
        <v>21</v>
      </c>
      <c r="AO49" s="12">
        <f>H49*0.733278111</f>
        <v>0</v>
      </c>
      <c r="AP49" s="12">
        <f>H49*(1-0.733278111)</f>
        <v>0</v>
      </c>
      <c r="AQ49" s="11" t="s">
        <v>122</v>
      </c>
      <c r="AV49" s="12">
        <f>ROUND(AW49+AX49,2)</f>
        <v>0</v>
      </c>
      <c r="AW49" s="12">
        <f>ROUND(G49*AO49,2)</f>
        <v>0</v>
      </c>
      <c r="AX49" s="12">
        <f>ROUND(G49*AP49,2)</f>
        <v>0</v>
      </c>
      <c r="AY49" s="11" t="s">
        <v>203</v>
      </c>
      <c r="AZ49" s="11" t="s">
        <v>204</v>
      </c>
      <c r="BA49" s="41" t="s">
        <v>128</v>
      </c>
      <c r="BC49" s="12">
        <f>AW49+AX49</f>
        <v>0</v>
      </c>
      <c r="BD49" s="12">
        <f>H49/(100-BE49)*100</f>
        <v>0</v>
      </c>
      <c r="BE49" s="12">
        <v>0</v>
      </c>
      <c r="BF49" s="12">
        <f>49</f>
        <v>49</v>
      </c>
      <c r="BH49" s="12">
        <f>G49*AO49</f>
        <v>0</v>
      </c>
      <c r="BI49" s="12">
        <f>G49*AP49</f>
        <v>0</v>
      </c>
      <c r="BJ49" s="12">
        <f>G49*H49</f>
        <v>0</v>
      </c>
      <c r="BK49" s="12"/>
      <c r="BL49" s="12">
        <v>91</v>
      </c>
      <c r="BW49" s="12">
        <v>21</v>
      </c>
      <c r="BX49" s="57" t="s">
        <v>207</v>
      </c>
    </row>
    <row r="50" spans="1:76" x14ac:dyDescent="0.25">
      <c r="A50" s="1" t="s">
        <v>208</v>
      </c>
      <c r="B50" s="2" t="s">
        <v>18</v>
      </c>
      <c r="C50" s="2" t="s">
        <v>209</v>
      </c>
      <c r="D50" s="92" t="s">
        <v>210</v>
      </c>
      <c r="E50" s="86"/>
      <c r="F50" s="2" t="s">
        <v>159</v>
      </c>
      <c r="G50" s="12">
        <v>18.5</v>
      </c>
      <c r="H50" s="69">
        <v>0</v>
      </c>
      <c r="I50" s="69">
        <f>ROUND(G50*H50,2)</f>
        <v>0</v>
      </c>
      <c r="K50" s="45"/>
      <c r="Z50" s="12">
        <f>ROUND(IF(AQ50="5",BJ50,0),2)</f>
        <v>0</v>
      </c>
      <c r="AB50" s="12">
        <f>ROUND(IF(AQ50="1",BH50,0),2)</f>
        <v>0</v>
      </c>
      <c r="AC50" s="12">
        <f>ROUND(IF(AQ50="1",BI50,0),2)</f>
        <v>0</v>
      </c>
      <c r="AD50" s="12">
        <f>ROUND(IF(AQ50="7",BH50,0),2)</f>
        <v>0</v>
      </c>
      <c r="AE50" s="12">
        <f>ROUND(IF(AQ50="7",BI50,0),2)</f>
        <v>0</v>
      </c>
      <c r="AF50" s="12">
        <f>ROUND(IF(AQ50="2",BH50,0),2)</f>
        <v>0</v>
      </c>
      <c r="AG50" s="12">
        <f>ROUND(IF(AQ50="2",BI50,0),2)</f>
        <v>0</v>
      </c>
      <c r="AH50" s="12">
        <f>ROUND(IF(AQ50="0",BJ50,0),2)</f>
        <v>0</v>
      </c>
      <c r="AI50" s="41" t="s">
        <v>18</v>
      </c>
      <c r="AJ50" s="12">
        <f>IF(AN50=0,I50,0)</f>
        <v>0</v>
      </c>
      <c r="AK50" s="12">
        <f>IF(AN50=12,I50,0)</f>
        <v>0</v>
      </c>
      <c r="AL50" s="12">
        <f>IF(AN50=21,I50,0)</f>
        <v>0</v>
      </c>
      <c r="AN50" s="12">
        <v>21</v>
      </c>
      <c r="AO50" s="12">
        <f>H50*0.098548399</f>
        <v>0</v>
      </c>
      <c r="AP50" s="12">
        <f>H50*(1-0.098548399)</f>
        <v>0</v>
      </c>
      <c r="AQ50" s="11" t="s">
        <v>122</v>
      </c>
      <c r="AV50" s="12">
        <f>ROUND(AW50+AX50,2)</f>
        <v>0</v>
      </c>
      <c r="AW50" s="12">
        <f>ROUND(G50*AO50,2)</f>
        <v>0</v>
      </c>
      <c r="AX50" s="12">
        <f>ROUND(G50*AP50,2)</f>
        <v>0</v>
      </c>
      <c r="AY50" s="11" t="s">
        <v>203</v>
      </c>
      <c r="AZ50" s="11" t="s">
        <v>204</v>
      </c>
      <c r="BA50" s="41" t="s">
        <v>128</v>
      </c>
      <c r="BC50" s="12">
        <f>AW50+AX50</f>
        <v>0</v>
      </c>
      <c r="BD50" s="12">
        <f>H50/(100-BE50)*100</f>
        <v>0</v>
      </c>
      <c r="BE50" s="12">
        <v>0</v>
      </c>
      <c r="BF50" s="12">
        <f>50</f>
        <v>50</v>
      </c>
      <c r="BH50" s="12">
        <f>G50*AO50</f>
        <v>0</v>
      </c>
      <c r="BI50" s="12">
        <f>G50*AP50</f>
        <v>0</v>
      </c>
      <c r="BJ50" s="12">
        <f>G50*H50</f>
        <v>0</v>
      </c>
      <c r="BK50" s="12"/>
      <c r="BL50" s="12">
        <v>91</v>
      </c>
      <c r="BW50" s="12">
        <v>21</v>
      </c>
      <c r="BX50" s="57" t="s">
        <v>210</v>
      </c>
    </row>
    <row r="51" spans="1:76" x14ac:dyDescent="0.25">
      <c r="A51" s="1" t="s">
        <v>211</v>
      </c>
      <c r="B51" s="2" t="s">
        <v>18</v>
      </c>
      <c r="C51" s="2" t="s">
        <v>212</v>
      </c>
      <c r="D51" s="92" t="s">
        <v>213</v>
      </c>
      <c r="E51" s="86"/>
      <c r="F51" s="2" t="s">
        <v>163</v>
      </c>
      <c r="G51" s="12">
        <v>157.35599999999999</v>
      </c>
      <c r="H51" s="69">
        <v>0</v>
      </c>
      <c r="I51" s="69">
        <f>ROUND(G51*H51,2)</f>
        <v>0</v>
      </c>
      <c r="K51" s="45"/>
      <c r="Z51" s="12">
        <f>ROUND(IF(AQ51="5",BJ51,0),2)</f>
        <v>0</v>
      </c>
      <c r="AB51" s="12">
        <f>ROUND(IF(AQ51="1",BH51,0),2)</f>
        <v>0</v>
      </c>
      <c r="AC51" s="12">
        <f>ROUND(IF(AQ51="1",BI51,0),2)</f>
        <v>0</v>
      </c>
      <c r="AD51" s="12">
        <f>ROUND(IF(AQ51="7",BH51,0),2)</f>
        <v>0</v>
      </c>
      <c r="AE51" s="12">
        <f>ROUND(IF(AQ51="7",BI51,0),2)</f>
        <v>0</v>
      </c>
      <c r="AF51" s="12">
        <f>ROUND(IF(AQ51="2",BH51,0),2)</f>
        <v>0</v>
      </c>
      <c r="AG51" s="12">
        <f>ROUND(IF(AQ51="2",BI51,0),2)</f>
        <v>0</v>
      </c>
      <c r="AH51" s="12">
        <f>ROUND(IF(AQ51="0",BJ51,0),2)</f>
        <v>0</v>
      </c>
      <c r="AI51" s="41" t="s">
        <v>18</v>
      </c>
      <c r="AJ51" s="12">
        <f>IF(AN51=0,I51,0)</f>
        <v>0</v>
      </c>
      <c r="AK51" s="12">
        <f>IF(AN51=12,I51,0)</f>
        <v>0</v>
      </c>
      <c r="AL51" s="12">
        <f>IF(AN51=21,I51,0)</f>
        <v>0</v>
      </c>
      <c r="AN51" s="12">
        <v>21</v>
      </c>
      <c r="AO51" s="12">
        <f>H51*0</f>
        <v>0</v>
      </c>
      <c r="AP51" s="12">
        <f>H51*(1-0)</f>
        <v>0</v>
      </c>
      <c r="AQ51" s="11" t="s">
        <v>139</v>
      </c>
      <c r="AV51" s="12">
        <f>ROUND(AW51+AX51,2)</f>
        <v>0</v>
      </c>
      <c r="AW51" s="12">
        <f>ROUND(G51*AO51,2)</f>
        <v>0</v>
      </c>
      <c r="AX51" s="12">
        <f>ROUND(G51*AP51,2)</f>
        <v>0</v>
      </c>
      <c r="AY51" s="11" t="s">
        <v>203</v>
      </c>
      <c r="AZ51" s="11" t="s">
        <v>204</v>
      </c>
      <c r="BA51" s="41" t="s">
        <v>128</v>
      </c>
      <c r="BC51" s="12">
        <f>AW51+AX51</f>
        <v>0</v>
      </c>
      <c r="BD51" s="12">
        <f>H51/(100-BE51)*100</f>
        <v>0</v>
      </c>
      <c r="BE51" s="12">
        <v>0</v>
      </c>
      <c r="BF51" s="12">
        <f>51</f>
        <v>51</v>
      </c>
      <c r="BH51" s="12">
        <f>G51*AO51</f>
        <v>0</v>
      </c>
      <c r="BI51" s="12">
        <f>G51*AP51</f>
        <v>0</v>
      </c>
      <c r="BJ51" s="12">
        <f>G51*H51</f>
        <v>0</v>
      </c>
      <c r="BK51" s="12"/>
      <c r="BL51" s="12">
        <v>91</v>
      </c>
      <c r="BW51" s="12">
        <v>21</v>
      </c>
      <c r="BX51" s="57" t="s">
        <v>213</v>
      </c>
    </row>
    <row r="52" spans="1:76" x14ac:dyDescent="0.25">
      <c r="A52" s="51" t="s">
        <v>18</v>
      </c>
      <c r="B52" s="60" t="s">
        <v>18</v>
      </c>
      <c r="C52" s="60" t="s">
        <v>34</v>
      </c>
      <c r="D52" s="171" t="s">
        <v>35</v>
      </c>
      <c r="E52" s="172"/>
      <c r="F52" s="52" t="s">
        <v>3</v>
      </c>
      <c r="G52" s="52" t="s">
        <v>3</v>
      </c>
      <c r="H52" s="70" t="s">
        <v>3</v>
      </c>
      <c r="I52" s="62">
        <f>SUM(I53:I54)</f>
        <v>-10186.6</v>
      </c>
      <c r="K52" s="45"/>
      <c r="AI52" s="41" t="s">
        <v>18</v>
      </c>
      <c r="AS52" s="36">
        <f>SUM(AJ53:AJ54)</f>
        <v>0</v>
      </c>
      <c r="AT52" s="36">
        <f>SUM(AK53:AK54)</f>
        <v>0</v>
      </c>
      <c r="AU52" s="36">
        <f>SUM(AL53:AL54)</f>
        <v>-10186.6</v>
      </c>
    </row>
    <row r="53" spans="1:76" x14ac:dyDescent="0.25">
      <c r="A53" s="1" t="s">
        <v>214</v>
      </c>
      <c r="B53" s="2" t="s">
        <v>18</v>
      </c>
      <c r="C53" s="2" t="s">
        <v>215</v>
      </c>
      <c r="D53" s="92" t="s">
        <v>216</v>
      </c>
      <c r="E53" s="86"/>
      <c r="F53" s="2" t="s">
        <v>163</v>
      </c>
      <c r="G53" s="12">
        <v>2.1850000000000001</v>
      </c>
      <c r="H53" s="69">
        <v>0</v>
      </c>
      <c r="I53" s="69">
        <f>ROUND(G53*H53,2)</f>
        <v>0</v>
      </c>
      <c r="K53" s="45"/>
      <c r="Z53" s="12">
        <f>ROUND(IF(AQ53="5",BJ53,0),2)</f>
        <v>0</v>
      </c>
      <c r="AB53" s="12">
        <f>ROUND(IF(AQ53="1",BH53,0),2)</f>
        <v>0</v>
      </c>
      <c r="AC53" s="12">
        <f>ROUND(IF(AQ53="1",BI53,0),2)</f>
        <v>0</v>
      </c>
      <c r="AD53" s="12">
        <f>ROUND(IF(AQ53="7",BH53,0),2)</f>
        <v>0</v>
      </c>
      <c r="AE53" s="12">
        <f>ROUND(IF(AQ53="7",BI53,0),2)</f>
        <v>0</v>
      </c>
      <c r="AF53" s="12">
        <f>ROUND(IF(AQ53="2",BH53,0),2)</f>
        <v>0</v>
      </c>
      <c r="AG53" s="12">
        <f>ROUND(IF(AQ53="2",BI53,0),2)</f>
        <v>0</v>
      </c>
      <c r="AH53" s="12">
        <f>ROUND(IF(AQ53="0",BJ53,0),2)</f>
        <v>0</v>
      </c>
      <c r="AI53" s="41" t="s">
        <v>18</v>
      </c>
      <c r="AJ53" s="12">
        <f>IF(AN53=0,I53,0)</f>
        <v>0</v>
      </c>
      <c r="AK53" s="12">
        <f>IF(AN53=12,I53,0)</f>
        <v>0</v>
      </c>
      <c r="AL53" s="12">
        <f>IF(AN53=21,I53,0)</f>
        <v>0</v>
      </c>
      <c r="AN53" s="12">
        <v>21</v>
      </c>
      <c r="AO53" s="12">
        <f>H53*0</f>
        <v>0</v>
      </c>
      <c r="AP53" s="12">
        <f>H53*(1-0)</f>
        <v>0</v>
      </c>
      <c r="AQ53" s="11" t="s">
        <v>139</v>
      </c>
      <c r="AV53" s="12">
        <f>ROUND(AW53+AX53,2)</f>
        <v>0</v>
      </c>
      <c r="AW53" s="12">
        <f>ROUND(G53*AO53,2)</f>
        <v>0</v>
      </c>
      <c r="AX53" s="12">
        <f>ROUND(G53*AP53,2)</f>
        <v>0</v>
      </c>
      <c r="AY53" s="11" t="s">
        <v>217</v>
      </c>
      <c r="AZ53" s="11" t="s">
        <v>204</v>
      </c>
      <c r="BA53" s="41" t="s">
        <v>128</v>
      </c>
      <c r="BC53" s="12">
        <f>AW53+AX53</f>
        <v>0</v>
      </c>
      <c r="BD53" s="12">
        <f>H53/(100-BE53)*100</f>
        <v>0</v>
      </c>
      <c r="BE53" s="12">
        <v>0</v>
      </c>
      <c r="BF53" s="12">
        <f>53</f>
        <v>53</v>
      </c>
      <c r="BH53" s="12">
        <f>G53*AO53</f>
        <v>0</v>
      </c>
      <c r="BI53" s="12">
        <f>G53*AP53</f>
        <v>0</v>
      </c>
      <c r="BJ53" s="12">
        <f>G53*H53</f>
        <v>0</v>
      </c>
      <c r="BK53" s="12"/>
      <c r="BL53" s="12"/>
      <c r="BW53" s="12">
        <v>21</v>
      </c>
      <c r="BX53" s="57" t="s">
        <v>216</v>
      </c>
    </row>
    <row r="54" spans="1:76" x14ac:dyDescent="0.25">
      <c r="A54" s="58" t="s">
        <v>218</v>
      </c>
      <c r="B54" s="56" t="s">
        <v>18</v>
      </c>
      <c r="C54" s="56" t="s">
        <v>219</v>
      </c>
      <c r="D54" s="173" t="s">
        <v>220</v>
      </c>
      <c r="E54" s="90"/>
      <c r="F54" s="56" t="s">
        <v>163</v>
      </c>
      <c r="G54" s="53">
        <v>-101.866</v>
      </c>
      <c r="H54" s="71">
        <v>100</v>
      </c>
      <c r="I54" s="71">
        <f>ROUND(G54*H54,2)</f>
        <v>-10186.6</v>
      </c>
      <c r="J54" s="79"/>
      <c r="K54" s="54"/>
      <c r="Z54" s="12">
        <f>ROUND(IF(AQ54="5",BJ54,0),2)</f>
        <v>-10186.6</v>
      </c>
      <c r="AB54" s="12">
        <f>ROUND(IF(AQ54="1",BH54,0),2)</f>
        <v>0</v>
      </c>
      <c r="AC54" s="12">
        <f>ROUND(IF(AQ54="1",BI54,0),2)</f>
        <v>0</v>
      </c>
      <c r="AD54" s="12">
        <f>ROUND(IF(AQ54="7",BH54,0),2)</f>
        <v>0</v>
      </c>
      <c r="AE54" s="12">
        <f>ROUND(IF(AQ54="7",BI54,0),2)</f>
        <v>0</v>
      </c>
      <c r="AF54" s="12">
        <f>ROUND(IF(AQ54="2",BH54,0),2)</f>
        <v>0</v>
      </c>
      <c r="AG54" s="12">
        <f>ROUND(IF(AQ54="2",BI54,0),2)</f>
        <v>0</v>
      </c>
      <c r="AH54" s="12">
        <f>ROUND(IF(AQ54="0",BJ54,0),2)</f>
        <v>0</v>
      </c>
      <c r="AI54" s="41" t="s">
        <v>18</v>
      </c>
      <c r="AJ54" s="12">
        <f>IF(AN54=0,I54,0)</f>
        <v>0</v>
      </c>
      <c r="AK54" s="12">
        <f>IF(AN54=12,I54,0)</f>
        <v>0</v>
      </c>
      <c r="AL54" s="12">
        <f>IF(AN54=21,I54,0)</f>
        <v>-10186.6</v>
      </c>
      <c r="AN54" s="12">
        <v>21</v>
      </c>
      <c r="AO54" s="12">
        <f>H54*0</f>
        <v>0</v>
      </c>
      <c r="AP54" s="12">
        <f>H54*(1-0)</f>
        <v>100</v>
      </c>
      <c r="AQ54" s="11" t="s">
        <v>139</v>
      </c>
      <c r="AV54" s="12">
        <f>ROUND(AW54+AX54,2)</f>
        <v>-10186.6</v>
      </c>
      <c r="AW54" s="12">
        <f>ROUND(G54*AO54,2)</f>
        <v>0</v>
      </c>
      <c r="AX54" s="12">
        <f>ROUND(G54*AP54,2)</f>
        <v>-10186.6</v>
      </c>
      <c r="AY54" s="11" t="s">
        <v>217</v>
      </c>
      <c r="AZ54" s="11" t="s">
        <v>204</v>
      </c>
      <c r="BA54" s="41" t="s">
        <v>128</v>
      </c>
      <c r="BC54" s="12">
        <f>AW54+AX54</f>
        <v>-10186.6</v>
      </c>
      <c r="BD54" s="12">
        <f>H54/(100-BE54)*100</f>
        <v>100</v>
      </c>
      <c r="BE54" s="12">
        <v>0</v>
      </c>
      <c r="BF54" s="12">
        <f>54</f>
        <v>54</v>
      </c>
      <c r="BH54" s="12">
        <f>G54*AO54</f>
        <v>0</v>
      </c>
      <c r="BI54" s="12">
        <f>G54*AP54</f>
        <v>-10186.6</v>
      </c>
      <c r="BJ54" s="12">
        <f>G54*H54</f>
        <v>-10186.6</v>
      </c>
      <c r="BK54" s="12"/>
      <c r="BL54" s="12"/>
      <c r="BW54" s="12">
        <v>21</v>
      </c>
      <c r="BX54" s="57" t="s">
        <v>220</v>
      </c>
    </row>
    <row r="55" spans="1:76" x14ac:dyDescent="0.25">
      <c r="I55" s="72">
        <f>ROUND(I12+I21+I30+I37+I39+I43+I47+I52,2)</f>
        <v>-10186.6</v>
      </c>
    </row>
    <row r="56" spans="1:76" x14ac:dyDescent="0.25">
      <c r="A56" s="55" t="s">
        <v>83</v>
      </c>
    </row>
  </sheetData>
  <sheetProtection algorithmName="SHA-512" hashValue="rDOSaUmNfWOXny4HtPCUBikZXHQ30nSfkqszMIm0lQmNQgLyk6uRjKLuhiqUE8WBQcToMZAcD0MOHm4Vp0d40w==" saltValue="WGxFZ74CrLZiDQRWJ+33Qw==" spinCount="100000" sheet="1" objects="1" scenarios="1"/>
  <mergeCells count="55">
    <mergeCell ref="D52:E52"/>
    <mergeCell ref="D53:E53"/>
    <mergeCell ref="D54:E54"/>
    <mergeCell ref="D47:E47"/>
    <mergeCell ref="D48:E48"/>
    <mergeCell ref="D49:E49"/>
    <mergeCell ref="D50:E50"/>
    <mergeCell ref="D51:E51"/>
    <mergeCell ref="D42:E42"/>
    <mergeCell ref="D43:E43"/>
    <mergeCell ref="D44:E44"/>
    <mergeCell ref="D45:E45"/>
    <mergeCell ref="D46:E46"/>
    <mergeCell ref="D37:E37"/>
    <mergeCell ref="D38:E38"/>
    <mergeCell ref="D39:E39"/>
    <mergeCell ref="D40:E40"/>
    <mergeCell ref="D41:E41"/>
    <mergeCell ref="D29:E29"/>
    <mergeCell ref="D30:E30"/>
    <mergeCell ref="D31:E31"/>
    <mergeCell ref="D34:E34"/>
    <mergeCell ref="D36:E36"/>
    <mergeCell ref="D18:E18"/>
    <mergeCell ref="D19:E19"/>
    <mergeCell ref="D20:E20"/>
    <mergeCell ref="D21:E21"/>
    <mergeCell ref="D22:E22"/>
    <mergeCell ref="D11:E11"/>
    <mergeCell ref="D12:E12"/>
    <mergeCell ref="D13:E13"/>
    <mergeCell ref="D16:E16"/>
    <mergeCell ref="D17:E17"/>
    <mergeCell ref="D10:E10"/>
    <mergeCell ref="D8:E9"/>
    <mergeCell ref="H2:H3"/>
    <mergeCell ref="H4:H5"/>
    <mergeCell ref="H6:H7"/>
    <mergeCell ref="H8:H9"/>
    <mergeCell ref="I2:I3"/>
    <mergeCell ref="I4:I5"/>
    <mergeCell ref="I6:I7"/>
    <mergeCell ref="I8:I9"/>
    <mergeCell ref="D2:E3"/>
    <mergeCell ref="D4:E5"/>
    <mergeCell ref="D6:E7"/>
    <mergeCell ref="A1:G1"/>
    <mergeCell ref="A2:C3"/>
    <mergeCell ref="A4:C5"/>
    <mergeCell ref="A6:C7"/>
    <mergeCell ref="A8:C9"/>
    <mergeCell ref="F2:G3"/>
    <mergeCell ref="F4:G5"/>
    <mergeCell ref="F6:G7"/>
    <mergeCell ref="F8:G9"/>
  </mergeCells>
  <pageMargins left="0.393999993801117" right="0.393999993801117" top="0.59100002050399802" bottom="0.59100002050399802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Švrčková Lenka</cp:lastModifiedBy>
  <dcterms:created xsi:type="dcterms:W3CDTF">2021-06-10T20:06:38Z</dcterms:created>
  <dcterms:modified xsi:type="dcterms:W3CDTF">2025-04-29T07:28:29Z</dcterms:modified>
</cp:coreProperties>
</file>