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 Švrčková\! celoplošky 2025\VZ\dotazy\P01 Soupisy stavebnich praci\P01 Soupisy stavebnich praci\"/>
    </mc:Choice>
  </mc:AlternateContent>
  <xr:revisionPtr revIDLastSave="0" documentId="13_ncr:1_{44855423-0737-418A-8798-C8528C20C194}" xr6:coauthVersionLast="36" xr6:coauthVersionMax="47" xr10:uidLastSave="{00000000-0000-0000-0000-000000000000}"/>
  <bookViews>
    <workbookView xWindow="0" yWindow="0" windowWidth="21570" windowHeight="9855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</workbook>
</file>

<file path=xl/calcChain.xml><?xml version="1.0" encoding="utf-8"?>
<calcChain xmlns="http://schemas.openxmlformats.org/spreadsheetml/2006/main">
  <c r="BJ82" i="4" l="1"/>
  <c r="BF82" i="4"/>
  <c r="BD82" i="4"/>
  <c r="AP82" i="4"/>
  <c r="BI82" i="4" s="1"/>
  <c r="AO82" i="4"/>
  <c r="BH82" i="4" s="1"/>
  <c r="AK82" i="4"/>
  <c r="AJ82" i="4"/>
  <c r="AH82" i="4"/>
  <c r="AG82" i="4"/>
  <c r="AF82" i="4"/>
  <c r="AE82" i="4"/>
  <c r="AD82" i="4"/>
  <c r="AC82" i="4"/>
  <c r="AB82" i="4"/>
  <c r="Z82" i="4"/>
  <c r="I82" i="4"/>
  <c r="AL82" i="4" s="1"/>
  <c r="BJ81" i="4"/>
  <c r="Z81" i="4" s="1"/>
  <c r="BF81" i="4"/>
  <c r="BD81" i="4"/>
  <c r="AP81" i="4"/>
  <c r="BI81" i="4" s="1"/>
  <c r="AO81" i="4"/>
  <c r="BH81" i="4" s="1"/>
  <c r="AK81" i="4"/>
  <c r="AJ81" i="4"/>
  <c r="AH81" i="4"/>
  <c r="AG81" i="4"/>
  <c r="AF81" i="4"/>
  <c r="AE81" i="4"/>
  <c r="AD81" i="4"/>
  <c r="AC81" i="4"/>
  <c r="AB81" i="4"/>
  <c r="I81" i="4"/>
  <c r="AL81" i="4" s="1"/>
  <c r="BJ79" i="4"/>
  <c r="Z79" i="4" s="1"/>
  <c r="BF79" i="4"/>
  <c r="BD79" i="4"/>
  <c r="AP79" i="4"/>
  <c r="BI79" i="4" s="1"/>
  <c r="AO79" i="4"/>
  <c r="BH79" i="4" s="1"/>
  <c r="AK79" i="4"/>
  <c r="AJ79" i="4"/>
  <c r="AH79" i="4"/>
  <c r="AG79" i="4"/>
  <c r="AF79" i="4"/>
  <c r="AE79" i="4"/>
  <c r="AD79" i="4"/>
  <c r="AC79" i="4"/>
  <c r="AB79" i="4"/>
  <c r="I79" i="4"/>
  <c r="AL79" i="4" s="1"/>
  <c r="BJ76" i="4"/>
  <c r="Z76" i="4" s="1"/>
  <c r="BF76" i="4"/>
  <c r="BD76" i="4"/>
  <c r="AP76" i="4"/>
  <c r="BI76" i="4" s="1"/>
  <c r="AO76" i="4"/>
  <c r="BH76" i="4" s="1"/>
  <c r="AK76" i="4"/>
  <c r="AJ76" i="4"/>
  <c r="AS75" i="4" s="1"/>
  <c r="AH76" i="4"/>
  <c r="AG76" i="4"/>
  <c r="AF76" i="4"/>
  <c r="AE76" i="4"/>
  <c r="AD76" i="4"/>
  <c r="AC76" i="4"/>
  <c r="AB76" i="4"/>
  <c r="I76" i="4"/>
  <c r="AL76" i="4" s="1"/>
  <c r="BJ74" i="4"/>
  <c r="Z74" i="4" s="1"/>
  <c r="BF74" i="4"/>
  <c r="BD74" i="4"/>
  <c r="AP74" i="4"/>
  <c r="BI74" i="4" s="1"/>
  <c r="AO74" i="4"/>
  <c r="BH74" i="4" s="1"/>
  <c r="AK74" i="4"/>
  <c r="AJ74" i="4"/>
  <c r="AH74" i="4"/>
  <c r="AG74" i="4"/>
  <c r="AF74" i="4"/>
  <c r="AE74" i="4"/>
  <c r="AD74" i="4"/>
  <c r="AC74" i="4"/>
  <c r="AB74" i="4"/>
  <c r="I74" i="4"/>
  <c r="AL74" i="4" s="1"/>
  <c r="BJ73" i="4"/>
  <c r="BF73" i="4"/>
  <c r="BD73" i="4"/>
  <c r="AP73" i="4"/>
  <c r="BI73" i="4" s="1"/>
  <c r="AC73" i="4" s="1"/>
  <c r="AO73" i="4"/>
  <c r="BH73" i="4" s="1"/>
  <c r="AB73" i="4" s="1"/>
  <c r="AK73" i="4"/>
  <c r="AT72" i="4" s="1"/>
  <c r="AJ73" i="4"/>
  <c r="AH73" i="4"/>
  <c r="AG73" i="4"/>
  <c r="AF73" i="4"/>
  <c r="AE73" i="4"/>
  <c r="AD73" i="4"/>
  <c r="Z73" i="4"/>
  <c r="I73" i="4"/>
  <c r="AL73" i="4" s="1"/>
  <c r="BJ69" i="4"/>
  <c r="BF69" i="4"/>
  <c r="BD69" i="4"/>
  <c r="AP69" i="4"/>
  <c r="BI69" i="4" s="1"/>
  <c r="AC69" i="4" s="1"/>
  <c r="AO69" i="4"/>
  <c r="BH69" i="4" s="1"/>
  <c r="AB69" i="4" s="1"/>
  <c r="AK69" i="4"/>
  <c r="AJ69" i="4"/>
  <c r="AH69" i="4"/>
  <c r="AG69" i="4"/>
  <c r="AF69" i="4"/>
  <c r="AE69" i="4"/>
  <c r="AD69" i="4"/>
  <c r="Z69" i="4"/>
  <c r="I69" i="4"/>
  <c r="AL69" i="4" s="1"/>
  <c r="BJ68" i="4"/>
  <c r="BF68" i="4"/>
  <c r="BD68" i="4"/>
  <c r="AP68" i="4"/>
  <c r="BI68" i="4" s="1"/>
  <c r="AC68" i="4" s="1"/>
  <c r="AO68" i="4"/>
  <c r="BH68" i="4" s="1"/>
  <c r="AB68" i="4" s="1"/>
  <c r="AK68" i="4"/>
  <c r="AJ68" i="4"/>
  <c r="AH68" i="4"/>
  <c r="AG68" i="4"/>
  <c r="AF68" i="4"/>
  <c r="AE68" i="4"/>
  <c r="AD68" i="4"/>
  <c r="Z68" i="4"/>
  <c r="I68" i="4"/>
  <c r="AL68" i="4" s="1"/>
  <c r="BJ67" i="4"/>
  <c r="BF67" i="4"/>
  <c r="BD67" i="4"/>
  <c r="AP67" i="4"/>
  <c r="BI67" i="4" s="1"/>
  <c r="AC67" i="4" s="1"/>
  <c r="AO67" i="4"/>
  <c r="BH67" i="4" s="1"/>
  <c r="AB67" i="4" s="1"/>
  <c r="AK67" i="4"/>
  <c r="AJ67" i="4"/>
  <c r="AH67" i="4"/>
  <c r="AG67" i="4"/>
  <c r="AF67" i="4"/>
  <c r="AE67" i="4"/>
  <c r="AD67" i="4"/>
  <c r="Z67" i="4"/>
  <c r="I67" i="4"/>
  <c r="AL67" i="4" s="1"/>
  <c r="BJ66" i="4"/>
  <c r="BF66" i="4"/>
  <c r="BD66" i="4"/>
  <c r="AP66" i="4"/>
  <c r="BI66" i="4" s="1"/>
  <c r="AC66" i="4" s="1"/>
  <c r="AO66" i="4"/>
  <c r="BH66" i="4" s="1"/>
  <c r="AB66" i="4" s="1"/>
  <c r="AK66" i="4"/>
  <c r="AJ66" i="4"/>
  <c r="AH66" i="4"/>
  <c r="AG66" i="4"/>
  <c r="AF66" i="4"/>
  <c r="AE66" i="4"/>
  <c r="AD66" i="4"/>
  <c r="Z66" i="4"/>
  <c r="I66" i="4"/>
  <c r="BJ65" i="4"/>
  <c r="BF65" i="4"/>
  <c r="BD65" i="4"/>
  <c r="AP65" i="4"/>
  <c r="BI65" i="4" s="1"/>
  <c r="AC65" i="4" s="1"/>
  <c r="AO65" i="4"/>
  <c r="BH65" i="4" s="1"/>
  <c r="AB65" i="4" s="1"/>
  <c r="AK65" i="4"/>
  <c r="AJ65" i="4"/>
  <c r="AH65" i="4"/>
  <c r="AG65" i="4"/>
  <c r="AF65" i="4"/>
  <c r="AE65" i="4"/>
  <c r="AD65" i="4"/>
  <c r="Z65" i="4"/>
  <c r="I65" i="4"/>
  <c r="AL65" i="4" s="1"/>
  <c r="BJ63" i="4"/>
  <c r="BF63" i="4"/>
  <c r="BD63" i="4"/>
  <c r="AP63" i="4"/>
  <c r="BI63" i="4" s="1"/>
  <c r="AC63" i="4" s="1"/>
  <c r="AO63" i="4"/>
  <c r="BH63" i="4" s="1"/>
  <c r="AB63" i="4" s="1"/>
  <c r="AK63" i="4"/>
  <c r="AJ63" i="4"/>
  <c r="AH63" i="4"/>
  <c r="AG63" i="4"/>
  <c r="AF63" i="4"/>
  <c r="AE63" i="4"/>
  <c r="AD63" i="4"/>
  <c r="Z63" i="4"/>
  <c r="I63" i="4"/>
  <c r="AL63" i="4" s="1"/>
  <c r="BJ62" i="4"/>
  <c r="BF62" i="4"/>
  <c r="BD62" i="4"/>
  <c r="AP62" i="4"/>
  <c r="BI62" i="4" s="1"/>
  <c r="AC62" i="4" s="1"/>
  <c r="AO62" i="4"/>
  <c r="BH62" i="4" s="1"/>
  <c r="AB62" i="4" s="1"/>
  <c r="AK62" i="4"/>
  <c r="AJ62" i="4"/>
  <c r="AH62" i="4"/>
  <c r="AG62" i="4"/>
  <c r="AF62" i="4"/>
  <c r="AE62" i="4"/>
  <c r="AD62" i="4"/>
  <c r="Z62" i="4"/>
  <c r="I62" i="4"/>
  <c r="AL62" i="4" s="1"/>
  <c r="AS61" i="4"/>
  <c r="BJ59" i="4"/>
  <c r="BF59" i="4"/>
  <c r="BD59" i="4"/>
  <c r="AP59" i="4"/>
  <c r="BI59" i="4" s="1"/>
  <c r="AC59" i="4" s="1"/>
  <c r="AO59" i="4"/>
  <c r="BH59" i="4" s="1"/>
  <c r="AB59" i="4" s="1"/>
  <c r="AK59" i="4"/>
  <c r="AJ59" i="4"/>
  <c r="AS57" i="4" s="1"/>
  <c r="AH59" i="4"/>
  <c r="AG59" i="4"/>
  <c r="AF59" i="4"/>
  <c r="AE59" i="4"/>
  <c r="AD59" i="4"/>
  <c r="Z59" i="4"/>
  <c r="I59" i="4"/>
  <c r="BJ58" i="4"/>
  <c r="BF58" i="4"/>
  <c r="BD58" i="4"/>
  <c r="AP58" i="4"/>
  <c r="BI58" i="4" s="1"/>
  <c r="AC58" i="4" s="1"/>
  <c r="AO58" i="4"/>
  <c r="BH58" i="4" s="1"/>
  <c r="AB58" i="4" s="1"/>
  <c r="AK58" i="4"/>
  <c r="AJ58" i="4"/>
  <c r="AH58" i="4"/>
  <c r="AG58" i="4"/>
  <c r="AF58" i="4"/>
  <c r="AE58" i="4"/>
  <c r="AD58" i="4"/>
  <c r="Z58" i="4"/>
  <c r="I58" i="4"/>
  <c r="AL58" i="4" s="1"/>
  <c r="BJ56" i="4"/>
  <c r="BF56" i="4"/>
  <c r="BD56" i="4"/>
  <c r="AP56" i="4"/>
  <c r="BI56" i="4" s="1"/>
  <c r="AC56" i="4" s="1"/>
  <c r="AO56" i="4"/>
  <c r="BH56" i="4" s="1"/>
  <c r="AB56" i="4" s="1"/>
  <c r="AK56" i="4"/>
  <c r="AJ56" i="4"/>
  <c r="AH56" i="4"/>
  <c r="AG56" i="4"/>
  <c r="AF56" i="4"/>
  <c r="AE56" i="4"/>
  <c r="AD56" i="4"/>
  <c r="Z56" i="4"/>
  <c r="I56" i="4"/>
  <c r="AL56" i="4" s="1"/>
  <c r="BJ55" i="4"/>
  <c r="BF55" i="4"/>
  <c r="BD55" i="4"/>
  <c r="AP55" i="4"/>
  <c r="BI55" i="4" s="1"/>
  <c r="AC55" i="4" s="1"/>
  <c r="AO55" i="4"/>
  <c r="BH55" i="4" s="1"/>
  <c r="AB55" i="4" s="1"/>
  <c r="AK55" i="4"/>
  <c r="AJ55" i="4"/>
  <c r="AH55" i="4"/>
  <c r="AG55" i="4"/>
  <c r="AF55" i="4"/>
  <c r="AE55" i="4"/>
  <c r="AD55" i="4"/>
  <c r="Z55" i="4"/>
  <c r="I55" i="4"/>
  <c r="AL55" i="4" s="1"/>
  <c r="BJ52" i="4"/>
  <c r="BF52" i="4"/>
  <c r="BD52" i="4"/>
  <c r="AP52" i="4"/>
  <c r="BI52" i="4" s="1"/>
  <c r="AC52" i="4" s="1"/>
  <c r="AO52" i="4"/>
  <c r="BH52" i="4" s="1"/>
  <c r="AB52" i="4" s="1"/>
  <c r="AK52" i="4"/>
  <c r="AJ52" i="4"/>
  <c r="AH52" i="4"/>
  <c r="AG52" i="4"/>
  <c r="AF52" i="4"/>
  <c r="AE52" i="4"/>
  <c r="AD52" i="4"/>
  <c r="Z52" i="4"/>
  <c r="I52" i="4"/>
  <c r="BJ51" i="4"/>
  <c r="BF51" i="4"/>
  <c r="BD51" i="4"/>
  <c r="AP51" i="4"/>
  <c r="BI51" i="4" s="1"/>
  <c r="AC51" i="4" s="1"/>
  <c r="AO51" i="4"/>
  <c r="BH51" i="4" s="1"/>
  <c r="AB51" i="4" s="1"/>
  <c r="AK51" i="4"/>
  <c r="AJ51" i="4"/>
  <c r="AH51" i="4"/>
  <c r="AG51" i="4"/>
  <c r="AF51" i="4"/>
  <c r="AE51" i="4"/>
  <c r="AD51" i="4"/>
  <c r="Z51" i="4"/>
  <c r="I51" i="4"/>
  <c r="AL51" i="4" s="1"/>
  <c r="BJ49" i="4"/>
  <c r="BF49" i="4"/>
  <c r="BD49" i="4"/>
  <c r="AP49" i="4"/>
  <c r="BI49" i="4" s="1"/>
  <c r="AC49" i="4" s="1"/>
  <c r="AO49" i="4"/>
  <c r="BH49" i="4" s="1"/>
  <c r="AB49" i="4" s="1"/>
  <c r="AK49" i="4"/>
  <c r="AJ49" i="4"/>
  <c r="AS45" i="4" s="1"/>
  <c r="AH49" i="4"/>
  <c r="AG49" i="4"/>
  <c r="AF49" i="4"/>
  <c r="AE49" i="4"/>
  <c r="AD49" i="4"/>
  <c r="Z49" i="4"/>
  <c r="I49" i="4"/>
  <c r="AL49" i="4" s="1"/>
  <c r="BJ46" i="4"/>
  <c r="BF46" i="4"/>
  <c r="BD46" i="4"/>
  <c r="AP46" i="4"/>
  <c r="BI46" i="4" s="1"/>
  <c r="AC46" i="4" s="1"/>
  <c r="AO46" i="4"/>
  <c r="BH46" i="4" s="1"/>
  <c r="AB46" i="4" s="1"/>
  <c r="AK46" i="4"/>
  <c r="AJ46" i="4"/>
  <c r="AH46" i="4"/>
  <c r="AG46" i="4"/>
  <c r="AF46" i="4"/>
  <c r="AE46" i="4"/>
  <c r="AD46" i="4"/>
  <c r="Z46" i="4"/>
  <c r="I46" i="4"/>
  <c r="AL46" i="4" s="1"/>
  <c r="BJ44" i="4"/>
  <c r="BF44" i="4"/>
  <c r="BD44" i="4"/>
  <c r="AP44" i="4"/>
  <c r="BI44" i="4" s="1"/>
  <c r="AC44" i="4" s="1"/>
  <c r="AO44" i="4"/>
  <c r="BH44" i="4" s="1"/>
  <c r="AB44" i="4" s="1"/>
  <c r="AK44" i="4"/>
  <c r="AT43" i="4" s="1"/>
  <c r="AJ44" i="4"/>
  <c r="AS43" i="4" s="1"/>
  <c r="AH44" i="4"/>
  <c r="AG44" i="4"/>
  <c r="AF44" i="4"/>
  <c r="AE44" i="4"/>
  <c r="AD44" i="4"/>
  <c r="Z44" i="4"/>
  <c r="I44" i="4"/>
  <c r="AL44" i="4" s="1"/>
  <c r="AU43" i="4" s="1"/>
  <c r="BJ42" i="4"/>
  <c r="BF42" i="4"/>
  <c r="BD42" i="4"/>
  <c r="AP42" i="4"/>
  <c r="BI42" i="4" s="1"/>
  <c r="AC42" i="4" s="1"/>
  <c r="AO42" i="4"/>
  <c r="BH42" i="4" s="1"/>
  <c r="AB42" i="4" s="1"/>
  <c r="AK42" i="4"/>
  <c r="AT41" i="4" s="1"/>
  <c r="AJ42" i="4"/>
  <c r="AH42" i="4"/>
  <c r="AG42" i="4"/>
  <c r="AF42" i="4"/>
  <c r="AE42" i="4"/>
  <c r="AD42" i="4"/>
  <c r="Z42" i="4"/>
  <c r="I42" i="4"/>
  <c r="AL42" i="4" s="1"/>
  <c r="AU41" i="4" s="1"/>
  <c r="AS41" i="4"/>
  <c r="I41" i="4"/>
  <c r="G16" i="1" s="1"/>
  <c r="I16" i="1" s="1"/>
  <c r="BJ40" i="4"/>
  <c r="BF40" i="4"/>
  <c r="BD40" i="4"/>
  <c r="AP40" i="4"/>
  <c r="BI40" i="4" s="1"/>
  <c r="AC40" i="4" s="1"/>
  <c r="AO40" i="4"/>
  <c r="BH40" i="4" s="1"/>
  <c r="AB40" i="4" s="1"/>
  <c r="AK40" i="4"/>
  <c r="AT39" i="4" s="1"/>
  <c r="AJ40" i="4"/>
  <c r="AS39" i="4" s="1"/>
  <c r="AH40" i="4"/>
  <c r="AG40" i="4"/>
  <c r="AF40" i="4"/>
  <c r="AE40" i="4"/>
  <c r="AD40" i="4"/>
  <c r="Z40" i="4"/>
  <c r="I40" i="4"/>
  <c r="AL40" i="4" s="1"/>
  <c r="AU39" i="4" s="1"/>
  <c r="I39" i="4"/>
  <c r="G15" i="1" s="1"/>
  <c r="I15" i="1" s="1"/>
  <c r="BJ37" i="4"/>
  <c r="BF37" i="4"/>
  <c r="BD37" i="4"/>
  <c r="AP37" i="4"/>
  <c r="BI37" i="4" s="1"/>
  <c r="AC37" i="4" s="1"/>
  <c r="AO37" i="4"/>
  <c r="BH37" i="4" s="1"/>
  <c r="AB37" i="4" s="1"/>
  <c r="AK37" i="4"/>
  <c r="AJ37" i="4"/>
  <c r="AH37" i="4"/>
  <c r="AG37" i="4"/>
  <c r="AF37" i="4"/>
  <c r="AE37" i="4"/>
  <c r="AD37" i="4"/>
  <c r="Z37" i="4"/>
  <c r="I37" i="4"/>
  <c r="AL37" i="4" s="1"/>
  <c r="BJ36" i="4"/>
  <c r="BF36" i="4"/>
  <c r="BD36" i="4"/>
  <c r="AP36" i="4"/>
  <c r="BI36" i="4" s="1"/>
  <c r="AC36" i="4" s="1"/>
  <c r="AO36" i="4"/>
  <c r="BH36" i="4" s="1"/>
  <c r="AB36" i="4" s="1"/>
  <c r="AK36" i="4"/>
  <c r="AJ36" i="4"/>
  <c r="AH36" i="4"/>
  <c r="AG36" i="4"/>
  <c r="AF36" i="4"/>
  <c r="AE36" i="4"/>
  <c r="AD36" i="4"/>
  <c r="Z36" i="4"/>
  <c r="I36" i="4"/>
  <c r="AL36" i="4" s="1"/>
  <c r="BJ33" i="4"/>
  <c r="BF33" i="4"/>
  <c r="BD33" i="4"/>
  <c r="AP33" i="4"/>
  <c r="BI33" i="4" s="1"/>
  <c r="AC33" i="4" s="1"/>
  <c r="AO33" i="4"/>
  <c r="BH33" i="4" s="1"/>
  <c r="AB33" i="4" s="1"/>
  <c r="AK33" i="4"/>
  <c r="AJ33" i="4"/>
  <c r="AH33" i="4"/>
  <c r="AG33" i="4"/>
  <c r="AF33" i="4"/>
  <c r="AE33" i="4"/>
  <c r="AD33" i="4"/>
  <c r="Z33" i="4"/>
  <c r="I33" i="4"/>
  <c r="AL33" i="4" s="1"/>
  <c r="BJ30" i="4"/>
  <c r="BF30" i="4"/>
  <c r="BD30" i="4"/>
  <c r="AP30" i="4"/>
  <c r="BI30" i="4" s="1"/>
  <c r="AC30" i="4" s="1"/>
  <c r="AO30" i="4"/>
  <c r="BH30" i="4" s="1"/>
  <c r="AK30" i="4"/>
  <c r="AJ30" i="4"/>
  <c r="AH30" i="4"/>
  <c r="AG30" i="4"/>
  <c r="AF30" i="4"/>
  <c r="AE30" i="4"/>
  <c r="AD30" i="4"/>
  <c r="AB30" i="4"/>
  <c r="Z30" i="4"/>
  <c r="I30" i="4"/>
  <c r="AL30" i="4" s="1"/>
  <c r="BJ27" i="4"/>
  <c r="BF27" i="4"/>
  <c r="BD27" i="4"/>
  <c r="AP27" i="4"/>
  <c r="AX27" i="4" s="1"/>
  <c r="AO27" i="4"/>
  <c r="BH27" i="4" s="1"/>
  <c r="AB27" i="4" s="1"/>
  <c r="AK27" i="4"/>
  <c r="AJ27" i="4"/>
  <c r="AH27" i="4"/>
  <c r="AG27" i="4"/>
  <c r="AF27" i="4"/>
  <c r="AE27" i="4"/>
  <c r="AD27" i="4"/>
  <c r="Z27" i="4"/>
  <c r="I27" i="4"/>
  <c r="AL27" i="4" s="1"/>
  <c r="BJ25" i="4"/>
  <c r="BF25" i="4"/>
  <c r="BD25" i="4"/>
  <c r="AP25" i="4"/>
  <c r="BI25" i="4" s="1"/>
  <c r="AC25" i="4" s="1"/>
  <c r="AO25" i="4"/>
  <c r="AW25" i="4" s="1"/>
  <c r="AK25" i="4"/>
  <c r="AJ25" i="4"/>
  <c r="AH25" i="4"/>
  <c r="AG25" i="4"/>
  <c r="AF25" i="4"/>
  <c r="AE25" i="4"/>
  <c r="AD25" i="4"/>
  <c r="Z25" i="4"/>
  <c r="I25" i="4"/>
  <c r="AL25" i="4" s="1"/>
  <c r="BJ23" i="4"/>
  <c r="BF23" i="4"/>
  <c r="BD23" i="4"/>
  <c r="AW23" i="4"/>
  <c r="AP23" i="4"/>
  <c r="AX23" i="4" s="1"/>
  <c r="AO23" i="4"/>
  <c r="BH23" i="4" s="1"/>
  <c r="AB23" i="4" s="1"/>
  <c r="AK23" i="4"/>
  <c r="AJ23" i="4"/>
  <c r="AH23" i="4"/>
  <c r="AG23" i="4"/>
  <c r="AF23" i="4"/>
  <c r="AE23" i="4"/>
  <c r="AD23" i="4"/>
  <c r="Z23" i="4"/>
  <c r="I23" i="4"/>
  <c r="AL23" i="4" s="1"/>
  <c r="BJ20" i="4"/>
  <c r="BF20" i="4"/>
  <c r="BD20" i="4"/>
  <c r="AP20" i="4"/>
  <c r="BI20" i="4" s="1"/>
  <c r="AC20" i="4" s="1"/>
  <c r="AO20" i="4"/>
  <c r="AW20" i="4" s="1"/>
  <c r="AK20" i="4"/>
  <c r="AJ20" i="4"/>
  <c r="AH20" i="4"/>
  <c r="AG20" i="4"/>
  <c r="AF20" i="4"/>
  <c r="AE20" i="4"/>
  <c r="AD20" i="4"/>
  <c r="Z20" i="4"/>
  <c r="I20" i="4"/>
  <c r="AL20" i="4" s="1"/>
  <c r="BJ18" i="4"/>
  <c r="BF18" i="4"/>
  <c r="BD18" i="4"/>
  <c r="AP18" i="4"/>
  <c r="AX18" i="4" s="1"/>
  <c r="AO18" i="4"/>
  <c r="BH18" i="4" s="1"/>
  <c r="AB18" i="4" s="1"/>
  <c r="AK18" i="4"/>
  <c r="AJ18" i="4"/>
  <c r="AH18" i="4"/>
  <c r="AG18" i="4"/>
  <c r="AF18" i="4"/>
  <c r="AE18" i="4"/>
  <c r="AD18" i="4"/>
  <c r="Z18" i="4"/>
  <c r="I18" i="4"/>
  <c r="AL18" i="4" s="1"/>
  <c r="BJ17" i="4"/>
  <c r="BF17" i="4"/>
  <c r="BD17" i="4"/>
  <c r="AP17" i="4"/>
  <c r="BI17" i="4" s="1"/>
  <c r="AC17" i="4" s="1"/>
  <c r="AO17" i="4"/>
  <c r="BH17" i="4" s="1"/>
  <c r="AB17" i="4" s="1"/>
  <c r="AK17" i="4"/>
  <c r="AJ17" i="4"/>
  <c r="AH17" i="4"/>
  <c r="AG17" i="4"/>
  <c r="AF17" i="4"/>
  <c r="AE17" i="4"/>
  <c r="AD17" i="4"/>
  <c r="Z17" i="4"/>
  <c r="I17" i="4"/>
  <c r="AL17" i="4" s="1"/>
  <c r="BJ16" i="4"/>
  <c r="BF16" i="4"/>
  <c r="BD16" i="4"/>
  <c r="AP16" i="4"/>
  <c r="BI16" i="4" s="1"/>
  <c r="AC16" i="4" s="1"/>
  <c r="AO16" i="4"/>
  <c r="BH16" i="4" s="1"/>
  <c r="AB16" i="4" s="1"/>
  <c r="AK16" i="4"/>
  <c r="AJ16" i="4"/>
  <c r="AH16" i="4"/>
  <c r="AG16" i="4"/>
  <c r="AF16" i="4"/>
  <c r="AE16" i="4"/>
  <c r="AD16" i="4"/>
  <c r="Z16" i="4"/>
  <c r="I16" i="4"/>
  <c r="AL16" i="4" s="1"/>
  <c r="BJ15" i="4"/>
  <c r="BF15" i="4"/>
  <c r="BD15" i="4"/>
  <c r="AP15" i="4"/>
  <c r="BI15" i="4" s="1"/>
  <c r="AC15" i="4" s="1"/>
  <c r="AO15" i="4"/>
  <c r="BH15" i="4" s="1"/>
  <c r="AB15" i="4" s="1"/>
  <c r="AK15" i="4"/>
  <c r="AJ15" i="4"/>
  <c r="AH15" i="4"/>
  <c r="AG15" i="4"/>
  <c r="AF15" i="4"/>
  <c r="AE15" i="4"/>
  <c r="AD15" i="4"/>
  <c r="Z15" i="4"/>
  <c r="I15" i="4"/>
  <c r="AL15" i="4" s="1"/>
  <c r="BJ14" i="4"/>
  <c r="BF14" i="4"/>
  <c r="BD14" i="4"/>
  <c r="AP14" i="4"/>
  <c r="AX14" i="4" s="1"/>
  <c r="AO14" i="4"/>
  <c r="BH14" i="4" s="1"/>
  <c r="AB14" i="4" s="1"/>
  <c r="AK14" i="4"/>
  <c r="AJ14" i="4"/>
  <c r="AH14" i="4"/>
  <c r="AG14" i="4"/>
  <c r="AF14" i="4"/>
  <c r="AE14" i="4"/>
  <c r="AD14" i="4"/>
  <c r="Z14" i="4"/>
  <c r="I14" i="4"/>
  <c r="AL14" i="4" s="1"/>
  <c r="BJ13" i="4"/>
  <c r="BF13" i="4"/>
  <c r="BD13" i="4"/>
  <c r="AP13" i="4"/>
  <c r="BI13" i="4" s="1"/>
  <c r="AC13" i="4" s="1"/>
  <c r="AO13" i="4"/>
  <c r="AW13" i="4" s="1"/>
  <c r="AK13" i="4"/>
  <c r="AJ13" i="4"/>
  <c r="AH13" i="4"/>
  <c r="AG13" i="4"/>
  <c r="AF13" i="4"/>
  <c r="AE13" i="4"/>
  <c r="AD13" i="4"/>
  <c r="Z13" i="4"/>
  <c r="I13" i="4"/>
  <c r="AL13" i="4" s="1"/>
  <c r="AU1" i="4"/>
  <c r="AT1" i="4"/>
  <c r="AS1" i="4"/>
  <c r="I35" i="3"/>
  <c r="I36" i="3" s="1"/>
  <c r="I24" i="2" s="1"/>
  <c r="I26" i="3"/>
  <c r="I19" i="2" s="1"/>
  <c r="I25" i="3"/>
  <c r="I18" i="2" s="1"/>
  <c r="I24" i="3"/>
  <c r="I17" i="2" s="1"/>
  <c r="I23" i="3"/>
  <c r="I16" i="2" s="1"/>
  <c r="I22" i="3"/>
  <c r="I21" i="3"/>
  <c r="I14" i="2" s="1"/>
  <c r="I17" i="3"/>
  <c r="F16" i="2" s="1"/>
  <c r="I16" i="3"/>
  <c r="I15" i="3"/>
  <c r="I10" i="3"/>
  <c r="F10" i="3"/>
  <c r="C10" i="3"/>
  <c r="F8" i="3"/>
  <c r="C8" i="3"/>
  <c r="F6" i="3"/>
  <c r="C6" i="3"/>
  <c r="F4" i="3"/>
  <c r="C4" i="3"/>
  <c r="F2" i="3"/>
  <c r="C2" i="3"/>
  <c r="F15" i="2"/>
  <c r="F14" i="2"/>
  <c r="I10" i="2"/>
  <c r="C10" i="2"/>
  <c r="F8" i="2"/>
  <c r="F6" i="2"/>
  <c r="C6" i="2"/>
  <c r="F4" i="2"/>
  <c r="C4" i="2"/>
  <c r="F2" i="2"/>
  <c r="C2" i="2"/>
  <c r="G8" i="1"/>
  <c r="G6" i="1"/>
  <c r="C6" i="1"/>
  <c r="G4" i="1"/>
  <c r="C4" i="1"/>
  <c r="G2" i="1"/>
  <c r="C2" i="1"/>
  <c r="AT19" i="4" l="1"/>
  <c r="AX25" i="4"/>
  <c r="AS50" i="4"/>
  <c r="AS64" i="4"/>
  <c r="I18" i="3"/>
  <c r="AU75" i="4"/>
  <c r="AV23" i="4"/>
  <c r="AX52" i="4"/>
  <c r="AT75" i="4"/>
  <c r="AX49" i="4"/>
  <c r="AX36" i="4"/>
  <c r="AX44" i="4"/>
  <c r="C21" i="2"/>
  <c r="AU35" i="4"/>
  <c r="AT29" i="4"/>
  <c r="AX76" i="4"/>
  <c r="AS72" i="4"/>
  <c r="I75" i="4"/>
  <c r="G24" i="1" s="1"/>
  <c r="I24" i="1" s="1"/>
  <c r="AT35" i="4"/>
  <c r="AX13" i="4"/>
  <c r="AV13" i="4" s="1"/>
  <c r="AW27" i="4"/>
  <c r="BC27" i="4" s="1"/>
  <c r="AU72" i="4"/>
  <c r="I12" i="4"/>
  <c r="G11" i="1" s="1"/>
  <c r="I11" i="1" s="1"/>
  <c r="AT12" i="4"/>
  <c r="I57" i="4"/>
  <c r="G20" i="1" s="1"/>
  <c r="I20" i="1" s="1"/>
  <c r="AT57" i="4"/>
  <c r="AU61" i="4"/>
  <c r="AT61" i="4"/>
  <c r="I64" i="4"/>
  <c r="G22" i="1" s="1"/>
  <c r="I22" i="1" s="1"/>
  <c r="AT64" i="4"/>
  <c r="AU45" i="4"/>
  <c r="AT50" i="4"/>
  <c r="AX68" i="4"/>
  <c r="AW69" i="4"/>
  <c r="C16" i="2"/>
  <c r="C17" i="2"/>
  <c r="C19" i="2"/>
  <c r="AX16" i="4"/>
  <c r="BI18" i="4"/>
  <c r="AC18" i="4" s="1"/>
  <c r="AW33" i="4"/>
  <c r="AX56" i="4"/>
  <c r="AX59" i="4"/>
  <c r="AX63" i="4"/>
  <c r="AX66" i="4"/>
  <c r="AW67" i="4"/>
  <c r="BC67" i="4" s="1"/>
  <c r="AX73" i="4"/>
  <c r="AW79" i="4"/>
  <c r="AX81" i="4"/>
  <c r="AW82" i="4"/>
  <c r="BC82" i="4" s="1"/>
  <c r="AT45" i="4"/>
  <c r="AW15" i="4"/>
  <c r="AW16" i="4"/>
  <c r="AV16" i="4" s="1"/>
  <c r="AX17" i="4"/>
  <c r="AX30" i="4"/>
  <c r="C18" i="2"/>
  <c r="AW62" i="4"/>
  <c r="AS19" i="4"/>
  <c r="AW46" i="4"/>
  <c r="AV46" i="4" s="1"/>
  <c r="AW51" i="4"/>
  <c r="AW74" i="4"/>
  <c r="I50" i="4"/>
  <c r="G19" i="1" s="1"/>
  <c r="I19" i="1" s="1"/>
  <c r="AW42" i="4"/>
  <c r="BI23" i="4"/>
  <c r="AC23" i="4" s="1"/>
  <c r="AW37" i="4"/>
  <c r="AW55" i="4"/>
  <c r="AW58" i="4"/>
  <c r="AW65" i="4"/>
  <c r="I27" i="3"/>
  <c r="AS29" i="4"/>
  <c r="AX40" i="4"/>
  <c r="I43" i="4"/>
  <c r="G17" i="1" s="1"/>
  <c r="I17" i="1" s="1"/>
  <c r="I72" i="4"/>
  <c r="G23" i="1" s="1"/>
  <c r="I23" i="1" s="1"/>
  <c r="F22" i="2"/>
  <c r="C20" i="2"/>
  <c r="AS12" i="4"/>
  <c r="BC25" i="4"/>
  <c r="I35" i="4"/>
  <c r="G14" i="1" s="1"/>
  <c r="I14" i="1" s="1"/>
  <c r="AS35" i="4"/>
  <c r="AU12" i="4"/>
  <c r="BH13" i="4"/>
  <c r="AB13" i="4" s="1"/>
  <c r="BI14" i="4"/>
  <c r="AC14" i="4" s="1"/>
  <c r="C15" i="2" s="1"/>
  <c r="I15" i="2"/>
  <c r="I22" i="2" s="1"/>
  <c r="C27" i="2"/>
  <c r="AU19" i="4"/>
  <c r="BI27" i="4"/>
  <c r="AC27" i="4" s="1"/>
  <c r="C28" i="2"/>
  <c r="F28" i="2" s="1"/>
  <c r="AW14" i="4"/>
  <c r="AX15" i="4"/>
  <c r="AV15" i="4" s="1"/>
  <c r="BC16" i="4"/>
  <c r="AW18" i="4"/>
  <c r="I19" i="4"/>
  <c r="G12" i="1" s="1"/>
  <c r="I12" i="1" s="1"/>
  <c r="AX20" i="4"/>
  <c r="AV20" i="4" s="1"/>
  <c r="BH20" i="4"/>
  <c r="AB20" i="4" s="1"/>
  <c r="AV25" i="4"/>
  <c r="BH25" i="4"/>
  <c r="AB25" i="4" s="1"/>
  <c r="BC23" i="4"/>
  <c r="AU29" i="4"/>
  <c r="AW17" i="4"/>
  <c r="I29" i="4"/>
  <c r="G13" i="1" s="1"/>
  <c r="I13" i="1" s="1"/>
  <c r="AW36" i="4"/>
  <c r="AX37" i="4"/>
  <c r="BC37" i="4" s="1"/>
  <c r="AW44" i="4"/>
  <c r="I45" i="4"/>
  <c r="G18" i="1" s="1"/>
  <c r="I18" i="1" s="1"/>
  <c r="AX46" i="4"/>
  <c r="AL52" i="4"/>
  <c r="AU50" i="4" s="1"/>
  <c r="AW52" i="4"/>
  <c r="AX55" i="4"/>
  <c r="AV55" i="4" s="1"/>
  <c r="AL59" i="4"/>
  <c r="AU57" i="4" s="1"/>
  <c r="AW59" i="4"/>
  <c r="I61" i="4"/>
  <c r="G21" i="1" s="1"/>
  <c r="I21" i="1" s="1"/>
  <c r="AX62" i="4"/>
  <c r="BC62" i="4" s="1"/>
  <c r="AL66" i="4"/>
  <c r="AU64" i="4" s="1"/>
  <c r="AW66" i="4"/>
  <c r="AX67" i="4"/>
  <c r="AW73" i="4"/>
  <c r="AX74" i="4"/>
  <c r="AW81" i="4"/>
  <c r="AX82" i="4"/>
  <c r="AW30" i="4"/>
  <c r="AX33" i="4"/>
  <c r="AW40" i="4"/>
  <c r="AX42" i="4"/>
  <c r="AV42" i="4" s="1"/>
  <c r="AW49" i="4"/>
  <c r="AX51" i="4"/>
  <c r="AW56" i="4"/>
  <c r="AX58" i="4"/>
  <c r="AW63" i="4"/>
  <c r="AX65" i="4"/>
  <c r="AW68" i="4"/>
  <c r="AX69" i="4"/>
  <c r="AW76" i="4"/>
  <c r="AX79" i="4"/>
  <c r="AV82" i="4" l="1"/>
  <c r="BC42" i="4"/>
  <c r="C29" i="2"/>
  <c r="F29" i="2" s="1"/>
  <c r="BC79" i="4"/>
  <c r="AV33" i="4"/>
  <c r="AV58" i="4"/>
  <c r="F29" i="3"/>
  <c r="AV65" i="4"/>
  <c r="BC13" i="4"/>
  <c r="AV62" i="4"/>
  <c r="BC69" i="4"/>
  <c r="AV27" i="4"/>
  <c r="BC74" i="4"/>
  <c r="BC65" i="4"/>
  <c r="AV67" i="4"/>
  <c r="BC51" i="4"/>
  <c r="BC55" i="4"/>
  <c r="BC46" i="4"/>
  <c r="BC33" i="4"/>
  <c r="G25" i="1"/>
  <c r="AV49" i="4"/>
  <c r="BC49" i="4"/>
  <c r="I28" i="2"/>
  <c r="I29" i="2" s="1"/>
  <c r="BC58" i="4"/>
  <c r="C14" i="2"/>
  <c r="C22" i="2" s="1"/>
  <c r="BC15" i="4"/>
  <c r="AV76" i="4"/>
  <c r="BC76" i="4"/>
  <c r="BC30" i="4"/>
  <c r="AV30" i="4"/>
  <c r="AV59" i="4"/>
  <c r="BC59" i="4"/>
  <c r="AV36" i="4"/>
  <c r="BC36" i="4"/>
  <c r="AV74" i="4"/>
  <c r="AV73" i="4"/>
  <c r="BC73" i="4"/>
  <c r="AV44" i="4"/>
  <c r="BC44" i="4"/>
  <c r="AV79" i="4"/>
  <c r="AV68" i="4"/>
  <c r="BC68" i="4"/>
  <c r="AV56" i="4"/>
  <c r="BC56" i="4"/>
  <c r="AV40" i="4"/>
  <c r="BC40" i="4"/>
  <c r="AV51" i="4"/>
  <c r="BC17" i="4"/>
  <c r="AV17" i="4"/>
  <c r="BC14" i="4"/>
  <c r="AV14" i="4"/>
  <c r="I84" i="4"/>
  <c r="AV63" i="4"/>
  <c r="BC63" i="4"/>
  <c r="AV52" i="4"/>
  <c r="BC52" i="4"/>
  <c r="AV81" i="4"/>
  <c r="BC81" i="4"/>
  <c r="AV66" i="4"/>
  <c r="BC66" i="4"/>
  <c r="AV69" i="4"/>
  <c r="AV18" i="4"/>
  <c r="BC18" i="4"/>
  <c r="AV37" i="4"/>
  <c r="BC20" i="4"/>
</calcChain>
</file>

<file path=xl/sharedStrings.xml><?xml version="1.0" encoding="utf-8"?>
<sst xmlns="http://schemas.openxmlformats.org/spreadsheetml/2006/main" count="879" uniqueCount="294">
  <si>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</si>
  <si>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</si>
  <si>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</si>
  <si>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</si>
  <si>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</si>
  <si>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</si>
  <si>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</si>
  <si>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06.12.2024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</si>
  <si>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</si>
  <si>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</si>
  <si>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</si>
  <si>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</si>
  <si>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</si>
  <si>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</si>
  <si>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</si>
  <si>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</si>
  <si>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</si>
  <si>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</si>
  <si>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/>
  </si>
  <si>
    <t>0</t>
  </si>
  <si>
    <t>Všeobecné konstrukce a práce</t>
  </si>
  <si>
    <t>T</t>
  </si>
  <si>
    <t>11</t>
  </si>
  <si>
    <t>Přípravné a přidružené práce</t>
  </si>
  <si>
    <t>13</t>
  </si>
  <si>
    <t>Hloubené vykopávky</t>
  </si>
  <si>
    <t>16</t>
  </si>
  <si>
    <t>Přemístění výkopku</t>
  </si>
  <si>
    <t>18</t>
  </si>
  <si>
    <t>Povrchové úpravy terénu</t>
  </si>
  <si>
    <t>19</t>
  </si>
  <si>
    <t>Hloubení pro podzemní stěny, ražení a hloubení důlní</t>
  </si>
  <si>
    <t>45</t>
  </si>
  <si>
    <t>Podkladní a vedlejší konstrukce (kromě vozovek a železničního svršku)</t>
  </si>
  <si>
    <t>56</t>
  </si>
  <si>
    <t>Podkladní vrstvy komunikací, letišť a ploch</t>
  </si>
  <si>
    <t>57</t>
  </si>
  <si>
    <t>Kryty pozemních komunikací, letišť a ploch z kameniva nebo živičné</t>
  </si>
  <si>
    <t>59</t>
  </si>
  <si>
    <t>Kryty pozemních komunikací, letišť a ploch dlážděných (předlažby)</t>
  </si>
  <si>
    <t>89</t>
  </si>
  <si>
    <t>Ostatní konstrukce a práce na trubním vedení</t>
  </si>
  <si>
    <t>91</t>
  </si>
  <si>
    <t>Doplňující konstrukce a práce na pozemních komunikacích a zpevněných plochách</t>
  </si>
  <si>
    <t>97</t>
  </si>
  <si>
    <t>Prorážení otvorů a ostatní bourací práce</t>
  </si>
  <si>
    <t>S</t>
  </si>
  <si>
    <t>Přesuny sutí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</si>
  <si>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</si>
  <si>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</si>
  <si>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</si>
  <si>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</si>
  <si>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</si>
  <si>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</si>
  <si>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</si>
  <si>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</si>
  <si>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</si>
  <si>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</si>
  <si>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</si>
  <si>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</si>
  <si>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</si>
  <si>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</si>
  <si>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</si>
  <si>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</si>
  <si>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</si>
  <si>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</si>
  <si>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</si>
  <si>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</si>
  <si>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</si>
  <si>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</si>
  <si>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</si>
  <si>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</si>
  <si>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</si>
  <si>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</si>
  <si>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</si>
  <si>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</si>
  <si>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</si>
  <si>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</si>
  <si>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</si>
  <si>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</si>
  <si>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</si>
  <si>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</si>
  <si>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</si>
  <si>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</si>
  <si>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</si>
  <si>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</si>
  <si>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</si>
  <si>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</si>
  <si>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</si>
  <si>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</si>
  <si>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</si>
  <si>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</si>
  <si>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</si>
  <si>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</si>
  <si>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</si>
  <si>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</si>
  <si>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</si>
  <si>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</si>
  <si>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</si>
  <si>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</si>
  <si>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</si>
  <si>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</si>
  <si>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</si>
  <si>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</si>
  <si>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</si>
  <si>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</si>
  <si>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</si>
  <si>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</si>
  <si>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</si>
  <si>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24169 Bruntál, ul. Uhlířská, - 128,5bm od ul. Zeyerova, oprava povrchu</t>
  </si>
  <si>
    <t> </t>
  </si>
  <si>
    <t>Č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</si>
  <si>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</si>
  <si>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</si>
  <si>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</si>
  <si>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</si>
  <si>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</si>
  <si>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</si>
  <si>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</si>
  <si>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</si>
  <si>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</si>
  <si>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</si>
  <si>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</si>
  <si>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</si>
  <si>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</si>
  <si>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</si>
  <si>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</si>
  <si>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</si>
  <si>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</si>
  <si>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</si>
  <si>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</si>
  <si>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</si>
  <si>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</si>
  <si>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</si>
  <si>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</si>
  <si>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00126111VD</t>
  </si>
  <si>
    <t>kpl</t>
  </si>
  <si>
    <t>0_</t>
  </si>
  <si>
    <t>_</t>
  </si>
  <si>
    <t>2</t>
  </si>
  <si>
    <t>123118VD</t>
  </si>
  <si>
    <t>Geodetické práce</t>
  </si>
  <si>
    <t>3</t>
  </si>
  <si>
    <t>123119VD</t>
  </si>
  <si>
    <t>Fotodokumentace</t>
  </si>
  <si>
    <t>4</t>
  </si>
  <si>
    <t>123126VD</t>
  </si>
  <si>
    <t>Provozní vlivy - rušení postupu výstavby vnějšími vlivy</t>
  </si>
  <si>
    <t>5</t>
  </si>
  <si>
    <t>123140VD</t>
  </si>
  <si>
    <t>Čistění komunikací po dobu výstavby</t>
  </si>
  <si>
    <t>6</t>
  </si>
  <si>
    <t>123171VD</t>
  </si>
  <si>
    <t>Přechodné dopravní značení</t>
  </si>
  <si>
    <t>7</t>
  </si>
  <si>
    <t>113151314R00</t>
  </si>
  <si>
    <t>Fréz.živič.krytu nad 500 m2, s překážkami, tl.5 cm</t>
  </si>
  <si>
    <t>m2</t>
  </si>
  <si>
    <t>11_</t>
  </si>
  <si>
    <t>1_</t>
  </si>
  <si>
    <t>128,5*7,1</t>
  </si>
  <si>
    <t>8,3*4,5/2*2</t>
  </si>
  <si>
    <t>8</t>
  </si>
  <si>
    <t>113106222R00</t>
  </si>
  <si>
    <t>Rozebrání dlažeb z drobných kostek v betonu</t>
  </si>
  <si>
    <t>3,0*1,7*2</t>
  </si>
  <si>
    <t>9</t>
  </si>
  <si>
    <t>113202111R00</t>
  </si>
  <si>
    <t>Vytrhání obrub obrubníků silničních</t>
  </si>
  <si>
    <t>m</t>
  </si>
  <si>
    <t>33,0+32,0</t>
  </si>
  <si>
    <t>10</t>
  </si>
  <si>
    <t>113108305R00</t>
  </si>
  <si>
    <t>Odstranění asfaltové vrstvy pl.do 50 m2, tl. 5 cm</t>
  </si>
  <si>
    <t>3,0*1,70*2</t>
  </si>
  <si>
    <t>132301110R00</t>
  </si>
  <si>
    <t>Hloubení rýh š.do 60 cm v hor.4 do 50 m3,STROJNĚ</t>
  </si>
  <si>
    <t>m3</t>
  </si>
  <si>
    <t>13_</t>
  </si>
  <si>
    <t>pro obruby</t>
  </si>
  <si>
    <t>65,0*0,4*0,3</t>
  </si>
  <si>
    <t>12</t>
  </si>
  <si>
    <t>132301119R00</t>
  </si>
  <si>
    <t>Přípl.za lepivost,hloubení rýh 60 cm,hor.4,STROJNĚ</t>
  </si>
  <si>
    <t>7,8*0,5</t>
  </si>
  <si>
    <t>162701105R00</t>
  </si>
  <si>
    <t>Vodorovné přemístění výkopku z hor.1-4 do 10000 m</t>
  </si>
  <si>
    <t>16_</t>
  </si>
  <si>
    <t>14</t>
  </si>
  <si>
    <t>162701109R00</t>
  </si>
  <si>
    <t>Příplatek k vod. přemístění hor.1-4 za další 1 km</t>
  </si>
  <si>
    <t>7,8*6</t>
  </si>
  <si>
    <t>15</t>
  </si>
  <si>
    <t>180400020RA0</t>
  </si>
  <si>
    <t>Založení trávníku parkového v rovině s dodáním osiva</t>
  </si>
  <si>
    <t>18_</t>
  </si>
  <si>
    <t>199000002R00</t>
  </si>
  <si>
    <t>Poplatek za skládku horniny 1- 4, č. dle katal. odpadů 17 05 04</t>
  </si>
  <si>
    <t>19_</t>
  </si>
  <si>
    <t>17</t>
  </si>
  <si>
    <t>451311811R00</t>
  </si>
  <si>
    <t>Podklad pod dlažbu z betonu C 25/30 XA1,do 10 cm</t>
  </si>
  <si>
    <t>45_</t>
  </si>
  <si>
    <t>4_</t>
  </si>
  <si>
    <t>569903321R00</t>
  </si>
  <si>
    <t>Zřízení zemních krajnic bez zhutnění</t>
  </si>
  <si>
    <t>56_</t>
  </si>
  <si>
    <t>5_</t>
  </si>
  <si>
    <t>za obrubou</t>
  </si>
  <si>
    <t>65,0*0,3*0,2</t>
  </si>
  <si>
    <t>10364200VD</t>
  </si>
  <si>
    <t>Ornice pro pozemkové úpravy</t>
  </si>
  <si>
    <t>20</t>
  </si>
  <si>
    <t>572713112R00</t>
  </si>
  <si>
    <t>Vyrovnání povrchu krytů kamen. obaleným asfaltem</t>
  </si>
  <si>
    <t>t</t>
  </si>
  <si>
    <t>57_</t>
  </si>
  <si>
    <t>21</t>
  </si>
  <si>
    <t>572751111R00</t>
  </si>
  <si>
    <t>Vyspravení výtluků krytů asf.betonem,1 km do 10 t</t>
  </si>
  <si>
    <t>u obrub</t>
  </si>
  <si>
    <t>5,0</t>
  </si>
  <si>
    <t>22</t>
  </si>
  <si>
    <t>573231125R00</t>
  </si>
  <si>
    <t>Postřik spojovací z KAE, množství zbytkového asfaltu 0,5 kg/m2</t>
  </si>
  <si>
    <t>23</t>
  </si>
  <si>
    <t>577141312R00</t>
  </si>
  <si>
    <t>Beton asfalt. ACO 8 CH,ACO 11,ACO 16, do 3 m, 5 cm</t>
  </si>
  <si>
    <t>24</t>
  </si>
  <si>
    <t>591241111R00</t>
  </si>
  <si>
    <t>Kladení dlažby drobné kostky, lože z MC tl. 5 cm</t>
  </si>
  <si>
    <t>59_</t>
  </si>
  <si>
    <t>25</t>
  </si>
  <si>
    <t>599141111R00</t>
  </si>
  <si>
    <t>Vyplnění spár  živičnou zálivkou</t>
  </si>
  <si>
    <t>18,0+7,10</t>
  </si>
  <si>
    <t>26</t>
  </si>
  <si>
    <t>899231111R00</t>
  </si>
  <si>
    <t>Výšková úprava vstupu do 20 cm, zvýšení mříže</t>
  </si>
  <si>
    <t>kus</t>
  </si>
  <si>
    <t>89_</t>
  </si>
  <si>
    <t>8_</t>
  </si>
  <si>
    <t>27</t>
  </si>
  <si>
    <t>899331111R00</t>
  </si>
  <si>
    <t>Výšková úprava vstupu do 20 cm, zvýšení poklopu</t>
  </si>
  <si>
    <t>28</t>
  </si>
  <si>
    <t>915721111R00</t>
  </si>
  <si>
    <t>Vodorovné značení střík.barvou stopčar,zeber atd.</t>
  </si>
  <si>
    <t>91_</t>
  </si>
  <si>
    <t>9_</t>
  </si>
  <si>
    <t>29</t>
  </si>
  <si>
    <t>915791112R00</t>
  </si>
  <si>
    <t>Předznačení pro značení stopčáry, zebry, nápisů</t>
  </si>
  <si>
    <t>30</t>
  </si>
  <si>
    <t>917862114RT7</t>
  </si>
  <si>
    <t>Osazení stojatého obrubníku betonového, s boční opěrou, do lože z betonu C 25/30</t>
  </si>
  <si>
    <t>31</t>
  </si>
  <si>
    <t>917862114RV4</t>
  </si>
  <si>
    <t>32</t>
  </si>
  <si>
    <t>919735111R00</t>
  </si>
  <si>
    <t>Řezání stávajícího živičného krytu tl. do 5 cm</t>
  </si>
  <si>
    <t>18,0+7,1</t>
  </si>
  <si>
    <t>(3,0+1,7)*2*2</t>
  </si>
  <si>
    <t>33</t>
  </si>
  <si>
    <t>979071122R00</t>
  </si>
  <si>
    <t>Očištění vybour.kostek drobných s výplní MC/živicí</t>
  </si>
  <si>
    <t>97_</t>
  </si>
  <si>
    <t>34</t>
  </si>
  <si>
    <t>998225111R00</t>
  </si>
  <si>
    <t>Přesun hmot, pozemní komunikace, kryt živičný</t>
  </si>
  <si>
    <t>35</t>
  </si>
  <si>
    <t>979082213R00</t>
  </si>
  <si>
    <t>Vodorovná doprava suti po suchu do 1 km</t>
  </si>
  <si>
    <t>S_</t>
  </si>
  <si>
    <t>betony</t>
  </si>
  <si>
    <t>17,55</t>
  </si>
  <si>
    <t>36</t>
  </si>
  <si>
    <t>979082219R00</t>
  </si>
  <si>
    <t>Příplatek za dopravu suti po suchu za další 1 km</t>
  </si>
  <si>
    <t>17,55*2</t>
  </si>
  <si>
    <t>37</t>
  </si>
  <si>
    <t>979999982R00</t>
  </si>
  <si>
    <t>Poplatek za recyklaci betonu kusovost nad 1600 cm2 (skup.170101)</t>
  </si>
  <si>
    <t>38</t>
  </si>
  <si>
    <t>979999995R00</t>
  </si>
  <si>
    <t>Výkup asfaltového recyklátu</t>
  </si>
  <si>
    <t>-104,467-1,122</t>
  </si>
  <si>
    <r>
      <t xml:space="preserve">Osazení stojatého obrubníku betonového, s boční opěrou, do lože z betonu C 25/30, </t>
    </r>
    <r>
      <rPr>
        <i/>
        <sz val="10"/>
        <color rgb="FF000000"/>
        <rFont val="Arial"/>
        <family val="2"/>
        <charset val="238"/>
      </rPr>
      <t>vč. dodávky obrubníku 1000x150x250 mm</t>
    </r>
  </si>
  <si>
    <r>
      <t xml:space="preserve">Osazení stojatého obrubníku betonového, s boční opěrou, do lože z betonu C 25/30, </t>
    </r>
    <r>
      <rPr>
        <i/>
        <sz val="10"/>
        <color rgb="FF000000"/>
        <rFont val="Arial"/>
        <family val="2"/>
        <charset val="238"/>
      </rPr>
      <t>vč. dodávky obrubníku náběhového 1000x150x150-250 mm</t>
    </r>
  </si>
  <si>
    <t>Město Bruntál</t>
  </si>
  <si>
    <t>IČ 00295892</t>
  </si>
  <si>
    <t>00295892</t>
  </si>
  <si>
    <t>M. Petrů</t>
  </si>
  <si>
    <r>
      <t xml:space="preserve">Beton asfalt. ACO 11, do 3 m, 5 cm, </t>
    </r>
    <r>
      <rPr>
        <i/>
        <sz val="10"/>
        <color rgb="FF000000"/>
        <rFont val="Arial"/>
        <family val="2"/>
        <charset val="238"/>
      </rPr>
      <t>vč. ošetření podélné prac. spáry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</si>
</sst>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3" fillId="0" borderId="52" xfId="0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left" vertical="center"/>
    </xf>
    <xf numFmtId="4" fontId="2" fillId="0" borderId="56" xfId="0" applyNumberFormat="1" applyFont="1" applyBorder="1" applyAlignment="1">
      <alignment horizontal="right" vertical="center"/>
    </xf>
    <xf numFmtId="0" fontId="2" fillId="0" borderId="56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0" xfId="0" applyFont="1" applyBorder="1" applyAlignment="1">
      <alignment horizontal="right" vertical="center"/>
    </xf>
    <xf numFmtId="4" fontId="3" fillId="0" borderId="60" xfId="0" applyNumberFormat="1" applyFont="1" applyBorder="1" applyAlignment="1">
      <alignment horizontal="right" vertical="center"/>
    </xf>
    <xf numFmtId="0" fontId="1" fillId="0" borderId="1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4" fontId="3" fillId="2" borderId="0" xfId="0" applyNumberFormat="1" applyFont="1" applyFill="1" applyAlignment="1" applyProtection="1">
      <alignment horizontal="right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7" xfId="0" applyFont="1" applyBorder="1" applyAlignment="1" applyProtection="1">
      <alignment horizontal="center" vertical="center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0" fontId="3" fillId="0" borderId="73" xfId="0" applyFont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left" vertical="center"/>
      <protection locked="0"/>
    </xf>
    <xf numFmtId="4" fontId="3" fillId="2" borderId="16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4" fontId="3" fillId="0" borderId="74" xfId="0" applyNumberFormat="1" applyFont="1" applyBorder="1" applyAlignment="1" applyProtection="1">
      <alignment horizontal="right" vertical="center"/>
      <protection locked="0"/>
    </xf>
    <xf numFmtId="0" fontId="5" fillId="2" borderId="20" xfId="0" applyFont="1" applyFill="1" applyBorder="1" applyAlignment="1" applyProtection="1">
      <alignment horizontal="center" vertical="center"/>
      <protection locked="0"/>
    </xf>
    <xf numFmtId="0" fontId="5" fillId="2" borderId="23" xfId="0" applyFont="1" applyFill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left" vertical="center"/>
      <protection locked="0"/>
    </xf>
    <xf numFmtId="0" fontId="8" fillId="0" borderId="25" xfId="0" applyFont="1" applyBorder="1" applyAlignment="1" applyProtection="1">
      <alignment horizontal="left" vertical="center"/>
      <protection locked="0"/>
    </xf>
    <xf numFmtId="4" fontId="8" fillId="0" borderId="25" xfId="0" applyNumberFormat="1" applyFont="1" applyBorder="1" applyAlignment="1" applyProtection="1">
      <alignment horizontal="right" vertical="center"/>
      <protection locked="0"/>
    </xf>
    <xf numFmtId="0" fontId="8" fillId="0" borderId="25" xfId="0" applyFont="1" applyBorder="1" applyAlignment="1" applyProtection="1">
      <alignment horizontal="right" vertical="center"/>
      <protection locked="0"/>
    </xf>
    <xf numFmtId="0" fontId="7" fillId="0" borderId="28" xfId="0" applyFont="1" applyBorder="1" applyAlignment="1" applyProtection="1">
      <alignment horizontal="left" vertical="center"/>
      <protection locked="0"/>
    </xf>
    <xf numFmtId="4" fontId="8" fillId="0" borderId="32" xfId="0" applyNumberFormat="1" applyFont="1" applyBorder="1" applyAlignment="1" applyProtection="1">
      <alignment horizontal="right" vertical="center"/>
      <protection locked="0"/>
    </xf>
    <xf numFmtId="0" fontId="8" fillId="0" borderId="32" xfId="0" applyFont="1" applyBorder="1" applyAlignment="1" applyProtection="1">
      <alignment horizontal="right" vertical="center"/>
      <protection locked="0"/>
    </xf>
    <xf numFmtId="4" fontId="8" fillId="0" borderId="23" xfId="0" applyNumberFormat="1" applyFont="1" applyBorder="1" applyAlignment="1" applyProtection="1">
      <alignment horizontal="right" vertical="center"/>
      <protection locked="0"/>
    </xf>
    <xf numFmtId="4" fontId="8" fillId="0" borderId="35" xfId="0" applyNumberFormat="1" applyFont="1" applyBorder="1" applyAlignment="1" applyProtection="1">
      <alignment horizontal="right" vertical="center"/>
      <protection locked="0"/>
    </xf>
    <xf numFmtId="4" fontId="7" fillId="2" borderId="22" xfId="0" applyNumberFormat="1" applyFont="1" applyFill="1" applyBorder="1" applyAlignment="1" applyProtection="1">
      <alignment horizontal="right" vertical="center"/>
      <protection locked="0"/>
    </xf>
    <xf numFmtId="4" fontId="7" fillId="2" borderId="27" xfId="0" applyNumberFormat="1" applyFont="1" applyFill="1" applyBorder="1" applyAlignment="1" applyProtection="1">
      <alignment horizontal="right" vertical="center"/>
      <protection locked="0"/>
    </xf>
    <xf numFmtId="0" fontId="9" fillId="0" borderId="16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49" fontId="2" fillId="0" borderId="4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1" fontId="2" fillId="0" borderId="6" xfId="0" applyNumberFormat="1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left" vertical="center"/>
      <protection locked="0"/>
    </xf>
    <xf numFmtId="0" fontId="6" fillId="0" borderId="22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7" fillId="0" borderId="29" xfId="0" applyFont="1" applyBorder="1" applyAlignment="1" applyProtection="1">
      <alignment horizontal="left" vertical="center"/>
      <protection locked="0"/>
    </xf>
    <xf numFmtId="0" fontId="7" fillId="0" borderId="27" xfId="0" applyFont="1" applyBorder="1" applyAlignment="1" applyProtection="1">
      <alignment horizontal="left" vertical="center"/>
      <protection locked="0"/>
    </xf>
    <xf numFmtId="0" fontId="7" fillId="0" borderId="30" xfId="0" applyFont="1" applyBorder="1" applyAlignment="1" applyProtection="1">
      <alignment horizontal="left" vertical="center"/>
      <protection locked="0"/>
    </xf>
    <xf numFmtId="0" fontId="7" fillId="0" borderId="31" xfId="0" applyFont="1" applyBorder="1" applyAlignment="1" applyProtection="1">
      <alignment horizontal="left" vertical="center"/>
      <protection locked="0"/>
    </xf>
    <xf numFmtId="0" fontId="7" fillId="0" borderId="34" xfId="0" applyFont="1" applyBorder="1" applyAlignment="1" applyProtection="1">
      <alignment horizontal="left" vertical="center"/>
      <protection locked="0"/>
    </xf>
    <xf numFmtId="0" fontId="7" fillId="0" borderId="22" xfId="0" applyFont="1" applyBorder="1" applyAlignment="1" applyProtection="1">
      <alignment horizontal="left" vertical="center"/>
      <protection locked="0"/>
    </xf>
    <xf numFmtId="0" fontId="8" fillId="0" borderId="26" xfId="0" applyFont="1" applyBorder="1" applyAlignment="1" applyProtection="1">
      <alignment horizontal="left" vertical="center"/>
      <protection locked="0"/>
    </xf>
    <xf numFmtId="0" fontId="8" fillId="0" borderId="27" xfId="0" applyFont="1" applyBorder="1" applyAlignment="1" applyProtection="1">
      <alignment horizontal="left" vertical="center"/>
      <protection locked="0"/>
    </xf>
    <xf numFmtId="0" fontId="8" fillId="0" borderId="33" xfId="0" applyFont="1" applyBorder="1" applyAlignment="1" applyProtection="1">
      <alignment horizontal="left" vertical="center"/>
      <protection locked="0"/>
    </xf>
    <xf numFmtId="0" fontId="8" fillId="0" borderId="31" xfId="0" applyFont="1" applyBorder="1" applyAlignment="1" applyProtection="1">
      <alignment horizontal="left" vertical="center"/>
      <protection locked="0"/>
    </xf>
    <xf numFmtId="0" fontId="7" fillId="0" borderId="21" xfId="0" applyFont="1" applyBorder="1" applyAlignment="1" applyProtection="1">
      <alignment horizontal="left" vertical="center"/>
      <protection locked="0"/>
    </xf>
    <xf numFmtId="0" fontId="7" fillId="0" borderId="26" xfId="0" applyFont="1" applyBorder="1" applyAlignment="1" applyProtection="1">
      <alignment horizontal="left" vertical="center"/>
      <protection locked="0"/>
    </xf>
    <xf numFmtId="0" fontId="7" fillId="2" borderId="34" xfId="0" applyFont="1" applyFill="1" applyBorder="1" applyAlignment="1" applyProtection="1">
      <alignment horizontal="left" vertical="center"/>
      <protection locked="0"/>
    </xf>
    <xf numFmtId="0" fontId="7" fillId="2" borderId="36" xfId="0" applyFont="1" applyFill="1" applyBorder="1" applyAlignment="1" applyProtection="1">
      <alignment horizontal="left" vertical="center"/>
      <protection locked="0"/>
    </xf>
    <xf numFmtId="0" fontId="7" fillId="2" borderId="29" xfId="0" applyFont="1" applyFill="1" applyBorder="1" applyAlignment="1" applyProtection="1">
      <alignment horizontal="left" vertical="center"/>
      <protection locked="0"/>
    </xf>
    <xf numFmtId="0" fontId="7" fillId="2" borderId="37" xfId="0" applyFont="1" applyFill="1" applyBorder="1" applyAlignment="1" applyProtection="1">
      <alignment horizontal="left" vertical="center"/>
      <protection locked="0"/>
    </xf>
    <xf numFmtId="0" fontId="7" fillId="2" borderId="21" xfId="0" applyFont="1" applyFill="1" applyBorder="1" applyAlignment="1" applyProtection="1">
      <alignment horizontal="left" vertical="center"/>
      <protection locked="0"/>
    </xf>
    <xf numFmtId="0" fontId="7" fillId="2" borderId="26" xfId="0" applyFont="1" applyFill="1" applyBorder="1" applyAlignment="1" applyProtection="1">
      <alignment horizontal="left" vertical="center"/>
      <protection locked="0"/>
    </xf>
    <xf numFmtId="0" fontId="8" fillId="0" borderId="41" xfId="0" applyFont="1" applyBorder="1" applyAlignment="1" applyProtection="1">
      <alignment horizontal="left" vertical="center"/>
      <protection locked="0"/>
    </xf>
    <xf numFmtId="0" fontId="8" fillId="0" borderId="39" xfId="0" applyFont="1" applyBorder="1" applyAlignment="1" applyProtection="1">
      <alignment horizontal="left" vertical="center"/>
      <protection locked="0"/>
    </xf>
    <xf numFmtId="0" fontId="8" fillId="0" borderId="40" xfId="0" applyFont="1" applyBorder="1" applyAlignment="1" applyProtection="1">
      <alignment horizontal="left" vertical="center"/>
      <protection locked="0"/>
    </xf>
    <xf numFmtId="0" fontId="8" fillId="0" borderId="44" xfId="0" applyFont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43" xfId="0" applyFont="1" applyBorder="1" applyAlignment="1" applyProtection="1">
      <alignment horizontal="left" vertical="center"/>
      <protection locked="0"/>
    </xf>
    <xf numFmtId="0" fontId="8" fillId="0" borderId="48" xfId="0" applyFont="1" applyBorder="1" applyAlignment="1" applyProtection="1">
      <alignment horizontal="left" vertical="center"/>
      <protection locked="0"/>
    </xf>
    <xf numFmtId="0" fontId="8" fillId="0" borderId="46" xfId="0" applyFont="1" applyBorder="1" applyAlignment="1" applyProtection="1">
      <alignment horizontal="left" vertical="center"/>
      <protection locked="0"/>
    </xf>
    <xf numFmtId="0" fontId="8" fillId="0" borderId="47" xfId="0" applyFont="1" applyBorder="1" applyAlignment="1" applyProtection="1">
      <alignment horizontal="left" vertical="center"/>
      <protection locked="0"/>
    </xf>
    <xf numFmtId="0" fontId="8" fillId="0" borderId="38" xfId="0" applyFont="1" applyBorder="1" applyAlignment="1" applyProtection="1">
      <alignment horizontal="left" vertical="center"/>
      <protection locked="0"/>
    </xf>
    <xf numFmtId="0" fontId="8" fillId="0" borderId="42" xfId="0" applyFont="1" applyBorder="1" applyAlignment="1" applyProtection="1">
      <alignment horizontal="left" vertical="center"/>
      <protection locked="0"/>
    </xf>
    <xf numFmtId="0" fontId="8" fillId="0" borderId="45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4" fontId="7" fillId="0" borderId="61" xfId="0" applyNumberFormat="1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/>
    </xf>
    <xf numFmtId="0" fontId="7" fillId="0" borderId="59" xfId="0" applyFont="1" applyBorder="1" applyAlignment="1">
      <alignment horizontal="right" vertical="center"/>
    </xf>
    <xf numFmtId="0" fontId="2" fillId="0" borderId="8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vertical="center"/>
    </xf>
    <xf numFmtId="0" fontId="0" fillId="0" borderId="0" xfId="0" applyProtection="1"/>
    <xf numFmtId="4" fontId="3" fillId="2" borderId="0" xfId="0" applyNumberFormat="1" applyFont="1" applyFill="1" applyAlignment="1" applyProtection="1">
      <alignment horizontal="right" vertical="center"/>
    </xf>
    <xf numFmtId="0" fontId="2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6" xfId="0" applyFont="1" applyBorder="1" applyAlignment="1" applyProtection="1">
      <alignment vertical="center"/>
    </xf>
    <xf numFmtId="0" fontId="2" fillId="0" borderId="9" xfId="0" applyFont="1" applyBorder="1" applyAlignment="1" applyProtection="1">
      <alignment vertical="center"/>
    </xf>
    <xf numFmtId="0" fontId="2" fillId="0" borderId="18" xfId="0" applyFont="1" applyBorder="1" applyAlignment="1" applyProtection="1">
      <alignment vertical="center"/>
    </xf>
    <xf numFmtId="0" fontId="0" fillId="0" borderId="68" xfId="0" applyBorder="1" applyProtection="1"/>
    <xf numFmtId="0" fontId="3" fillId="2" borderId="0" xfId="0" applyFont="1" applyFill="1" applyAlignment="1" applyProtection="1">
      <alignment horizontal="right" vertical="center"/>
    </xf>
    <xf numFmtId="0" fontId="3" fillId="0" borderId="0" xfId="0" applyFont="1" applyAlignment="1" applyProtection="1">
      <alignment horizontal="right" vertical="center"/>
    </xf>
    <xf numFmtId="0" fontId="0" fillId="0" borderId="6" xfId="0" applyBorder="1" applyProtection="1"/>
    <xf numFmtId="4" fontId="2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9" xfId="0" applyBorder="1" applyProtection="1"/>
    <xf numFmtId="0" fontId="0" fillId="0" borderId="18" xfId="0" applyBorder="1" applyProtection="1"/>
    <xf numFmtId="0" fontId="1" fillId="0" borderId="37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3" fillId="0" borderId="62" xfId="0" applyFont="1" applyBorder="1" applyAlignment="1" applyProtection="1">
      <alignment horizontal="left" vertical="center"/>
    </xf>
    <xf numFmtId="0" fontId="3" fillId="0" borderId="63" xfId="0" applyFont="1" applyBorder="1" applyAlignment="1" applyProtection="1">
      <alignment horizontal="left" vertical="center"/>
    </xf>
    <xf numFmtId="0" fontId="3" fillId="0" borderId="64" xfId="0" applyFont="1" applyBorder="1" applyAlignment="1" applyProtection="1">
      <alignment horizontal="left" vertical="center"/>
    </xf>
    <xf numFmtId="0" fontId="3" fillId="0" borderId="65" xfId="0" applyFont="1" applyBorder="1" applyAlignment="1" applyProtection="1">
      <alignment horizontal="left" vertical="center"/>
    </xf>
    <xf numFmtId="0" fontId="3" fillId="0" borderId="63" xfId="0" applyFont="1" applyBorder="1" applyAlignment="1" applyProtection="1">
      <alignment horizontal="center" vertical="center"/>
    </xf>
    <xf numFmtId="0" fontId="2" fillId="0" borderId="69" xfId="0" applyFont="1" applyBorder="1" applyAlignment="1" applyProtection="1">
      <alignment horizontal="left" vertical="center"/>
    </xf>
    <xf numFmtId="0" fontId="2" fillId="0" borderId="70" xfId="0" applyFont="1" applyBorder="1" applyAlignment="1" applyProtection="1">
      <alignment horizontal="left" vertical="center"/>
    </xf>
    <xf numFmtId="0" fontId="3" fillId="0" borderId="71" xfId="0" applyFont="1" applyBorder="1" applyAlignment="1" applyProtection="1">
      <alignment horizontal="left" vertical="center"/>
    </xf>
    <xf numFmtId="0" fontId="3" fillId="0" borderId="72" xfId="0" applyFont="1" applyBorder="1" applyAlignment="1" applyProtection="1">
      <alignment horizontal="left" vertical="center"/>
    </xf>
    <xf numFmtId="0" fontId="2" fillId="2" borderId="15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 wrapText="1"/>
    </xf>
    <xf numFmtId="0" fontId="3" fillId="2" borderId="16" xfId="0" applyFont="1" applyFill="1" applyBorder="1" applyAlignment="1" applyProtection="1">
      <alignment horizontal="left" vertical="center"/>
    </xf>
    <xf numFmtId="0" fontId="2" fillId="2" borderId="16" xfId="0" applyFont="1" applyFill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 wrapText="1"/>
    </xf>
    <xf numFmtId="0" fontId="3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0" fillId="0" borderId="5" xfId="0" applyBorder="1" applyProtection="1"/>
    <xf numFmtId="0" fontId="10" fillId="0" borderId="0" xfId="0" applyFont="1" applyAlignment="1" applyProtection="1">
      <alignment horizontal="left" vertical="center"/>
    </xf>
    <xf numFmtId="4" fontId="10" fillId="0" borderId="0" xfId="0" applyNumberFormat="1" applyFont="1" applyAlignment="1" applyProtection="1">
      <alignment horizontal="right" vertical="center"/>
    </xf>
    <xf numFmtId="0" fontId="0" fillId="0" borderId="17" xfId="0" applyBorder="1" applyProtection="1"/>
    <xf numFmtId="0" fontId="10" fillId="0" borderId="9" xfId="0" applyFont="1" applyBorder="1" applyAlignment="1" applyProtection="1">
      <alignment horizontal="left" vertical="center"/>
    </xf>
    <xf numFmtId="4" fontId="10" fillId="0" borderId="9" xfId="0" applyNumberFormat="1" applyFont="1" applyBorder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workbookViewId="0">
      <pane ySplit="11" topLeftCell="A12" activePane="bottomLeft" state="frozen"/>
      <selection pane="bottomLeft" activeCell="C10" sqref="C10"/>
    </sheetView>
  </sheetViews>
  <sheetFormatPr defaultColWidth="12.140625" defaultRowHeight="15" customHeight="1" x14ac:dyDescent="0.25"/>
  <cols>
    <col min="1" max="2" width="8.42578125" customWidth="1"/>
    <col min="3" max="3" width="71.42578125" customWidth="1"/>
    <col min="4" max="6" width="12.140625" customWidth="1"/>
    <col min="7" max="7" width="27.85546875" customWidth="1"/>
    <col min="8" max="9" width="0" hidden="1" customWidth="1"/>
  </cols>
  <sheetData>
    <row r="1" spans="1:9" ht="54.75" customHeight="1" x14ac:dyDescent="0.25">
      <c r="A1" s="49" t="s">
        <v>0</v>
      </c>
      <c r="B1" s="49"/>
      <c r="C1" s="49"/>
      <c r="D1" s="49"/>
      <c r="E1" s="49"/>
      <c r="F1" s="49"/>
      <c r="G1" s="49"/>
    </row>
    <row r="2" spans="1:9" x14ac:dyDescent="0.25">
      <c r="A2" s="50" t="s">
        <v>1</v>
      </c>
      <c r="B2" s="51"/>
      <c r="C2" s="60" t="str">
        <f>'Stavební rozpočet'!D2</f>
        <v>24169 Bruntál, ul. Uhlířská, - 128,5bm od ul. Zeyerova, oprava povrchu</v>
      </c>
      <c r="D2" s="51" t="s">
        <v>2</v>
      </c>
      <c r="E2" s="51" t="s">
        <v>3</v>
      </c>
      <c r="F2" s="58" t="s">
        <v>4</v>
      </c>
      <c r="G2" s="62" t="str">
        <f>'Stavební rozpočet'!J2</f>
        <v>Město Bruntál</v>
      </c>
    </row>
    <row r="3" spans="1:9" ht="15" customHeight="1" x14ac:dyDescent="0.25">
      <c r="A3" s="52"/>
      <c r="B3" s="53"/>
      <c r="C3" s="61"/>
      <c r="D3" s="53"/>
      <c r="E3" s="53"/>
      <c r="F3" s="53"/>
      <c r="G3" s="63"/>
    </row>
    <row r="4" spans="1:9" x14ac:dyDescent="0.25">
      <c r="A4" s="54" t="s">
        <v>5</v>
      </c>
      <c r="B4" s="53"/>
      <c r="C4" s="59" t="str">
        <f>'Stavební rozpočet'!D4</f>
        <v xml:space="preserve"> </v>
      </c>
      <c r="D4" s="53" t="s">
        <v>6</v>
      </c>
      <c r="E4" s="53"/>
      <c r="F4" s="59" t="s">
        <v>8</v>
      </c>
      <c r="G4" s="64" t="str">
        <f>'Stavební rozpočet'!J4</f>
        <v> </v>
      </c>
    </row>
    <row r="5" spans="1:9" ht="15" customHeight="1" x14ac:dyDescent="0.25">
      <c r="A5" s="52"/>
      <c r="B5" s="53"/>
      <c r="C5" s="53"/>
      <c r="D5" s="53"/>
      <c r="E5" s="53"/>
      <c r="F5" s="53"/>
      <c r="G5" s="63"/>
    </row>
    <row r="6" spans="1:9" x14ac:dyDescent="0.25">
      <c r="A6" s="54" t="s">
        <v>9</v>
      </c>
      <c r="B6" s="53"/>
      <c r="C6" s="59" t="str">
        <f>'Stavební rozpočet'!D6</f>
        <v xml:space="preserve"> </v>
      </c>
      <c r="D6" s="53" t="s">
        <v>10</v>
      </c>
      <c r="E6" s="53" t="s">
        <v>3</v>
      </c>
      <c r="F6" s="59" t="s">
        <v>11</v>
      </c>
      <c r="G6" s="64" t="str">
        <f>'Stavební rozpočet'!J6</f>
        <v> </v>
      </c>
    </row>
    <row r="7" spans="1:9" ht="15" customHeight="1" x14ac:dyDescent="0.25">
      <c r="A7" s="52"/>
      <c r="B7" s="53"/>
      <c r="C7" s="53"/>
      <c r="D7" s="53"/>
      <c r="E7" s="53"/>
      <c r="F7" s="53"/>
      <c r="G7" s="63"/>
    </row>
    <row r="8" spans="1:9" x14ac:dyDescent="0.25">
      <c r="A8" s="54" t="s">
        <v>12</v>
      </c>
      <c r="B8" s="53"/>
      <c r="C8" s="59" t="s">
        <v>292</v>
      </c>
      <c r="D8" s="53" t="s">
        <v>13</v>
      </c>
      <c r="E8" s="53" t="s">
        <v>7</v>
      </c>
      <c r="F8" s="53" t="s">
        <v>13</v>
      </c>
      <c r="G8" s="64" t="str">
        <f>'Stavební rozpočet'!H8</f>
        <v>06.12.2024</v>
      </c>
    </row>
    <row r="9" spans="1:9" x14ac:dyDescent="0.25">
      <c r="A9" s="55"/>
      <c r="B9" s="56"/>
      <c r="C9" s="56"/>
      <c r="D9" s="57"/>
      <c r="E9" s="57"/>
      <c r="F9" s="57"/>
      <c r="G9" s="65"/>
    </row>
    <row r="10" spans="1:9" x14ac:dyDescent="0.25">
      <c r="A10" s="4" t="s">
        <v>14</v>
      </c>
      <c r="B10" s="5" t="s">
        <v>15</v>
      </c>
      <c r="C10" s="6" t="s">
        <v>16</v>
      </c>
      <c r="G10" s="7" t="s">
        <v>17</v>
      </c>
    </row>
    <row r="11" spans="1:9" x14ac:dyDescent="0.25">
      <c r="A11" s="8" t="s">
        <v>18</v>
      </c>
      <c r="B11" s="9" t="s">
        <v>19</v>
      </c>
      <c r="C11" s="53" t="s">
        <v>20</v>
      </c>
      <c r="D11" s="53"/>
      <c r="E11" s="53"/>
      <c r="F11" s="53"/>
      <c r="G11" s="10">
        <f>ROUND('Stavební rozpočet'!I12,2)</f>
        <v>0</v>
      </c>
      <c r="H11" s="11" t="s">
        <v>21</v>
      </c>
      <c r="I11" s="12">
        <f t="shared" ref="I11:I24" si="0">IF(H11="F",0,G11)</f>
        <v>0</v>
      </c>
    </row>
    <row r="12" spans="1:9" x14ac:dyDescent="0.25">
      <c r="A12" s="1" t="s">
        <v>18</v>
      </c>
      <c r="B12" s="2" t="s">
        <v>22</v>
      </c>
      <c r="C12" s="53" t="s">
        <v>23</v>
      </c>
      <c r="D12" s="53"/>
      <c r="E12" s="53"/>
      <c r="F12" s="53"/>
      <c r="G12" s="12">
        <f>ROUND('Stavební rozpočet'!I19,2)</f>
        <v>0</v>
      </c>
      <c r="H12" s="11" t="s">
        <v>21</v>
      </c>
      <c r="I12" s="12">
        <f t="shared" si="0"/>
        <v>0</v>
      </c>
    </row>
    <row r="13" spans="1:9" x14ac:dyDescent="0.25">
      <c r="A13" s="1" t="s">
        <v>18</v>
      </c>
      <c r="B13" s="2" t="s">
        <v>24</v>
      </c>
      <c r="C13" s="53" t="s">
        <v>25</v>
      </c>
      <c r="D13" s="53"/>
      <c r="E13" s="53"/>
      <c r="F13" s="53"/>
      <c r="G13" s="12">
        <f>ROUND('Stavební rozpočet'!I29,2)</f>
        <v>0</v>
      </c>
      <c r="H13" s="11" t="s">
        <v>21</v>
      </c>
      <c r="I13" s="12">
        <f t="shared" si="0"/>
        <v>0</v>
      </c>
    </row>
    <row r="14" spans="1:9" x14ac:dyDescent="0.25">
      <c r="A14" s="1" t="s">
        <v>18</v>
      </c>
      <c r="B14" s="2" t="s">
        <v>26</v>
      </c>
      <c r="C14" s="53" t="s">
        <v>27</v>
      </c>
      <c r="D14" s="53"/>
      <c r="E14" s="53"/>
      <c r="F14" s="53"/>
      <c r="G14" s="12">
        <f>ROUND('Stavební rozpočet'!I35,2)</f>
        <v>0</v>
      </c>
      <c r="H14" s="11" t="s">
        <v>21</v>
      </c>
      <c r="I14" s="12">
        <f t="shared" si="0"/>
        <v>0</v>
      </c>
    </row>
    <row r="15" spans="1:9" x14ac:dyDescent="0.25">
      <c r="A15" s="1" t="s">
        <v>18</v>
      </c>
      <c r="B15" s="2" t="s">
        <v>28</v>
      </c>
      <c r="C15" s="53" t="s">
        <v>29</v>
      </c>
      <c r="D15" s="53"/>
      <c r="E15" s="53"/>
      <c r="F15" s="53"/>
      <c r="G15" s="12">
        <f>ROUND('Stavební rozpočet'!I39,2)</f>
        <v>0</v>
      </c>
      <c r="H15" s="11" t="s">
        <v>21</v>
      </c>
      <c r="I15" s="12">
        <f t="shared" si="0"/>
        <v>0</v>
      </c>
    </row>
    <row r="16" spans="1:9" x14ac:dyDescent="0.25">
      <c r="A16" s="1" t="s">
        <v>18</v>
      </c>
      <c r="B16" s="2" t="s">
        <v>30</v>
      </c>
      <c r="C16" s="53" t="s">
        <v>31</v>
      </c>
      <c r="D16" s="53"/>
      <c r="E16" s="53"/>
      <c r="F16" s="53"/>
      <c r="G16" s="12">
        <f>ROUND('Stavební rozpočet'!I41,2)</f>
        <v>0</v>
      </c>
      <c r="H16" s="11" t="s">
        <v>21</v>
      </c>
      <c r="I16" s="12">
        <f t="shared" si="0"/>
        <v>0</v>
      </c>
    </row>
    <row r="17" spans="1:9" x14ac:dyDescent="0.25">
      <c r="A17" s="1" t="s">
        <v>18</v>
      </c>
      <c r="B17" s="2" t="s">
        <v>32</v>
      </c>
      <c r="C17" s="53" t="s">
        <v>33</v>
      </c>
      <c r="D17" s="53"/>
      <c r="E17" s="53"/>
      <c r="F17" s="53"/>
      <c r="G17" s="12">
        <f>ROUND('Stavební rozpočet'!I43,2)</f>
        <v>0</v>
      </c>
      <c r="H17" s="11" t="s">
        <v>21</v>
      </c>
      <c r="I17" s="12">
        <f t="shared" si="0"/>
        <v>0</v>
      </c>
    </row>
    <row r="18" spans="1:9" x14ac:dyDescent="0.25">
      <c r="A18" s="1" t="s">
        <v>18</v>
      </c>
      <c r="B18" s="2" t="s">
        <v>34</v>
      </c>
      <c r="C18" s="53" t="s">
        <v>35</v>
      </c>
      <c r="D18" s="53"/>
      <c r="E18" s="53"/>
      <c r="F18" s="53"/>
      <c r="G18" s="12">
        <f>ROUND('Stavební rozpočet'!I45,2)</f>
        <v>0</v>
      </c>
      <c r="H18" s="11" t="s">
        <v>21</v>
      </c>
      <c r="I18" s="12">
        <f t="shared" si="0"/>
        <v>0</v>
      </c>
    </row>
    <row r="19" spans="1:9" x14ac:dyDescent="0.25">
      <c r="A19" s="1" t="s">
        <v>18</v>
      </c>
      <c r="B19" s="2" t="s">
        <v>36</v>
      </c>
      <c r="C19" s="53" t="s">
        <v>37</v>
      </c>
      <c r="D19" s="53"/>
      <c r="E19" s="53"/>
      <c r="F19" s="53"/>
      <c r="G19" s="12">
        <f>ROUND('Stavební rozpočet'!I50,2)</f>
        <v>0</v>
      </c>
      <c r="H19" s="11" t="s">
        <v>21</v>
      </c>
      <c r="I19" s="12">
        <f t="shared" si="0"/>
        <v>0</v>
      </c>
    </row>
    <row r="20" spans="1:9" x14ac:dyDescent="0.25">
      <c r="A20" s="1" t="s">
        <v>18</v>
      </c>
      <c r="B20" s="2" t="s">
        <v>38</v>
      </c>
      <c r="C20" s="53" t="s">
        <v>39</v>
      </c>
      <c r="D20" s="53"/>
      <c r="E20" s="53"/>
      <c r="F20" s="53"/>
      <c r="G20" s="12">
        <f>ROUND('Stavební rozpočet'!I57,2)</f>
        <v>0</v>
      </c>
      <c r="H20" s="11" t="s">
        <v>21</v>
      </c>
      <c r="I20" s="12">
        <f t="shared" si="0"/>
        <v>0</v>
      </c>
    </row>
    <row r="21" spans="1:9" x14ac:dyDescent="0.25">
      <c r="A21" s="1" t="s">
        <v>18</v>
      </c>
      <c r="B21" s="2" t="s">
        <v>40</v>
      </c>
      <c r="C21" s="53" t="s">
        <v>41</v>
      </c>
      <c r="D21" s="53"/>
      <c r="E21" s="53"/>
      <c r="F21" s="53"/>
      <c r="G21" s="12">
        <f>ROUND('Stavební rozpočet'!I61,2)</f>
        <v>0</v>
      </c>
      <c r="H21" s="11" t="s">
        <v>21</v>
      </c>
      <c r="I21" s="12">
        <f t="shared" si="0"/>
        <v>0</v>
      </c>
    </row>
    <row r="22" spans="1:9" x14ac:dyDescent="0.25">
      <c r="A22" s="1" t="s">
        <v>18</v>
      </c>
      <c r="B22" s="2" t="s">
        <v>42</v>
      </c>
      <c r="C22" s="53" t="s">
        <v>43</v>
      </c>
      <c r="D22" s="53"/>
      <c r="E22" s="53"/>
      <c r="F22" s="53"/>
      <c r="G22" s="12">
        <f>ROUND('Stavební rozpočet'!I64,2)</f>
        <v>0</v>
      </c>
      <c r="H22" s="11" t="s">
        <v>21</v>
      </c>
      <c r="I22" s="12">
        <f t="shared" si="0"/>
        <v>0</v>
      </c>
    </row>
    <row r="23" spans="1:9" x14ac:dyDescent="0.25">
      <c r="A23" s="1" t="s">
        <v>18</v>
      </c>
      <c r="B23" s="2" t="s">
        <v>44</v>
      </c>
      <c r="C23" s="53" t="s">
        <v>45</v>
      </c>
      <c r="D23" s="53"/>
      <c r="E23" s="53"/>
      <c r="F23" s="53"/>
      <c r="G23" s="12">
        <f>ROUND('Stavební rozpočet'!I72,2)</f>
        <v>0</v>
      </c>
      <c r="H23" s="11" t="s">
        <v>21</v>
      </c>
      <c r="I23" s="12">
        <f t="shared" si="0"/>
        <v>0</v>
      </c>
    </row>
    <row r="24" spans="1:9" x14ac:dyDescent="0.25">
      <c r="A24" s="1" t="s">
        <v>18</v>
      </c>
      <c r="B24" s="2" t="s">
        <v>46</v>
      </c>
      <c r="C24" s="53" t="s">
        <v>47</v>
      </c>
      <c r="D24" s="53"/>
      <c r="E24" s="53"/>
      <c r="F24" s="53"/>
      <c r="G24" s="12">
        <f>ROUND('Stavební rozpočet'!I75,2)</f>
        <v>-10558.9</v>
      </c>
      <c r="H24" s="11" t="s">
        <v>21</v>
      </c>
      <c r="I24" s="12">
        <f t="shared" si="0"/>
        <v>-10558.9</v>
      </c>
    </row>
    <row r="25" spans="1:9" x14ac:dyDescent="0.25">
      <c r="F25" s="3" t="s">
        <v>48</v>
      </c>
      <c r="G25" s="13">
        <f>ROUND(SUM(I11:I24),2)</f>
        <v>-10558.9</v>
      </c>
    </row>
  </sheetData>
  <mergeCells count="39">
    <mergeCell ref="C22:F22"/>
    <mergeCell ref="C23:F23"/>
    <mergeCell ref="C24:F24"/>
    <mergeCell ref="C17:F17"/>
    <mergeCell ref="C18:F18"/>
    <mergeCell ref="C19:F19"/>
    <mergeCell ref="C20:F20"/>
    <mergeCell ref="C21:F21"/>
    <mergeCell ref="C12:F12"/>
    <mergeCell ref="C13:F13"/>
    <mergeCell ref="C14:F14"/>
    <mergeCell ref="C15:F15"/>
    <mergeCell ref="C16:F16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A12" sqref="A12:I12"/>
    </sheetView>
  </sheetViews>
  <sheetFormatPr defaultColWidth="12.140625" defaultRowHeight="15" customHeight="1" x14ac:dyDescent="0.25"/>
  <cols>
    <col min="1" max="1" width="9.140625" style="23" customWidth="1"/>
    <col min="2" max="2" width="12.85546875" style="23" customWidth="1"/>
    <col min="3" max="3" width="27.140625" style="23" customWidth="1"/>
    <col min="4" max="4" width="10" style="23" customWidth="1"/>
    <col min="5" max="5" width="14" style="23" customWidth="1"/>
    <col min="6" max="6" width="27.140625" style="23" customWidth="1"/>
    <col min="7" max="7" width="9.140625" style="23" customWidth="1"/>
    <col min="8" max="8" width="12.85546875" style="23" customWidth="1"/>
    <col min="9" max="9" width="27.140625" style="23" customWidth="1"/>
    <col min="10" max="16384" width="12.140625" style="23"/>
  </cols>
  <sheetData>
    <row r="1" spans="1:9" ht="54.75" customHeight="1" x14ac:dyDescent="0.25">
      <c r="A1" s="66" t="s">
        <v>49</v>
      </c>
      <c r="B1" s="67"/>
      <c r="C1" s="67"/>
      <c r="D1" s="67"/>
      <c r="E1" s="67"/>
      <c r="F1" s="67"/>
      <c r="G1" s="67"/>
      <c r="H1" s="67"/>
      <c r="I1" s="67"/>
    </row>
    <row r="2" spans="1:9" x14ac:dyDescent="0.25">
      <c r="A2" s="68" t="s">
        <v>1</v>
      </c>
      <c r="B2" s="69"/>
      <c r="C2" s="79" t="str">
        <f>'Stavební rozpočet'!D2</f>
        <v>24169 Bruntál, ul. Uhlířská, - 128,5bm od ul. Zeyerova, oprava povrchu</v>
      </c>
      <c r="D2" s="80"/>
      <c r="E2" s="73" t="s">
        <v>4</v>
      </c>
      <c r="F2" s="73" t="str">
        <f>'Stavební rozpočet'!J2</f>
        <v>Město Bruntál</v>
      </c>
      <c r="G2" s="69"/>
      <c r="H2" s="73" t="s">
        <v>50</v>
      </c>
      <c r="I2" s="75" t="s">
        <v>291</v>
      </c>
    </row>
    <row r="3" spans="1:9" ht="15" customHeight="1" x14ac:dyDescent="0.25">
      <c r="A3" s="70"/>
      <c r="B3" s="71"/>
      <c r="C3" s="81"/>
      <c r="D3" s="81"/>
      <c r="E3" s="71"/>
      <c r="F3" s="71"/>
      <c r="G3" s="71"/>
      <c r="H3" s="71"/>
      <c r="I3" s="76"/>
    </row>
    <row r="4" spans="1:9" x14ac:dyDescent="0.25">
      <c r="A4" s="72" t="s">
        <v>5</v>
      </c>
      <c r="B4" s="71"/>
      <c r="C4" s="74" t="str">
        <f>'Stavební rozpočet'!D4</f>
        <v xml:space="preserve"> </v>
      </c>
      <c r="D4" s="71"/>
      <c r="E4" s="74" t="s">
        <v>8</v>
      </c>
      <c r="F4" s="74" t="str">
        <f>'Stavební rozpočet'!J4</f>
        <v> </v>
      </c>
      <c r="G4" s="71"/>
      <c r="H4" s="74" t="s">
        <v>50</v>
      </c>
      <c r="I4" s="77" t="s">
        <v>18</v>
      </c>
    </row>
    <row r="5" spans="1:9" ht="15" customHeight="1" x14ac:dyDescent="0.25">
      <c r="A5" s="70"/>
      <c r="B5" s="71"/>
      <c r="C5" s="71"/>
      <c r="D5" s="71"/>
      <c r="E5" s="71"/>
      <c r="F5" s="71"/>
      <c r="G5" s="71"/>
      <c r="H5" s="71"/>
      <c r="I5" s="77"/>
    </row>
    <row r="6" spans="1:9" x14ac:dyDescent="0.25">
      <c r="A6" s="72" t="s">
        <v>9</v>
      </c>
      <c r="B6" s="71"/>
      <c r="C6" s="74" t="str">
        <f>'Stavební rozpočet'!D6</f>
        <v xml:space="preserve"> </v>
      </c>
      <c r="D6" s="71"/>
      <c r="E6" s="74" t="s">
        <v>11</v>
      </c>
      <c r="F6" s="74" t="str">
        <f>'Stavební rozpočet'!J6</f>
        <v> </v>
      </c>
      <c r="G6" s="71"/>
      <c r="H6" s="74" t="s">
        <v>50</v>
      </c>
      <c r="I6" s="77" t="s">
        <v>18</v>
      </c>
    </row>
    <row r="7" spans="1:9" ht="15" customHeight="1" x14ac:dyDescent="0.25">
      <c r="A7" s="70"/>
      <c r="B7" s="71"/>
      <c r="C7" s="71"/>
      <c r="D7" s="71"/>
      <c r="E7" s="71"/>
      <c r="F7" s="71"/>
      <c r="G7" s="71"/>
      <c r="H7" s="71"/>
      <c r="I7" s="77"/>
    </row>
    <row r="8" spans="1:9" x14ac:dyDescent="0.25">
      <c r="A8" s="72" t="s">
        <v>6</v>
      </c>
      <c r="B8" s="71"/>
      <c r="C8" s="74"/>
      <c r="D8" s="71"/>
      <c r="E8" s="74" t="s">
        <v>10</v>
      </c>
      <c r="F8" s="74" t="str">
        <f>'Stavební rozpočet'!H6</f>
        <v xml:space="preserve"> </v>
      </c>
      <c r="G8" s="71"/>
      <c r="H8" s="71" t="s">
        <v>51</v>
      </c>
      <c r="I8" s="78">
        <v>38</v>
      </c>
    </row>
    <row r="9" spans="1:9" x14ac:dyDescent="0.25">
      <c r="A9" s="70"/>
      <c r="B9" s="71"/>
      <c r="C9" s="71"/>
      <c r="D9" s="71"/>
      <c r="E9" s="71"/>
      <c r="F9" s="71"/>
      <c r="G9" s="71"/>
      <c r="H9" s="71"/>
      <c r="I9" s="77"/>
    </row>
    <row r="10" spans="1:9" x14ac:dyDescent="0.25">
      <c r="A10" s="72" t="s">
        <v>52</v>
      </c>
      <c r="B10" s="71"/>
      <c r="C10" s="74" t="str">
        <f>'Stavební rozpočet'!D8</f>
        <v xml:space="preserve"> </v>
      </c>
      <c r="D10" s="71"/>
      <c r="E10" s="74" t="s">
        <v>12</v>
      </c>
      <c r="F10" s="74" t="s">
        <v>292</v>
      </c>
      <c r="G10" s="71"/>
      <c r="H10" s="71" t="s">
        <v>53</v>
      </c>
      <c r="I10" s="83" t="str">
        <f>'Stavební rozpočet'!H8</f>
        <v>06.12.2024</v>
      </c>
    </row>
    <row r="11" spans="1:9" x14ac:dyDescent="0.25">
      <c r="A11" s="88"/>
      <c r="B11" s="82"/>
      <c r="C11" s="82"/>
      <c r="D11" s="82"/>
      <c r="E11" s="82"/>
      <c r="F11" s="82"/>
      <c r="G11" s="82"/>
      <c r="H11" s="82"/>
      <c r="I11" s="84"/>
    </row>
    <row r="12" spans="1:9" ht="23.25" x14ac:dyDescent="0.25">
      <c r="A12" s="85" t="s">
        <v>54</v>
      </c>
      <c r="B12" s="85"/>
      <c r="C12" s="85"/>
      <c r="D12" s="85"/>
      <c r="E12" s="85"/>
      <c r="F12" s="85"/>
      <c r="G12" s="85"/>
      <c r="H12" s="85"/>
      <c r="I12" s="85"/>
    </row>
    <row r="13" spans="1:9" ht="26.25" customHeight="1" x14ac:dyDescent="0.25">
      <c r="A13" s="35" t="s">
        <v>55</v>
      </c>
      <c r="B13" s="86" t="s">
        <v>56</v>
      </c>
      <c r="C13" s="87"/>
      <c r="D13" s="36" t="s">
        <v>57</v>
      </c>
      <c r="E13" s="86" t="s">
        <v>58</v>
      </c>
      <c r="F13" s="87"/>
      <c r="G13" s="36" t="s">
        <v>59</v>
      </c>
      <c r="H13" s="86" t="s">
        <v>60</v>
      </c>
      <c r="I13" s="87"/>
    </row>
    <row r="14" spans="1:9" ht="15.75" x14ac:dyDescent="0.25">
      <c r="A14" s="37" t="s">
        <v>61</v>
      </c>
      <c r="B14" s="38" t="s">
        <v>62</v>
      </c>
      <c r="C14" s="39">
        <f>SUM('Stavební rozpočet'!AB12:AB83)</f>
        <v>0</v>
      </c>
      <c r="D14" s="95" t="s">
        <v>63</v>
      </c>
      <c r="E14" s="96"/>
      <c r="F14" s="39">
        <f>VORN!I15</f>
        <v>0</v>
      </c>
      <c r="G14" s="95" t="s">
        <v>64</v>
      </c>
      <c r="H14" s="96"/>
      <c r="I14" s="40">
        <f>VORN!I21</f>
        <v>0</v>
      </c>
    </row>
    <row r="15" spans="1:9" ht="15.75" x14ac:dyDescent="0.25">
      <c r="A15" s="41" t="s">
        <v>18</v>
      </c>
      <c r="B15" s="38" t="s">
        <v>65</v>
      </c>
      <c r="C15" s="39">
        <f>SUM('Stavební rozpočet'!AC12:AC83)</f>
        <v>0</v>
      </c>
      <c r="D15" s="95" t="s">
        <v>66</v>
      </c>
      <c r="E15" s="96"/>
      <c r="F15" s="39">
        <f>VORN!I16</f>
        <v>0</v>
      </c>
      <c r="G15" s="95" t="s">
        <v>67</v>
      </c>
      <c r="H15" s="96"/>
      <c r="I15" s="40">
        <f>VORN!I22</f>
        <v>0</v>
      </c>
    </row>
    <row r="16" spans="1:9" ht="15.75" x14ac:dyDescent="0.25">
      <c r="A16" s="37" t="s">
        <v>68</v>
      </c>
      <c r="B16" s="38" t="s">
        <v>62</v>
      </c>
      <c r="C16" s="39">
        <f>SUM('Stavební rozpočet'!AD12:AD83)</f>
        <v>0</v>
      </c>
      <c r="D16" s="95" t="s">
        <v>69</v>
      </c>
      <c r="E16" s="96"/>
      <c r="F16" s="39">
        <f>VORN!I17</f>
        <v>0</v>
      </c>
      <c r="G16" s="95" t="s">
        <v>70</v>
      </c>
      <c r="H16" s="96"/>
      <c r="I16" s="40">
        <f>VORN!I23</f>
        <v>0</v>
      </c>
    </row>
    <row r="17" spans="1:9" ht="15.75" x14ac:dyDescent="0.25">
      <c r="A17" s="41" t="s">
        <v>18</v>
      </c>
      <c r="B17" s="38" t="s">
        <v>65</v>
      </c>
      <c r="C17" s="39">
        <f>SUM('Stavební rozpočet'!AE12:AE83)</f>
        <v>0</v>
      </c>
      <c r="D17" s="95" t="s">
        <v>18</v>
      </c>
      <c r="E17" s="96"/>
      <c r="F17" s="40" t="s">
        <v>18</v>
      </c>
      <c r="G17" s="95" t="s">
        <v>71</v>
      </c>
      <c r="H17" s="96"/>
      <c r="I17" s="40">
        <f>VORN!I24</f>
        <v>0</v>
      </c>
    </row>
    <row r="18" spans="1:9" ht="15.75" x14ac:dyDescent="0.25">
      <c r="A18" s="37" t="s">
        <v>72</v>
      </c>
      <c r="B18" s="38" t="s">
        <v>62</v>
      </c>
      <c r="C18" s="39">
        <f>SUM('Stavební rozpočet'!AF12:AF83)</f>
        <v>0</v>
      </c>
      <c r="D18" s="95" t="s">
        <v>18</v>
      </c>
      <c r="E18" s="96"/>
      <c r="F18" s="40" t="s">
        <v>18</v>
      </c>
      <c r="G18" s="95" t="s">
        <v>73</v>
      </c>
      <c r="H18" s="96"/>
      <c r="I18" s="40">
        <f>VORN!I25</f>
        <v>0</v>
      </c>
    </row>
    <row r="19" spans="1:9" ht="15.75" x14ac:dyDescent="0.25">
      <c r="A19" s="41" t="s">
        <v>18</v>
      </c>
      <c r="B19" s="38" t="s">
        <v>65</v>
      </c>
      <c r="C19" s="39">
        <f>SUM('Stavební rozpočet'!AG12:AG83)</f>
        <v>0</v>
      </c>
      <c r="D19" s="95" t="s">
        <v>18</v>
      </c>
      <c r="E19" s="96"/>
      <c r="F19" s="40" t="s">
        <v>18</v>
      </c>
      <c r="G19" s="95" t="s">
        <v>74</v>
      </c>
      <c r="H19" s="96"/>
      <c r="I19" s="40">
        <f>VORN!I26</f>
        <v>0</v>
      </c>
    </row>
    <row r="20" spans="1:9" ht="15.75" x14ac:dyDescent="0.25">
      <c r="A20" s="89" t="s">
        <v>75</v>
      </c>
      <c r="B20" s="90"/>
      <c r="C20" s="39">
        <f>SUM('Stavební rozpočet'!AH12:AH83)</f>
        <v>0</v>
      </c>
      <c r="D20" s="95" t="s">
        <v>18</v>
      </c>
      <c r="E20" s="96"/>
      <c r="F20" s="40" t="s">
        <v>18</v>
      </c>
      <c r="G20" s="95" t="s">
        <v>18</v>
      </c>
      <c r="H20" s="96"/>
      <c r="I20" s="40" t="s">
        <v>18</v>
      </c>
    </row>
    <row r="21" spans="1:9" ht="15.75" x14ac:dyDescent="0.25">
      <c r="A21" s="91" t="s">
        <v>76</v>
      </c>
      <c r="B21" s="92"/>
      <c r="C21" s="42">
        <f>SUM('Stavební rozpočet'!Z12:Z83)</f>
        <v>-10558.9</v>
      </c>
      <c r="D21" s="97" t="s">
        <v>18</v>
      </c>
      <c r="E21" s="98"/>
      <c r="F21" s="43" t="s">
        <v>18</v>
      </c>
      <c r="G21" s="97" t="s">
        <v>18</v>
      </c>
      <c r="H21" s="98"/>
      <c r="I21" s="43" t="s">
        <v>18</v>
      </c>
    </row>
    <row r="22" spans="1:9" ht="16.5" customHeight="1" x14ac:dyDescent="0.25">
      <c r="A22" s="93" t="s">
        <v>77</v>
      </c>
      <c r="B22" s="94"/>
      <c r="C22" s="44">
        <f>ROUND(SUM(C14:C21),2)</f>
        <v>-10558.9</v>
      </c>
      <c r="D22" s="99" t="s">
        <v>78</v>
      </c>
      <c r="E22" s="94"/>
      <c r="F22" s="44">
        <f>SUM(F14:F21)</f>
        <v>0</v>
      </c>
      <c r="G22" s="99" t="s">
        <v>79</v>
      </c>
      <c r="H22" s="94"/>
      <c r="I22" s="44">
        <f>SUM(I14:I21)</f>
        <v>0</v>
      </c>
    </row>
    <row r="23" spans="1:9" ht="15.75" x14ac:dyDescent="0.25">
      <c r="D23" s="89" t="s">
        <v>80</v>
      </c>
      <c r="E23" s="90"/>
      <c r="F23" s="45">
        <v>0</v>
      </c>
      <c r="G23" s="100" t="s">
        <v>81</v>
      </c>
      <c r="H23" s="90"/>
      <c r="I23" s="39">
        <v>0</v>
      </c>
    </row>
    <row r="24" spans="1:9" ht="15.75" x14ac:dyDescent="0.25">
      <c r="G24" s="89" t="s">
        <v>82</v>
      </c>
      <c r="H24" s="90"/>
      <c r="I24" s="42">
        <f>vorn_sum</f>
        <v>0</v>
      </c>
    </row>
    <row r="25" spans="1:9" ht="15.75" x14ac:dyDescent="0.25">
      <c r="G25" s="89" t="s">
        <v>83</v>
      </c>
      <c r="H25" s="90"/>
      <c r="I25" s="44">
        <v>0</v>
      </c>
    </row>
    <row r="27" spans="1:9" ht="15.75" x14ac:dyDescent="0.25">
      <c r="A27" s="101" t="s">
        <v>84</v>
      </c>
      <c r="B27" s="102"/>
      <c r="C27" s="46">
        <f>ROUND(SUM('Stavební rozpočet'!AJ12:AJ83),2)</f>
        <v>0</v>
      </c>
    </row>
    <row r="28" spans="1:9" ht="15.75" x14ac:dyDescent="0.25">
      <c r="A28" s="103" t="s">
        <v>85</v>
      </c>
      <c r="B28" s="104"/>
      <c r="C28" s="47">
        <f>ROUND(SUM('Stavební rozpočet'!AK12:AK83),2)</f>
        <v>0</v>
      </c>
      <c r="D28" s="105" t="s">
        <v>86</v>
      </c>
      <c r="E28" s="102"/>
      <c r="F28" s="46">
        <f>ROUND(C28*(12/100),2)</f>
        <v>0</v>
      </c>
      <c r="G28" s="105" t="s">
        <v>87</v>
      </c>
      <c r="H28" s="102"/>
      <c r="I28" s="46">
        <f>ROUND(SUM(C27:C29),2)</f>
        <v>-10558.9</v>
      </c>
    </row>
    <row r="29" spans="1:9" ht="15.75" x14ac:dyDescent="0.25">
      <c r="A29" s="103" t="s">
        <v>88</v>
      </c>
      <c r="B29" s="104"/>
      <c r="C29" s="47">
        <f>ROUND(SUM('Stavební rozpočet'!AL12:AL83)+(F22+I22+F23+I23+I24+I25),2)</f>
        <v>-10558.9</v>
      </c>
      <c r="D29" s="106" t="s">
        <v>89</v>
      </c>
      <c r="E29" s="104"/>
      <c r="F29" s="47">
        <f>ROUND(C29*(21/100),2)</f>
        <v>-2217.37</v>
      </c>
      <c r="G29" s="106" t="s">
        <v>90</v>
      </c>
      <c r="H29" s="104"/>
      <c r="I29" s="47">
        <f>ROUND(SUM(F28:F29)+I28,2)</f>
        <v>-12776.27</v>
      </c>
    </row>
    <row r="31" spans="1:9" x14ac:dyDescent="0.25">
      <c r="A31" s="116" t="s">
        <v>91</v>
      </c>
      <c r="B31" s="108"/>
      <c r="C31" s="109"/>
      <c r="D31" s="107" t="s">
        <v>92</v>
      </c>
      <c r="E31" s="108"/>
      <c r="F31" s="109"/>
      <c r="G31" s="107" t="s">
        <v>93</v>
      </c>
      <c r="H31" s="108"/>
      <c r="I31" s="109"/>
    </row>
    <row r="32" spans="1:9" x14ac:dyDescent="0.25">
      <c r="A32" s="117" t="s">
        <v>18</v>
      </c>
      <c r="B32" s="111"/>
      <c r="C32" s="112"/>
      <c r="D32" s="110" t="s">
        <v>18</v>
      </c>
      <c r="E32" s="111"/>
      <c r="F32" s="112"/>
      <c r="G32" s="110" t="s">
        <v>18</v>
      </c>
      <c r="H32" s="111"/>
      <c r="I32" s="112"/>
    </row>
    <row r="33" spans="1:9" x14ac:dyDescent="0.25">
      <c r="A33" s="117" t="s">
        <v>18</v>
      </c>
      <c r="B33" s="111"/>
      <c r="C33" s="112"/>
      <c r="D33" s="110" t="s">
        <v>18</v>
      </c>
      <c r="E33" s="111"/>
      <c r="F33" s="112"/>
      <c r="G33" s="110" t="s">
        <v>18</v>
      </c>
      <c r="H33" s="111"/>
      <c r="I33" s="112"/>
    </row>
    <row r="34" spans="1:9" x14ac:dyDescent="0.25">
      <c r="A34" s="117" t="s">
        <v>18</v>
      </c>
      <c r="B34" s="111"/>
      <c r="C34" s="112"/>
      <c r="D34" s="110" t="s">
        <v>18</v>
      </c>
      <c r="E34" s="111"/>
      <c r="F34" s="112"/>
      <c r="G34" s="110" t="s">
        <v>18</v>
      </c>
      <c r="H34" s="111"/>
      <c r="I34" s="112"/>
    </row>
    <row r="35" spans="1:9" x14ac:dyDescent="0.25">
      <c r="A35" s="118" t="s">
        <v>94</v>
      </c>
      <c r="B35" s="114"/>
      <c r="C35" s="115"/>
      <c r="D35" s="113" t="s">
        <v>94</v>
      </c>
      <c r="E35" s="114"/>
      <c r="F35" s="115"/>
      <c r="G35" s="113" t="s">
        <v>94</v>
      </c>
      <c r="H35" s="114"/>
      <c r="I35" s="115"/>
    </row>
    <row r="36" spans="1:9" x14ac:dyDescent="0.25">
      <c r="A36" s="48" t="s">
        <v>95</v>
      </c>
    </row>
    <row r="37" spans="1:9" ht="12.75" customHeight="1" x14ac:dyDescent="0.25">
      <c r="A37" s="74" t="s">
        <v>18</v>
      </c>
      <c r="B37" s="71"/>
      <c r="C37" s="71"/>
      <c r="D37" s="71"/>
      <c r="E37" s="71"/>
      <c r="F37" s="71"/>
      <c r="G37" s="71"/>
      <c r="H37" s="71"/>
      <c r="I37" s="71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19" t="s">
        <v>96</v>
      </c>
      <c r="B1" s="49"/>
      <c r="C1" s="49"/>
      <c r="D1" s="49"/>
      <c r="E1" s="49"/>
      <c r="F1" s="49"/>
      <c r="G1" s="49"/>
      <c r="H1" s="49"/>
      <c r="I1" s="49"/>
    </row>
    <row r="2" spans="1:9" x14ac:dyDescent="0.25">
      <c r="A2" s="50" t="s">
        <v>1</v>
      </c>
      <c r="B2" s="51"/>
      <c r="C2" s="60" t="str">
        <f>'Stavební rozpočet'!D2</f>
        <v>24169 Bruntál, ul. Uhlířská, - 128,5bm od ul. Zeyerova, oprava povrchu</v>
      </c>
      <c r="D2" s="122"/>
      <c r="E2" s="58" t="s">
        <v>4</v>
      </c>
      <c r="F2" s="58" t="str">
        <f>'Stavební rozpočet'!J2</f>
        <v>Město Bruntál</v>
      </c>
      <c r="G2" s="51"/>
      <c r="H2" s="58" t="s">
        <v>50</v>
      </c>
      <c r="I2" s="120" t="s">
        <v>18</v>
      </c>
    </row>
    <row r="3" spans="1:9" ht="25.5" customHeight="1" x14ac:dyDescent="0.25">
      <c r="A3" s="52"/>
      <c r="B3" s="53"/>
      <c r="C3" s="61"/>
      <c r="D3" s="61"/>
      <c r="E3" s="53"/>
      <c r="F3" s="53"/>
      <c r="G3" s="53"/>
      <c r="H3" s="53"/>
      <c r="I3" s="63"/>
    </row>
    <row r="4" spans="1:9" x14ac:dyDescent="0.25">
      <c r="A4" s="54" t="s">
        <v>5</v>
      </c>
      <c r="B4" s="53"/>
      <c r="C4" s="59" t="str">
        <f>'Stavební rozpočet'!D4</f>
        <v xml:space="preserve"> </v>
      </c>
      <c r="D4" s="53"/>
      <c r="E4" s="59" t="s">
        <v>8</v>
      </c>
      <c r="F4" s="59" t="str">
        <f>'Stavební rozpočet'!J4</f>
        <v> </v>
      </c>
      <c r="G4" s="53"/>
      <c r="H4" s="59" t="s">
        <v>50</v>
      </c>
      <c r="I4" s="63" t="s">
        <v>18</v>
      </c>
    </row>
    <row r="5" spans="1:9" ht="15" customHeight="1" x14ac:dyDescent="0.25">
      <c r="A5" s="52"/>
      <c r="B5" s="53"/>
      <c r="C5" s="53"/>
      <c r="D5" s="53"/>
      <c r="E5" s="53"/>
      <c r="F5" s="53"/>
      <c r="G5" s="53"/>
      <c r="H5" s="53"/>
      <c r="I5" s="63"/>
    </row>
    <row r="6" spans="1:9" x14ac:dyDescent="0.25">
      <c r="A6" s="54" t="s">
        <v>9</v>
      </c>
      <c r="B6" s="53"/>
      <c r="C6" s="59" t="str">
        <f>'Stavební rozpočet'!D6</f>
        <v xml:space="preserve"> </v>
      </c>
      <c r="D6" s="53"/>
      <c r="E6" s="59" t="s">
        <v>11</v>
      </c>
      <c r="F6" s="59" t="str">
        <f>'Stavební rozpočet'!J6</f>
        <v> </v>
      </c>
      <c r="G6" s="53"/>
      <c r="H6" s="59" t="s">
        <v>50</v>
      </c>
      <c r="I6" s="63" t="s">
        <v>18</v>
      </c>
    </row>
    <row r="7" spans="1:9" ht="15" customHeight="1" x14ac:dyDescent="0.25">
      <c r="A7" s="52"/>
      <c r="B7" s="53"/>
      <c r="C7" s="53"/>
      <c r="D7" s="53"/>
      <c r="E7" s="53"/>
      <c r="F7" s="53"/>
      <c r="G7" s="53"/>
      <c r="H7" s="53"/>
      <c r="I7" s="63"/>
    </row>
    <row r="8" spans="1:9" x14ac:dyDescent="0.25">
      <c r="A8" s="54" t="s">
        <v>6</v>
      </c>
      <c r="B8" s="53"/>
      <c r="C8" s="59">
        <f>'Stavební rozpočet'!H4</f>
        <v>0</v>
      </c>
      <c r="D8" s="53"/>
      <c r="E8" s="59" t="s">
        <v>10</v>
      </c>
      <c r="F8" s="59" t="str">
        <f>'Stavební rozpočet'!H6</f>
        <v xml:space="preserve"> </v>
      </c>
      <c r="G8" s="53"/>
      <c r="H8" s="53" t="s">
        <v>51</v>
      </c>
      <c r="I8" s="121">
        <v>38</v>
      </c>
    </row>
    <row r="9" spans="1:9" x14ac:dyDescent="0.25">
      <c r="A9" s="52"/>
      <c r="B9" s="53"/>
      <c r="C9" s="53"/>
      <c r="D9" s="53"/>
      <c r="E9" s="53"/>
      <c r="F9" s="53"/>
      <c r="G9" s="53"/>
      <c r="H9" s="53"/>
      <c r="I9" s="63"/>
    </row>
    <row r="10" spans="1:9" x14ac:dyDescent="0.25">
      <c r="A10" s="54" t="s">
        <v>52</v>
      </c>
      <c r="B10" s="53"/>
      <c r="C10" s="59" t="str">
        <f>'Stavební rozpočet'!D8</f>
        <v xml:space="preserve"> </v>
      </c>
      <c r="D10" s="53"/>
      <c r="E10" s="59" t="s">
        <v>12</v>
      </c>
      <c r="F10" s="59" t="str">
        <f>'Stavební rozpočet'!J8</f>
        <v>M. Petrů</v>
      </c>
      <c r="G10" s="53"/>
      <c r="H10" s="53" t="s">
        <v>53</v>
      </c>
      <c r="I10" s="64" t="str">
        <f>'Stavební rozpočet'!H8</f>
        <v>06.12.2024</v>
      </c>
    </row>
    <row r="11" spans="1:9" x14ac:dyDescent="0.25">
      <c r="A11" s="131"/>
      <c r="B11" s="57"/>
      <c r="C11" s="57"/>
      <c r="D11" s="57"/>
      <c r="E11" s="57"/>
      <c r="F11" s="57"/>
      <c r="G11" s="57"/>
      <c r="H11" s="57"/>
      <c r="I11" s="123"/>
    </row>
    <row r="13" spans="1:9" ht="15.75" x14ac:dyDescent="0.25">
      <c r="A13" s="124" t="s">
        <v>97</v>
      </c>
      <c r="B13" s="124"/>
      <c r="C13" s="124"/>
      <c r="D13" s="124"/>
      <c r="E13" s="124"/>
    </row>
    <row r="14" spans="1:9" x14ac:dyDescent="0.25">
      <c r="A14" s="125" t="s">
        <v>98</v>
      </c>
      <c r="B14" s="126"/>
      <c r="C14" s="126"/>
      <c r="D14" s="126"/>
      <c r="E14" s="127"/>
      <c r="F14" s="14" t="s">
        <v>99</v>
      </c>
      <c r="G14" s="14" t="s">
        <v>100</v>
      </c>
      <c r="H14" s="14" t="s">
        <v>101</v>
      </c>
      <c r="I14" s="14" t="s">
        <v>99</v>
      </c>
    </row>
    <row r="15" spans="1:9" x14ac:dyDescent="0.25">
      <c r="A15" s="128" t="s">
        <v>63</v>
      </c>
      <c r="B15" s="129"/>
      <c r="C15" s="129"/>
      <c r="D15" s="129"/>
      <c r="E15" s="130"/>
      <c r="F15" s="15">
        <v>0</v>
      </c>
      <c r="G15" s="16" t="s">
        <v>18</v>
      </c>
      <c r="H15" s="16" t="s">
        <v>18</v>
      </c>
      <c r="I15" s="15">
        <f>F15</f>
        <v>0</v>
      </c>
    </row>
    <row r="16" spans="1:9" x14ac:dyDescent="0.25">
      <c r="A16" s="128" t="s">
        <v>66</v>
      </c>
      <c r="B16" s="129"/>
      <c r="C16" s="129"/>
      <c r="D16" s="129"/>
      <c r="E16" s="130"/>
      <c r="F16" s="15">
        <v>0</v>
      </c>
      <c r="G16" s="16" t="s">
        <v>18</v>
      </c>
      <c r="H16" s="16" t="s">
        <v>18</v>
      </c>
      <c r="I16" s="15">
        <f>F16</f>
        <v>0</v>
      </c>
    </row>
    <row r="17" spans="1:9" x14ac:dyDescent="0.25">
      <c r="A17" s="132" t="s">
        <v>69</v>
      </c>
      <c r="B17" s="133"/>
      <c r="C17" s="133"/>
      <c r="D17" s="133"/>
      <c r="E17" s="134"/>
      <c r="F17" s="17">
        <v>0</v>
      </c>
      <c r="G17" s="18" t="s">
        <v>18</v>
      </c>
      <c r="H17" s="18" t="s">
        <v>18</v>
      </c>
      <c r="I17" s="17">
        <f>F17</f>
        <v>0</v>
      </c>
    </row>
    <row r="18" spans="1:9" x14ac:dyDescent="0.25">
      <c r="A18" s="135" t="s">
        <v>102</v>
      </c>
      <c r="B18" s="136"/>
      <c r="C18" s="136"/>
      <c r="D18" s="136"/>
      <c r="E18" s="137"/>
      <c r="F18" s="19" t="s">
        <v>18</v>
      </c>
      <c r="G18" s="20" t="s">
        <v>18</v>
      </c>
      <c r="H18" s="20" t="s">
        <v>18</v>
      </c>
      <c r="I18" s="21">
        <f>SUM(I15:I17)</f>
        <v>0</v>
      </c>
    </row>
    <row r="20" spans="1:9" x14ac:dyDescent="0.25">
      <c r="A20" s="125" t="s">
        <v>60</v>
      </c>
      <c r="B20" s="126"/>
      <c r="C20" s="126"/>
      <c r="D20" s="126"/>
      <c r="E20" s="127"/>
      <c r="F20" s="14" t="s">
        <v>99</v>
      </c>
      <c r="G20" s="14" t="s">
        <v>100</v>
      </c>
      <c r="H20" s="14" t="s">
        <v>101</v>
      </c>
      <c r="I20" s="14" t="s">
        <v>99</v>
      </c>
    </row>
    <row r="21" spans="1:9" x14ac:dyDescent="0.25">
      <c r="A21" s="128" t="s">
        <v>64</v>
      </c>
      <c r="B21" s="129"/>
      <c r="C21" s="129"/>
      <c r="D21" s="129"/>
      <c r="E21" s="130"/>
      <c r="F21" s="15">
        <v>0</v>
      </c>
      <c r="G21" s="16" t="s">
        <v>18</v>
      </c>
      <c r="H21" s="16" t="s">
        <v>18</v>
      </c>
      <c r="I21" s="15">
        <f t="shared" ref="I21:I26" si="0">F21</f>
        <v>0</v>
      </c>
    </row>
    <row r="22" spans="1:9" x14ac:dyDescent="0.25">
      <c r="A22" s="128" t="s">
        <v>67</v>
      </c>
      <c r="B22" s="129"/>
      <c r="C22" s="129"/>
      <c r="D22" s="129"/>
      <c r="E22" s="130"/>
      <c r="F22" s="15">
        <v>0</v>
      </c>
      <c r="G22" s="16" t="s">
        <v>18</v>
      </c>
      <c r="H22" s="16" t="s">
        <v>18</v>
      </c>
      <c r="I22" s="15">
        <f t="shared" si="0"/>
        <v>0</v>
      </c>
    </row>
    <row r="23" spans="1:9" x14ac:dyDescent="0.25">
      <c r="A23" s="128" t="s">
        <v>70</v>
      </c>
      <c r="B23" s="129"/>
      <c r="C23" s="129"/>
      <c r="D23" s="129"/>
      <c r="E23" s="130"/>
      <c r="F23" s="15">
        <v>0</v>
      </c>
      <c r="G23" s="16" t="s">
        <v>18</v>
      </c>
      <c r="H23" s="16" t="s">
        <v>18</v>
      </c>
      <c r="I23" s="15">
        <f t="shared" si="0"/>
        <v>0</v>
      </c>
    </row>
    <row r="24" spans="1:9" x14ac:dyDescent="0.25">
      <c r="A24" s="128" t="s">
        <v>71</v>
      </c>
      <c r="B24" s="129"/>
      <c r="C24" s="129"/>
      <c r="D24" s="129"/>
      <c r="E24" s="130"/>
      <c r="F24" s="15">
        <v>0</v>
      </c>
      <c r="G24" s="16" t="s">
        <v>18</v>
      </c>
      <c r="H24" s="16" t="s">
        <v>18</v>
      </c>
      <c r="I24" s="15">
        <f t="shared" si="0"/>
        <v>0</v>
      </c>
    </row>
    <row r="25" spans="1:9" x14ac:dyDescent="0.25">
      <c r="A25" s="128" t="s">
        <v>73</v>
      </c>
      <c r="B25" s="129"/>
      <c r="C25" s="129"/>
      <c r="D25" s="129"/>
      <c r="E25" s="130"/>
      <c r="F25" s="15">
        <v>0</v>
      </c>
      <c r="G25" s="16" t="s">
        <v>18</v>
      </c>
      <c r="H25" s="16" t="s">
        <v>18</v>
      </c>
      <c r="I25" s="15">
        <f t="shared" si="0"/>
        <v>0</v>
      </c>
    </row>
    <row r="26" spans="1:9" x14ac:dyDescent="0.25">
      <c r="A26" s="132" t="s">
        <v>74</v>
      </c>
      <c r="B26" s="133"/>
      <c r="C26" s="133"/>
      <c r="D26" s="133"/>
      <c r="E26" s="134"/>
      <c r="F26" s="17">
        <v>0</v>
      </c>
      <c r="G26" s="18" t="s">
        <v>18</v>
      </c>
      <c r="H26" s="18" t="s">
        <v>18</v>
      </c>
      <c r="I26" s="17">
        <f t="shared" si="0"/>
        <v>0</v>
      </c>
    </row>
    <row r="27" spans="1:9" x14ac:dyDescent="0.25">
      <c r="A27" s="135" t="s">
        <v>103</v>
      </c>
      <c r="B27" s="136"/>
      <c r="C27" s="136"/>
      <c r="D27" s="136"/>
      <c r="E27" s="137"/>
      <c r="F27" s="19" t="s">
        <v>18</v>
      </c>
      <c r="G27" s="20" t="s">
        <v>18</v>
      </c>
      <c r="H27" s="20" t="s">
        <v>18</v>
      </c>
      <c r="I27" s="21">
        <f>SUM(I21:I26)</f>
        <v>0</v>
      </c>
    </row>
    <row r="29" spans="1:9" ht="15.75" x14ac:dyDescent="0.25">
      <c r="A29" s="138" t="s">
        <v>104</v>
      </c>
      <c r="B29" s="139"/>
      <c r="C29" s="139"/>
      <c r="D29" s="139"/>
      <c r="E29" s="140"/>
      <c r="F29" s="141">
        <f>I18+I27</f>
        <v>0</v>
      </c>
      <c r="G29" s="142"/>
      <c r="H29" s="142"/>
      <c r="I29" s="143"/>
    </row>
    <row r="33" spans="1:9" ht="15.75" x14ac:dyDescent="0.25">
      <c r="A33" s="124" t="s">
        <v>105</v>
      </c>
      <c r="B33" s="124"/>
      <c r="C33" s="124"/>
      <c r="D33" s="124"/>
      <c r="E33" s="124"/>
    </row>
    <row r="34" spans="1:9" x14ac:dyDescent="0.25">
      <c r="A34" s="125" t="s">
        <v>106</v>
      </c>
      <c r="B34" s="126"/>
      <c r="C34" s="126"/>
      <c r="D34" s="126"/>
      <c r="E34" s="127"/>
      <c r="F34" s="14" t="s">
        <v>99</v>
      </c>
      <c r="G34" s="14" t="s">
        <v>100</v>
      </c>
      <c r="H34" s="14" t="s">
        <v>101</v>
      </c>
      <c r="I34" s="14" t="s">
        <v>99</v>
      </c>
    </row>
    <row r="35" spans="1:9" x14ac:dyDescent="0.25">
      <c r="A35" s="132" t="s">
        <v>18</v>
      </c>
      <c r="B35" s="133"/>
      <c r="C35" s="133"/>
      <c r="D35" s="133"/>
      <c r="E35" s="134"/>
      <c r="F35" s="17">
        <v>0</v>
      </c>
      <c r="G35" s="18" t="s">
        <v>18</v>
      </c>
      <c r="H35" s="18" t="s">
        <v>18</v>
      </c>
      <c r="I35" s="17">
        <f>F35</f>
        <v>0</v>
      </c>
    </row>
    <row r="36" spans="1:9" x14ac:dyDescent="0.25">
      <c r="A36" s="135" t="s">
        <v>107</v>
      </c>
      <c r="B36" s="136"/>
      <c r="C36" s="136"/>
      <c r="D36" s="136"/>
      <c r="E36" s="137"/>
      <c r="F36" s="19" t="s">
        <v>18</v>
      </c>
      <c r="G36" s="20" t="s">
        <v>18</v>
      </c>
      <c r="H36" s="20" t="s">
        <v>18</v>
      </c>
      <c r="I36" s="21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85"/>
  <sheetViews>
    <sheetView tabSelected="1" workbookViewId="0">
      <pane ySplit="11" topLeftCell="A21" activePane="bottomLeft" state="frozen"/>
      <selection pane="bottomLeft" activeCellId="1" sqref="J1:XFD1048576 A1:G1048576"/>
    </sheetView>
  </sheetViews>
  <sheetFormatPr defaultColWidth="12.140625" defaultRowHeight="15" customHeight="1" x14ac:dyDescent="0.25"/>
  <cols>
    <col min="1" max="1" width="3.140625" style="146" customWidth="1"/>
    <col min="2" max="2" width="7.42578125" style="146" customWidth="1"/>
    <col min="3" max="3" width="17.85546875" style="146" customWidth="1"/>
    <col min="4" max="4" width="28.42578125" style="146" customWidth="1"/>
    <col min="5" max="5" width="35.7109375" style="146" customWidth="1"/>
    <col min="6" max="6" width="4.28515625" style="146" customWidth="1"/>
    <col min="7" max="7" width="12.85546875" style="146" customWidth="1"/>
    <col min="8" max="8" width="12" style="23" customWidth="1"/>
    <col min="9" max="9" width="15.7109375" style="23" customWidth="1"/>
    <col min="10" max="24" width="12.140625" style="146"/>
    <col min="25" max="75" width="12.140625" style="146" hidden="1"/>
    <col min="76" max="76" width="64.28515625" style="146" hidden="1" customWidth="1"/>
    <col min="77" max="78" width="12.140625" style="146" hidden="1"/>
    <col min="79" max="16384" width="12.140625" style="146"/>
  </cols>
  <sheetData>
    <row r="1" spans="1:76" ht="54.75" customHeight="1" x14ac:dyDescent="0.25">
      <c r="A1" s="163" t="s">
        <v>108</v>
      </c>
      <c r="B1" s="163"/>
      <c r="C1" s="163"/>
      <c r="D1" s="163"/>
      <c r="E1" s="163"/>
      <c r="F1" s="163"/>
      <c r="G1" s="163"/>
      <c r="H1" s="22"/>
      <c r="I1" s="22"/>
      <c r="J1" s="145"/>
      <c r="K1" s="145"/>
      <c r="AS1" s="147">
        <f>SUM(AJ1:AJ2)</f>
        <v>0</v>
      </c>
      <c r="AT1" s="147">
        <f>SUM(AK1:AK2)</f>
        <v>0</v>
      </c>
      <c r="AU1" s="147">
        <f>SUM(AL1:AL2)</f>
        <v>0</v>
      </c>
    </row>
    <row r="2" spans="1:76" x14ac:dyDescent="0.25">
      <c r="A2" s="164" t="s">
        <v>1</v>
      </c>
      <c r="B2" s="165"/>
      <c r="C2" s="165"/>
      <c r="D2" s="166" t="s">
        <v>109</v>
      </c>
      <c r="E2" s="167"/>
      <c r="F2" s="165" t="s">
        <v>2</v>
      </c>
      <c r="G2" s="165"/>
      <c r="H2" s="69" t="s">
        <v>3</v>
      </c>
      <c r="I2" s="73" t="s">
        <v>4</v>
      </c>
      <c r="J2" s="148" t="s">
        <v>289</v>
      </c>
      <c r="K2" s="149"/>
    </row>
    <row r="3" spans="1:76" x14ac:dyDescent="0.25">
      <c r="A3" s="168"/>
      <c r="B3" s="169"/>
      <c r="C3" s="169"/>
      <c r="D3" s="170"/>
      <c r="E3" s="170"/>
      <c r="F3" s="169"/>
      <c r="G3" s="169"/>
      <c r="H3" s="71"/>
      <c r="I3" s="71"/>
      <c r="J3" s="150" t="s">
        <v>290</v>
      </c>
      <c r="K3" s="151"/>
    </row>
    <row r="4" spans="1:76" x14ac:dyDescent="0.25">
      <c r="A4" s="171" t="s">
        <v>5</v>
      </c>
      <c r="B4" s="169"/>
      <c r="C4" s="169"/>
      <c r="D4" s="172" t="s">
        <v>3</v>
      </c>
      <c r="E4" s="169"/>
      <c r="F4" s="169" t="s">
        <v>6</v>
      </c>
      <c r="G4" s="169"/>
      <c r="H4" s="71"/>
      <c r="I4" s="74" t="s">
        <v>8</v>
      </c>
      <c r="J4" s="150" t="s">
        <v>110</v>
      </c>
      <c r="K4" s="151"/>
    </row>
    <row r="5" spans="1:76" x14ac:dyDescent="0.25">
      <c r="A5" s="168"/>
      <c r="B5" s="169"/>
      <c r="C5" s="169"/>
      <c r="D5" s="169"/>
      <c r="E5" s="169"/>
      <c r="F5" s="169"/>
      <c r="G5" s="169"/>
      <c r="H5" s="71"/>
      <c r="I5" s="71"/>
      <c r="J5" s="150"/>
      <c r="K5" s="151"/>
    </row>
    <row r="6" spans="1:76" x14ac:dyDescent="0.25">
      <c r="A6" s="171" t="s">
        <v>9</v>
      </c>
      <c r="B6" s="169"/>
      <c r="C6" s="169"/>
      <c r="D6" s="172" t="s">
        <v>3</v>
      </c>
      <c r="E6" s="169"/>
      <c r="F6" s="169" t="s">
        <v>10</v>
      </c>
      <c r="G6" s="169"/>
      <c r="H6" s="71" t="s">
        <v>3</v>
      </c>
      <c r="I6" s="74" t="s">
        <v>11</v>
      </c>
      <c r="J6" s="150" t="s">
        <v>110</v>
      </c>
      <c r="K6" s="151"/>
    </row>
    <row r="7" spans="1:76" x14ac:dyDescent="0.25">
      <c r="A7" s="168"/>
      <c r="B7" s="169"/>
      <c r="C7" s="169"/>
      <c r="D7" s="169"/>
      <c r="E7" s="169"/>
      <c r="F7" s="169"/>
      <c r="G7" s="169"/>
      <c r="H7" s="71"/>
      <c r="I7" s="71"/>
      <c r="J7" s="150"/>
      <c r="K7" s="151"/>
    </row>
    <row r="8" spans="1:76" x14ac:dyDescent="0.25">
      <c r="A8" s="171" t="s">
        <v>52</v>
      </c>
      <c r="B8" s="169"/>
      <c r="C8" s="169"/>
      <c r="D8" s="172" t="s">
        <v>3</v>
      </c>
      <c r="E8" s="169"/>
      <c r="F8" s="169" t="s">
        <v>13</v>
      </c>
      <c r="G8" s="169"/>
      <c r="H8" s="71" t="s">
        <v>7</v>
      </c>
      <c r="I8" s="74" t="s">
        <v>12</v>
      </c>
      <c r="J8" s="150" t="s">
        <v>292</v>
      </c>
      <c r="K8" s="151"/>
    </row>
    <row r="9" spans="1:76" x14ac:dyDescent="0.25">
      <c r="A9" s="173"/>
      <c r="B9" s="174"/>
      <c r="C9" s="174"/>
      <c r="D9" s="174"/>
      <c r="E9" s="174"/>
      <c r="F9" s="174"/>
      <c r="G9" s="174"/>
      <c r="H9" s="144"/>
      <c r="I9" s="144"/>
      <c r="J9" s="152"/>
      <c r="K9" s="153"/>
    </row>
    <row r="10" spans="1:76" x14ac:dyDescent="0.25">
      <c r="A10" s="175" t="s">
        <v>111</v>
      </c>
      <c r="B10" s="176" t="s">
        <v>14</v>
      </c>
      <c r="C10" s="176" t="s">
        <v>15</v>
      </c>
      <c r="D10" s="177" t="s">
        <v>16</v>
      </c>
      <c r="E10" s="178"/>
      <c r="F10" s="176" t="s">
        <v>112</v>
      </c>
      <c r="G10" s="179" t="s">
        <v>113</v>
      </c>
      <c r="H10" s="25" t="s">
        <v>114</v>
      </c>
      <c r="I10" s="26" t="s">
        <v>115</v>
      </c>
      <c r="K10" s="154"/>
      <c r="BK10" s="155" t="s">
        <v>116</v>
      </c>
      <c r="BL10" s="156" t="s">
        <v>117</v>
      </c>
      <c r="BW10" s="156" t="s">
        <v>118</v>
      </c>
    </row>
    <row r="11" spans="1:76" x14ac:dyDescent="0.25">
      <c r="A11" s="180" t="s">
        <v>3</v>
      </c>
      <c r="B11" s="181" t="s">
        <v>3</v>
      </c>
      <c r="C11" s="181" t="s">
        <v>3</v>
      </c>
      <c r="D11" s="182" t="s">
        <v>119</v>
      </c>
      <c r="E11" s="183"/>
      <c r="F11" s="181" t="s">
        <v>3</v>
      </c>
      <c r="G11" s="181" t="s">
        <v>3</v>
      </c>
      <c r="H11" s="27" t="s">
        <v>120</v>
      </c>
      <c r="I11" s="28" t="s">
        <v>121</v>
      </c>
      <c r="K11" s="157"/>
      <c r="Z11" s="155" t="s">
        <v>122</v>
      </c>
      <c r="AA11" s="155" t="s">
        <v>123</v>
      </c>
      <c r="AB11" s="155" t="s">
        <v>124</v>
      </c>
      <c r="AC11" s="155" t="s">
        <v>125</v>
      </c>
      <c r="AD11" s="155" t="s">
        <v>126</v>
      </c>
      <c r="AE11" s="155" t="s">
        <v>127</v>
      </c>
      <c r="AF11" s="155" t="s">
        <v>128</v>
      </c>
      <c r="AG11" s="155" t="s">
        <v>129</v>
      </c>
      <c r="AH11" s="155" t="s">
        <v>130</v>
      </c>
      <c r="BH11" s="155" t="s">
        <v>131</v>
      </c>
      <c r="BI11" s="155" t="s">
        <v>132</v>
      </c>
      <c r="BJ11" s="155" t="s">
        <v>133</v>
      </c>
    </row>
    <row r="12" spans="1:76" x14ac:dyDescent="0.25">
      <c r="A12" s="184" t="s">
        <v>18</v>
      </c>
      <c r="B12" s="185" t="s">
        <v>18</v>
      </c>
      <c r="C12" s="185" t="s">
        <v>19</v>
      </c>
      <c r="D12" s="186" t="s">
        <v>20</v>
      </c>
      <c r="E12" s="187"/>
      <c r="F12" s="188" t="s">
        <v>3</v>
      </c>
      <c r="G12" s="188" t="s">
        <v>3</v>
      </c>
      <c r="H12" s="29" t="s">
        <v>3</v>
      </c>
      <c r="I12" s="30">
        <f>SUM(I13:I18)</f>
        <v>0</v>
      </c>
      <c r="K12" s="157"/>
      <c r="AI12" s="155" t="s">
        <v>18</v>
      </c>
      <c r="AS12" s="147">
        <f>SUM(AJ13:AJ18)</f>
        <v>0</v>
      </c>
      <c r="AT12" s="147">
        <f>SUM(AK13:AK18)</f>
        <v>0</v>
      </c>
      <c r="AU12" s="147">
        <f>SUM(AL13:AL18)</f>
        <v>0</v>
      </c>
    </row>
    <row r="13" spans="1:76" x14ac:dyDescent="0.25">
      <c r="A13" s="189" t="s">
        <v>134</v>
      </c>
      <c r="B13" s="190" t="s">
        <v>18</v>
      </c>
      <c r="C13" s="190" t="s">
        <v>135</v>
      </c>
      <c r="D13" s="172" t="s">
        <v>64</v>
      </c>
      <c r="E13" s="169"/>
      <c r="F13" s="190" t="s">
        <v>136</v>
      </c>
      <c r="G13" s="158">
        <v>1</v>
      </c>
      <c r="H13" s="31">
        <v>0</v>
      </c>
      <c r="I13" s="31">
        <f t="shared" ref="I13:I18" si="0">ROUND(G13*H13,2)</f>
        <v>0</v>
      </c>
      <c r="K13" s="157"/>
      <c r="Z13" s="158">
        <f t="shared" ref="Z13:Z18" si="1">ROUND(IF(AQ13="5",BJ13,0),2)</f>
        <v>0</v>
      </c>
      <c r="AB13" s="158">
        <f t="shared" ref="AB13:AB18" si="2">ROUND(IF(AQ13="1",BH13,0),2)</f>
        <v>0</v>
      </c>
      <c r="AC13" s="158">
        <f t="shared" ref="AC13:AC18" si="3">ROUND(IF(AQ13="1",BI13,0),2)</f>
        <v>0</v>
      </c>
      <c r="AD13" s="158">
        <f t="shared" ref="AD13:AD18" si="4">ROUND(IF(AQ13="7",BH13,0),2)</f>
        <v>0</v>
      </c>
      <c r="AE13" s="158">
        <f t="shared" ref="AE13:AE18" si="5">ROUND(IF(AQ13="7",BI13,0),2)</f>
        <v>0</v>
      </c>
      <c r="AF13" s="158">
        <f t="shared" ref="AF13:AF18" si="6">ROUND(IF(AQ13="2",BH13,0),2)</f>
        <v>0</v>
      </c>
      <c r="AG13" s="158">
        <f t="shared" ref="AG13:AG18" si="7">ROUND(IF(AQ13="2",BI13,0),2)</f>
        <v>0</v>
      </c>
      <c r="AH13" s="158">
        <f t="shared" ref="AH13:AH18" si="8">ROUND(IF(AQ13="0",BJ13,0),2)</f>
        <v>0</v>
      </c>
      <c r="AI13" s="155" t="s">
        <v>18</v>
      </c>
      <c r="AJ13" s="158">
        <f t="shared" ref="AJ13:AJ18" si="9">IF(AN13=0,I13,0)</f>
        <v>0</v>
      </c>
      <c r="AK13" s="158">
        <f t="shared" ref="AK13:AK18" si="10">IF(AN13=12,I13,0)</f>
        <v>0</v>
      </c>
      <c r="AL13" s="158">
        <f t="shared" ref="AL13:AL18" si="11">IF(AN13=21,I13,0)</f>
        <v>0</v>
      </c>
      <c r="AN13" s="158">
        <v>21</v>
      </c>
      <c r="AO13" s="158">
        <f t="shared" ref="AO13:AO18" si="12">H13*0</f>
        <v>0</v>
      </c>
      <c r="AP13" s="158">
        <f t="shared" ref="AP13:AP18" si="13">H13*(1-0)</f>
        <v>0</v>
      </c>
      <c r="AQ13" s="159" t="s">
        <v>134</v>
      </c>
      <c r="AV13" s="158">
        <f t="shared" ref="AV13:AV18" si="14">ROUND(AW13+AX13,2)</f>
        <v>0</v>
      </c>
      <c r="AW13" s="158">
        <f t="shared" ref="AW13:AW18" si="15">ROUND(G13*AO13,2)</f>
        <v>0</v>
      </c>
      <c r="AX13" s="158">
        <f t="shared" ref="AX13:AX18" si="16">ROUND(G13*AP13,2)</f>
        <v>0</v>
      </c>
      <c r="AY13" s="159" t="s">
        <v>137</v>
      </c>
      <c r="AZ13" s="159" t="s">
        <v>137</v>
      </c>
      <c r="BA13" s="155" t="s">
        <v>138</v>
      </c>
      <c r="BC13" s="158">
        <f t="shared" ref="BC13:BC18" si="17">AW13+AX13</f>
        <v>0</v>
      </c>
      <c r="BD13" s="158">
        <f t="shared" ref="BD13:BD18" si="18">H13/(100-BE13)*100</f>
        <v>0</v>
      </c>
      <c r="BE13" s="158">
        <v>0</v>
      </c>
      <c r="BF13" s="158">
        <f>13</f>
        <v>13</v>
      </c>
      <c r="BH13" s="158">
        <f t="shared" ref="BH13:BH18" si="19">G13*AO13</f>
        <v>0</v>
      </c>
      <c r="BI13" s="158">
        <f t="shared" ref="BI13:BI18" si="20">G13*AP13</f>
        <v>0</v>
      </c>
      <c r="BJ13" s="158">
        <f t="shared" ref="BJ13:BJ18" si="21">G13*H13</f>
        <v>0</v>
      </c>
      <c r="BK13" s="158"/>
      <c r="BL13" s="158">
        <v>0</v>
      </c>
      <c r="BW13" s="158">
        <v>21</v>
      </c>
      <c r="BX13" s="160" t="s">
        <v>64</v>
      </c>
    </row>
    <row r="14" spans="1:76" x14ac:dyDescent="0.25">
      <c r="A14" s="189" t="s">
        <v>139</v>
      </c>
      <c r="B14" s="190" t="s">
        <v>18</v>
      </c>
      <c r="C14" s="190" t="s">
        <v>140</v>
      </c>
      <c r="D14" s="172" t="s">
        <v>141</v>
      </c>
      <c r="E14" s="169"/>
      <c r="F14" s="190" t="s">
        <v>136</v>
      </c>
      <c r="G14" s="158">
        <v>1</v>
      </c>
      <c r="H14" s="31">
        <v>0</v>
      </c>
      <c r="I14" s="31">
        <f t="shared" si="0"/>
        <v>0</v>
      </c>
      <c r="K14" s="157"/>
      <c r="Z14" s="158">
        <f t="shared" si="1"/>
        <v>0</v>
      </c>
      <c r="AB14" s="158">
        <f t="shared" si="2"/>
        <v>0</v>
      </c>
      <c r="AC14" s="158">
        <f t="shared" si="3"/>
        <v>0</v>
      </c>
      <c r="AD14" s="158">
        <f t="shared" si="4"/>
        <v>0</v>
      </c>
      <c r="AE14" s="158">
        <f t="shared" si="5"/>
        <v>0</v>
      </c>
      <c r="AF14" s="158">
        <f t="shared" si="6"/>
        <v>0</v>
      </c>
      <c r="AG14" s="158">
        <f t="shared" si="7"/>
        <v>0</v>
      </c>
      <c r="AH14" s="158">
        <f t="shared" si="8"/>
        <v>0</v>
      </c>
      <c r="AI14" s="155" t="s">
        <v>18</v>
      </c>
      <c r="AJ14" s="158">
        <f t="shared" si="9"/>
        <v>0</v>
      </c>
      <c r="AK14" s="158">
        <f t="shared" si="10"/>
        <v>0</v>
      </c>
      <c r="AL14" s="158">
        <f t="shared" si="11"/>
        <v>0</v>
      </c>
      <c r="AN14" s="158">
        <v>21</v>
      </c>
      <c r="AO14" s="158">
        <f t="shared" si="12"/>
        <v>0</v>
      </c>
      <c r="AP14" s="158">
        <f t="shared" si="13"/>
        <v>0</v>
      </c>
      <c r="AQ14" s="159" t="s">
        <v>134</v>
      </c>
      <c r="AV14" s="158">
        <f t="shared" si="14"/>
        <v>0</v>
      </c>
      <c r="AW14" s="158">
        <f t="shared" si="15"/>
        <v>0</v>
      </c>
      <c r="AX14" s="158">
        <f t="shared" si="16"/>
        <v>0</v>
      </c>
      <c r="AY14" s="159" t="s">
        <v>137</v>
      </c>
      <c r="AZ14" s="159" t="s">
        <v>137</v>
      </c>
      <c r="BA14" s="155" t="s">
        <v>138</v>
      </c>
      <c r="BC14" s="158">
        <f t="shared" si="17"/>
        <v>0</v>
      </c>
      <c r="BD14" s="158">
        <f t="shared" si="18"/>
        <v>0</v>
      </c>
      <c r="BE14" s="158">
        <v>0</v>
      </c>
      <c r="BF14" s="158">
        <f>14</f>
        <v>14</v>
      </c>
      <c r="BH14" s="158">
        <f t="shared" si="19"/>
        <v>0</v>
      </c>
      <c r="BI14" s="158">
        <f t="shared" si="20"/>
        <v>0</v>
      </c>
      <c r="BJ14" s="158">
        <f t="shared" si="21"/>
        <v>0</v>
      </c>
      <c r="BK14" s="158"/>
      <c r="BL14" s="158">
        <v>0</v>
      </c>
      <c r="BW14" s="158">
        <v>21</v>
      </c>
      <c r="BX14" s="160" t="s">
        <v>141</v>
      </c>
    </row>
    <row r="15" spans="1:76" x14ac:dyDescent="0.25">
      <c r="A15" s="189" t="s">
        <v>142</v>
      </c>
      <c r="B15" s="190" t="s">
        <v>18</v>
      </c>
      <c r="C15" s="190" t="s">
        <v>143</v>
      </c>
      <c r="D15" s="172" t="s">
        <v>144</v>
      </c>
      <c r="E15" s="169"/>
      <c r="F15" s="190" t="s">
        <v>136</v>
      </c>
      <c r="G15" s="158">
        <v>1</v>
      </c>
      <c r="H15" s="31">
        <v>0</v>
      </c>
      <c r="I15" s="31">
        <f t="shared" si="0"/>
        <v>0</v>
      </c>
      <c r="K15" s="157"/>
      <c r="Z15" s="158">
        <f t="shared" si="1"/>
        <v>0</v>
      </c>
      <c r="AB15" s="158">
        <f t="shared" si="2"/>
        <v>0</v>
      </c>
      <c r="AC15" s="158">
        <f t="shared" si="3"/>
        <v>0</v>
      </c>
      <c r="AD15" s="158">
        <f t="shared" si="4"/>
        <v>0</v>
      </c>
      <c r="AE15" s="158">
        <f t="shared" si="5"/>
        <v>0</v>
      </c>
      <c r="AF15" s="158">
        <f t="shared" si="6"/>
        <v>0</v>
      </c>
      <c r="AG15" s="158">
        <f t="shared" si="7"/>
        <v>0</v>
      </c>
      <c r="AH15" s="158">
        <f t="shared" si="8"/>
        <v>0</v>
      </c>
      <c r="AI15" s="155" t="s">
        <v>18</v>
      </c>
      <c r="AJ15" s="158">
        <f t="shared" si="9"/>
        <v>0</v>
      </c>
      <c r="AK15" s="158">
        <f t="shared" si="10"/>
        <v>0</v>
      </c>
      <c r="AL15" s="158">
        <f t="shared" si="11"/>
        <v>0</v>
      </c>
      <c r="AN15" s="158">
        <v>21</v>
      </c>
      <c r="AO15" s="158">
        <f t="shared" si="12"/>
        <v>0</v>
      </c>
      <c r="AP15" s="158">
        <f t="shared" si="13"/>
        <v>0</v>
      </c>
      <c r="AQ15" s="159" t="s">
        <v>134</v>
      </c>
      <c r="AV15" s="158">
        <f t="shared" si="14"/>
        <v>0</v>
      </c>
      <c r="AW15" s="158">
        <f t="shared" si="15"/>
        <v>0</v>
      </c>
      <c r="AX15" s="158">
        <f t="shared" si="16"/>
        <v>0</v>
      </c>
      <c r="AY15" s="159" t="s">
        <v>137</v>
      </c>
      <c r="AZ15" s="159" t="s">
        <v>137</v>
      </c>
      <c r="BA15" s="155" t="s">
        <v>138</v>
      </c>
      <c r="BC15" s="158">
        <f t="shared" si="17"/>
        <v>0</v>
      </c>
      <c r="BD15" s="158">
        <f t="shared" si="18"/>
        <v>0</v>
      </c>
      <c r="BE15" s="158">
        <v>0</v>
      </c>
      <c r="BF15" s="158">
        <f>15</f>
        <v>15</v>
      </c>
      <c r="BH15" s="158">
        <f t="shared" si="19"/>
        <v>0</v>
      </c>
      <c r="BI15" s="158">
        <f t="shared" si="20"/>
        <v>0</v>
      </c>
      <c r="BJ15" s="158">
        <f t="shared" si="21"/>
        <v>0</v>
      </c>
      <c r="BK15" s="158"/>
      <c r="BL15" s="158">
        <v>0</v>
      </c>
      <c r="BW15" s="158">
        <v>21</v>
      </c>
      <c r="BX15" s="160" t="s">
        <v>144</v>
      </c>
    </row>
    <row r="16" spans="1:76" x14ac:dyDescent="0.25">
      <c r="A16" s="189" t="s">
        <v>145</v>
      </c>
      <c r="B16" s="190" t="s">
        <v>18</v>
      </c>
      <c r="C16" s="190" t="s">
        <v>146</v>
      </c>
      <c r="D16" s="172" t="s">
        <v>147</v>
      </c>
      <c r="E16" s="169"/>
      <c r="F16" s="190" t="s">
        <v>136</v>
      </c>
      <c r="G16" s="158">
        <v>1</v>
      </c>
      <c r="H16" s="31">
        <v>0</v>
      </c>
      <c r="I16" s="31">
        <f t="shared" si="0"/>
        <v>0</v>
      </c>
      <c r="K16" s="157"/>
      <c r="Z16" s="158">
        <f t="shared" si="1"/>
        <v>0</v>
      </c>
      <c r="AB16" s="158">
        <f t="shared" si="2"/>
        <v>0</v>
      </c>
      <c r="AC16" s="158">
        <f t="shared" si="3"/>
        <v>0</v>
      </c>
      <c r="AD16" s="158">
        <f t="shared" si="4"/>
        <v>0</v>
      </c>
      <c r="AE16" s="158">
        <f t="shared" si="5"/>
        <v>0</v>
      </c>
      <c r="AF16" s="158">
        <f t="shared" si="6"/>
        <v>0</v>
      </c>
      <c r="AG16" s="158">
        <f t="shared" si="7"/>
        <v>0</v>
      </c>
      <c r="AH16" s="158">
        <f t="shared" si="8"/>
        <v>0</v>
      </c>
      <c r="AI16" s="155" t="s">
        <v>18</v>
      </c>
      <c r="AJ16" s="158">
        <f t="shared" si="9"/>
        <v>0</v>
      </c>
      <c r="AK16" s="158">
        <f t="shared" si="10"/>
        <v>0</v>
      </c>
      <c r="AL16" s="158">
        <f t="shared" si="11"/>
        <v>0</v>
      </c>
      <c r="AN16" s="158">
        <v>21</v>
      </c>
      <c r="AO16" s="158">
        <f t="shared" si="12"/>
        <v>0</v>
      </c>
      <c r="AP16" s="158">
        <f t="shared" si="13"/>
        <v>0</v>
      </c>
      <c r="AQ16" s="159" t="s">
        <v>134</v>
      </c>
      <c r="AV16" s="158">
        <f t="shared" si="14"/>
        <v>0</v>
      </c>
      <c r="AW16" s="158">
        <f t="shared" si="15"/>
        <v>0</v>
      </c>
      <c r="AX16" s="158">
        <f t="shared" si="16"/>
        <v>0</v>
      </c>
      <c r="AY16" s="159" t="s">
        <v>137</v>
      </c>
      <c r="AZ16" s="159" t="s">
        <v>137</v>
      </c>
      <c r="BA16" s="155" t="s">
        <v>138</v>
      </c>
      <c r="BC16" s="158">
        <f t="shared" si="17"/>
        <v>0</v>
      </c>
      <c r="BD16" s="158">
        <f t="shared" si="18"/>
        <v>0</v>
      </c>
      <c r="BE16" s="158">
        <v>0</v>
      </c>
      <c r="BF16" s="158">
        <f>16</f>
        <v>16</v>
      </c>
      <c r="BH16" s="158">
        <f t="shared" si="19"/>
        <v>0</v>
      </c>
      <c r="BI16" s="158">
        <f t="shared" si="20"/>
        <v>0</v>
      </c>
      <c r="BJ16" s="158">
        <f t="shared" si="21"/>
        <v>0</v>
      </c>
      <c r="BK16" s="158"/>
      <c r="BL16" s="158">
        <v>0</v>
      </c>
      <c r="BW16" s="158">
        <v>21</v>
      </c>
      <c r="BX16" s="160" t="s">
        <v>147</v>
      </c>
    </row>
    <row r="17" spans="1:76" x14ac:dyDescent="0.25">
      <c r="A17" s="189" t="s">
        <v>148</v>
      </c>
      <c r="B17" s="190" t="s">
        <v>18</v>
      </c>
      <c r="C17" s="190" t="s">
        <v>149</v>
      </c>
      <c r="D17" s="172" t="s">
        <v>150</v>
      </c>
      <c r="E17" s="169"/>
      <c r="F17" s="190" t="s">
        <v>136</v>
      </c>
      <c r="G17" s="158">
        <v>1</v>
      </c>
      <c r="H17" s="31">
        <v>0</v>
      </c>
      <c r="I17" s="31">
        <f t="shared" si="0"/>
        <v>0</v>
      </c>
      <c r="K17" s="157"/>
      <c r="Z17" s="158">
        <f t="shared" si="1"/>
        <v>0</v>
      </c>
      <c r="AB17" s="158">
        <f t="shared" si="2"/>
        <v>0</v>
      </c>
      <c r="AC17" s="158">
        <f t="shared" si="3"/>
        <v>0</v>
      </c>
      <c r="AD17" s="158">
        <f t="shared" si="4"/>
        <v>0</v>
      </c>
      <c r="AE17" s="158">
        <f t="shared" si="5"/>
        <v>0</v>
      </c>
      <c r="AF17" s="158">
        <f t="shared" si="6"/>
        <v>0</v>
      </c>
      <c r="AG17" s="158">
        <f t="shared" si="7"/>
        <v>0</v>
      </c>
      <c r="AH17" s="158">
        <f t="shared" si="8"/>
        <v>0</v>
      </c>
      <c r="AI17" s="155" t="s">
        <v>18</v>
      </c>
      <c r="AJ17" s="158">
        <f t="shared" si="9"/>
        <v>0</v>
      </c>
      <c r="AK17" s="158">
        <f t="shared" si="10"/>
        <v>0</v>
      </c>
      <c r="AL17" s="158">
        <f t="shared" si="11"/>
        <v>0</v>
      </c>
      <c r="AN17" s="158">
        <v>21</v>
      </c>
      <c r="AO17" s="158">
        <f t="shared" si="12"/>
        <v>0</v>
      </c>
      <c r="AP17" s="158">
        <f t="shared" si="13"/>
        <v>0</v>
      </c>
      <c r="AQ17" s="159" t="s">
        <v>134</v>
      </c>
      <c r="AV17" s="158">
        <f t="shared" si="14"/>
        <v>0</v>
      </c>
      <c r="AW17" s="158">
        <f t="shared" si="15"/>
        <v>0</v>
      </c>
      <c r="AX17" s="158">
        <f t="shared" si="16"/>
        <v>0</v>
      </c>
      <c r="AY17" s="159" t="s">
        <v>137</v>
      </c>
      <c r="AZ17" s="159" t="s">
        <v>137</v>
      </c>
      <c r="BA17" s="155" t="s">
        <v>138</v>
      </c>
      <c r="BC17" s="158">
        <f t="shared" si="17"/>
        <v>0</v>
      </c>
      <c r="BD17" s="158">
        <f t="shared" si="18"/>
        <v>0</v>
      </c>
      <c r="BE17" s="158">
        <v>0</v>
      </c>
      <c r="BF17" s="158">
        <f>17</f>
        <v>17</v>
      </c>
      <c r="BH17" s="158">
        <f t="shared" si="19"/>
        <v>0</v>
      </c>
      <c r="BI17" s="158">
        <f t="shared" si="20"/>
        <v>0</v>
      </c>
      <c r="BJ17" s="158">
        <f t="shared" si="21"/>
        <v>0</v>
      </c>
      <c r="BK17" s="158"/>
      <c r="BL17" s="158">
        <v>0</v>
      </c>
      <c r="BW17" s="158">
        <v>21</v>
      </c>
      <c r="BX17" s="160" t="s">
        <v>150</v>
      </c>
    </row>
    <row r="18" spans="1:76" x14ac:dyDescent="0.25">
      <c r="A18" s="189" t="s">
        <v>151</v>
      </c>
      <c r="B18" s="190" t="s">
        <v>18</v>
      </c>
      <c r="C18" s="190" t="s">
        <v>152</v>
      </c>
      <c r="D18" s="172" t="s">
        <v>153</v>
      </c>
      <c r="E18" s="169"/>
      <c r="F18" s="190" t="s">
        <v>136</v>
      </c>
      <c r="G18" s="158">
        <v>1</v>
      </c>
      <c r="H18" s="31">
        <v>0</v>
      </c>
      <c r="I18" s="31">
        <f t="shared" si="0"/>
        <v>0</v>
      </c>
      <c r="K18" s="157"/>
      <c r="Z18" s="158">
        <f t="shared" si="1"/>
        <v>0</v>
      </c>
      <c r="AB18" s="158">
        <f t="shared" si="2"/>
        <v>0</v>
      </c>
      <c r="AC18" s="158">
        <f t="shared" si="3"/>
        <v>0</v>
      </c>
      <c r="AD18" s="158">
        <f t="shared" si="4"/>
        <v>0</v>
      </c>
      <c r="AE18" s="158">
        <f t="shared" si="5"/>
        <v>0</v>
      </c>
      <c r="AF18" s="158">
        <f t="shared" si="6"/>
        <v>0</v>
      </c>
      <c r="AG18" s="158">
        <f t="shared" si="7"/>
        <v>0</v>
      </c>
      <c r="AH18" s="158">
        <f t="shared" si="8"/>
        <v>0</v>
      </c>
      <c r="AI18" s="155" t="s">
        <v>18</v>
      </c>
      <c r="AJ18" s="158">
        <f t="shared" si="9"/>
        <v>0</v>
      </c>
      <c r="AK18" s="158">
        <f t="shared" si="10"/>
        <v>0</v>
      </c>
      <c r="AL18" s="158">
        <f t="shared" si="11"/>
        <v>0</v>
      </c>
      <c r="AN18" s="158">
        <v>21</v>
      </c>
      <c r="AO18" s="158">
        <f t="shared" si="12"/>
        <v>0</v>
      </c>
      <c r="AP18" s="158">
        <f t="shared" si="13"/>
        <v>0</v>
      </c>
      <c r="AQ18" s="159" t="s">
        <v>134</v>
      </c>
      <c r="AV18" s="158">
        <f t="shared" si="14"/>
        <v>0</v>
      </c>
      <c r="AW18" s="158">
        <f t="shared" si="15"/>
        <v>0</v>
      </c>
      <c r="AX18" s="158">
        <f t="shared" si="16"/>
        <v>0</v>
      </c>
      <c r="AY18" s="159" t="s">
        <v>137</v>
      </c>
      <c r="AZ18" s="159" t="s">
        <v>137</v>
      </c>
      <c r="BA18" s="155" t="s">
        <v>138</v>
      </c>
      <c r="BC18" s="158">
        <f t="shared" si="17"/>
        <v>0</v>
      </c>
      <c r="BD18" s="158">
        <f t="shared" si="18"/>
        <v>0</v>
      </c>
      <c r="BE18" s="158">
        <v>0</v>
      </c>
      <c r="BF18" s="158">
        <f>18</f>
        <v>18</v>
      </c>
      <c r="BH18" s="158">
        <f t="shared" si="19"/>
        <v>0</v>
      </c>
      <c r="BI18" s="158">
        <f t="shared" si="20"/>
        <v>0</v>
      </c>
      <c r="BJ18" s="158">
        <f t="shared" si="21"/>
        <v>0</v>
      </c>
      <c r="BK18" s="158"/>
      <c r="BL18" s="158">
        <v>0</v>
      </c>
      <c r="BW18" s="158">
        <v>21</v>
      </c>
      <c r="BX18" s="160" t="s">
        <v>153</v>
      </c>
    </row>
    <row r="19" spans="1:76" x14ac:dyDescent="0.25">
      <c r="A19" s="191" t="s">
        <v>18</v>
      </c>
      <c r="B19" s="192" t="s">
        <v>18</v>
      </c>
      <c r="C19" s="192" t="s">
        <v>22</v>
      </c>
      <c r="D19" s="193" t="s">
        <v>23</v>
      </c>
      <c r="E19" s="194"/>
      <c r="F19" s="195" t="s">
        <v>3</v>
      </c>
      <c r="G19" s="195" t="s">
        <v>3</v>
      </c>
      <c r="H19" s="32" t="s">
        <v>3</v>
      </c>
      <c r="I19" s="24">
        <f>SUM(I20:I27)</f>
        <v>0</v>
      </c>
      <c r="K19" s="157"/>
      <c r="AI19" s="155" t="s">
        <v>18</v>
      </c>
      <c r="AS19" s="147">
        <f>SUM(AJ20:AJ27)</f>
        <v>0</v>
      </c>
      <c r="AT19" s="147">
        <f>SUM(AK20:AK27)</f>
        <v>0</v>
      </c>
      <c r="AU19" s="147">
        <f>SUM(AL20:AL27)</f>
        <v>0</v>
      </c>
    </row>
    <row r="20" spans="1:76" x14ac:dyDescent="0.25">
      <c r="A20" s="189" t="s">
        <v>154</v>
      </c>
      <c r="B20" s="190" t="s">
        <v>18</v>
      </c>
      <c r="C20" s="190" t="s">
        <v>155</v>
      </c>
      <c r="D20" s="172" t="s">
        <v>156</v>
      </c>
      <c r="E20" s="169"/>
      <c r="F20" s="190" t="s">
        <v>157</v>
      </c>
      <c r="G20" s="158">
        <v>949.7</v>
      </c>
      <c r="H20" s="31">
        <v>0</v>
      </c>
      <c r="I20" s="31">
        <f>ROUND(G20*H20,2)</f>
        <v>0</v>
      </c>
      <c r="K20" s="157"/>
      <c r="Z20" s="158">
        <f>ROUND(IF(AQ20="5",BJ20,0),2)</f>
        <v>0</v>
      </c>
      <c r="AB20" s="158">
        <f>ROUND(IF(AQ20="1",BH20,0),2)</f>
        <v>0</v>
      </c>
      <c r="AC20" s="158">
        <f>ROUND(IF(AQ20="1",BI20,0),2)</f>
        <v>0</v>
      </c>
      <c r="AD20" s="158">
        <f>ROUND(IF(AQ20="7",BH20,0),2)</f>
        <v>0</v>
      </c>
      <c r="AE20" s="158">
        <f>ROUND(IF(AQ20="7",BI20,0),2)</f>
        <v>0</v>
      </c>
      <c r="AF20" s="158">
        <f>ROUND(IF(AQ20="2",BH20,0),2)</f>
        <v>0</v>
      </c>
      <c r="AG20" s="158">
        <f>ROUND(IF(AQ20="2",BI20,0),2)</f>
        <v>0</v>
      </c>
      <c r="AH20" s="158">
        <f>ROUND(IF(AQ20="0",BJ20,0),2)</f>
        <v>0</v>
      </c>
      <c r="AI20" s="155" t="s">
        <v>18</v>
      </c>
      <c r="AJ20" s="158">
        <f>IF(AN20=0,I20,0)</f>
        <v>0</v>
      </c>
      <c r="AK20" s="158">
        <f>IF(AN20=12,I20,0)</f>
        <v>0</v>
      </c>
      <c r="AL20" s="158">
        <f>IF(AN20=21,I20,0)</f>
        <v>0</v>
      </c>
      <c r="AN20" s="158">
        <v>21</v>
      </c>
      <c r="AO20" s="158">
        <f>H20*0</f>
        <v>0</v>
      </c>
      <c r="AP20" s="158">
        <f>H20*(1-0)</f>
        <v>0</v>
      </c>
      <c r="AQ20" s="159" t="s">
        <v>134</v>
      </c>
      <c r="AV20" s="158">
        <f>ROUND(AW20+AX20,2)</f>
        <v>0</v>
      </c>
      <c r="AW20" s="158">
        <f>ROUND(G20*AO20,2)</f>
        <v>0</v>
      </c>
      <c r="AX20" s="158">
        <f>ROUND(G20*AP20,2)</f>
        <v>0</v>
      </c>
      <c r="AY20" s="159" t="s">
        <v>158</v>
      </c>
      <c r="AZ20" s="159" t="s">
        <v>159</v>
      </c>
      <c r="BA20" s="155" t="s">
        <v>138</v>
      </c>
      <c r="BC20" s="158">
        <f>AW20+AX20</f>
        <v>0</v>
      </c>
      <c r="BD20" s="158">
        <f>H20/(100-BE20)*100</f>
        <v>0</v>
      </c>
      <c r="BE20" s="158">
        <v>0</v>
      </c>
      <c r="BF20" s="158">
        <f>20</f>
        <v>20</v>
      </c>
      <c r="BH20" s="158">
        <f>G20*AO20</f>
        <v>0</v>
      </c>
      <c r="BI20" s="158">
        <f>G20*AP20</f>
        <v>0</v>
      </c>
      <c r="BJ20" s="158">
        <f>G20*H20</f>
        <v>0</v>
      </c>
      <c r="BK20" s="158"/>
      <c r="BL20" s="158">
        <v>11</v>
      </c>
      <c r="BW20" s="158">
        <v>21</v>
      </c>
      <c r="BX20" s="160" t="s">
        <v>156</v>
      </c>
    </row>
    <row r="21" spans="1:76" x14ac:dyDescent="0.25">
      <c r="A21" s="196"/>
      <c r="D21" s="197" t="s">
        <v>160</v>
      </c>
      <c r="E21" s="197" t="s">
        <v>18</v>
      </c>
      <c r="G21" s="198">
        <v>912.35</v>
      </c>
      <c r="K21" s="157"/>
    </row>
    <row r="22" spans="1:76" x14ac:dyDescent="0.25">
      <c r="A22" s="196"/>
      <c r="D22" s="197" t="s">
        <v>161</v>
      </c>
      <c r="E22" s="197" t="s">
        <v>18</v>
      </c>
      <c r="G22" s="198">
        <v>37.35</v>
      </c>
      <c r="K22" s="157"/>
    </row>
    <row r="23" spans="1:76" x14ac:dyDescent="0.25">
      <c r="A23" s="189" t="s">
        <v>162</v>
      </c>
      <c r="B23" s="190" t="s">
        <v>18</v>
      </c>
      <c r="C23" s="190" t="s">
        <v>163</v>
      </c>
      <c r="D23" s="172" t="s">
        <v>164</v>
      </c>
      <c r="E23" s="169"/>
      <c r="F23" s="190" t="s">
        <v>157</v>
      </c>
      <c r="G23" s="158">
        <v>10.199999999999999</v>
      </c>
      <c r="H23" s="31">
        <v>0</v>
      </c>
      <c r="I23" s="31">
        <f>ROUND(G23*H23,2)</f>
        <v>0</v>
      </c>
      <c r="K23" s="157"/>
      <c r="Z23" s="158">
        <f>ROUND(IF(AQ23="5",BJ23,0),2)</f>
        <v>0</v>
      </c>
      <c r="AB23" s="158">
        <f>ROUND(IF(AQ23="1",BH23,0),2)</f>
        <v>0</v>
      </c>
      <c r="AC23" s="158">
        <f>ROUND(IF(AQ23="1",BI23,0),2)</f>
        <v>0</v>
      </c>
      <c r="AD23" s="158">
        <f>ROUND(IF(AQ23="7",BH23,0),2)</f>
        <v>0</v>
      </c>
      <c r="AE23" s="158">
        <f>ROUND(IF(AQ23="7",BI23,0),2)</f>
        <v>0</v>
      </c>
      <c r="AF23" s="158">
        <f>ROUND(IF(AQ23="2",BH23,0),2)</f>
        <v>0</v>
      </c>
      <c r="AG23" s="158">
        <f>ROUND(IF(AQ23="2",BI23,0),2)</f>
        <v>0</v>
      </c>
      <c r="AH23" s="158">
        <f>ROUND(IF(AQ23="0",BJ23,0),2)</f>
        <v>0</v>
      </c>
      <c r="AI23" s="155" t="s">
        <v>18</v>
      </c>
      <c r="AJ23" s="158">
        <f>IF(AN23=0,I23,0)</f>
        <v>0</v>
      </c>
      <c r="AK23" s="158">
        <f>IF(AN23=12,I23,0)</f>
        <v>0</v>
      </c>
      <c r="AL23" s="158">
        <f>IF(AN23=21,I23,0)</f>
        <v>0</v>
      </c>
      <c r="AN23" s="158">
        <v>21</v>
      </c>
      <c r="AO23" s="158">
        <f>H23*0</f>
        <v>0</v>
      </c>
      <c r="AP23" s="158">
        <f>H23*(1-0)</f>
        <v>0</v>
      </c>
      <c r="AQ23" s="159" t="s">
        <v>134</v>
      </c>
      <c r="AV23" s="158">
        <f>ROUND(AW23+AX23,2)</f>
        <v>0</v>
      </c>
      <c r="AW23" s="158">
        <f>ROUND(G23*AO23,2)</f>
        <v>0</v>
      </c>
      <c r="AX23" s="158">
        <f>ROUND(G23*AP23,2)</f>
        <v>0</v>
      </c>
      <c r="AY23" s="159" t="s">
        <v>158</v>
      </c>
      <c r="AZ23" s="159" t="s">
        <v>159</v>
      </c>
      <c r="BA23" s="155" t="s">
        <v>138</v>
      </c>
      <c r="BC23" s="158">
        <f>AW23+AX23</f>
        <v>0</v>
      </c>
      <c r="BD23" s="158">
        <f>H23/(100-BE23)*100</f>
        <v>0</v>
      </c>
      <c r="BE23" s="158">
        <v>0</v>
      </c>
      <c r="BF23" s="158">
        <f>23</f>
        <v>23</v>
      </c>
      <c r="BH23" s="158">
        <f>G23*AO23</f>
        <v>0</v>
      </c>
      <c r="BI23" s="158">
        <f>G23*AP23</f>
        <v>0</v>
      </c>
      <c r="BJ23" s="158">
        <f>G23*H23</f>
        <v>0</v>
      </c>
      <c r="BK23" s="158"/>
      <c r="BL23" s="158">
        <v>11</v>
      </c>
      <c r="BW23" s="158">
        <v>21</v>
      </c>
      <c r="BX23" s="160" t="s">
        <v>164</v>
      </c>
    </row>
    <row r="24" spans="1:76" x14ac:dyDescent="0.25">
      <c r="A24" s="196"/>
      <c r="D24" s="197" t="s">
        <v>165</v>
      </c>
      <c r="E24" s="197" t="s">
        <v>18</v>
      </c>
      <c r="G24" s="198">
        <v>10.199999999999999</v>
      </c>
      <c r="K24" s="157"/>
    </row>
    <row r="25" spans="1:76" x14ac:dyDescent="0.25">
      <c r="A25" s="189" t="s">
        <v>166</v>
      </c>
      <c r="B25" s="190" t="s">
        <v>18</v>
      </c>
      <c r="C25" s="190" t="s">
        <v>167</v>
      </c>
      <c r="D25" s="172" t="s">
        <v>168</v>
      </c>
      <c r="E25" s="169"/>
      <c r="F25" s="190" t="s">
        <v>169</v>
      </c>
      <c r="G25" s="158">
        <v>65</v>
      </c>
      <c r="H25" s="31">
        <v>0</v>
      </c>
      <c r="I25" s="31">
        <f>ROUND(G25*H25,2)</f>
        <v>0</v>
      </c>
      <c r="K25" s="157"/>
      <c r="Z25" s="158">
        <f>ROUND(IF(AQ25="5",BJ25,0),2)</f>
        <v>0</v>
      </c>
      <c r="AB25" s="158">
        <f>ROUND(IF(AQ25="1",BH25,0),2)</f>
        <v>0</v>
      </c>
      <c r="AC25" s="158">
        <f>ROUND(IF(AQ25="1",BI25,0),2)</f>
        <v>0</v>
      </c>
      <c r="AD25" s="158">
        <f>ROUND(IF(AQ25="7",BH25,0),2)</f>
        <v>0</v>
      </c>
      <c r="AE25" s="158">
        <f>ROUND(IF(AQ25="7",BI25,0),2)</f>
        <v>0</v>
      </c>
      <c r="AF25" s="158">
        <f>ROUND(IF(AQ25="2",BH25,0),2)</f>
        <v>0</v>
      </c>
      <c r="AG25" s="158">
        <f>ROUND(IF(AQ25="2",BI25,0),2)</f>
        <v>0</v>
      </c>
      <c r="AH25" s="158">
        <f>ROUND(IF(AQ25="0",BJ25,0),2)</f>
        <v>0</v>
      </c>
      <c r="AI25" s="155" t="s">
        <v>18</v>
      </c>
      <c r="AJ25" s="158">
        <f>IF(AN25=0,I25,0)</f>
        <v>0</v>
      </c>
      <c r="AK25" s="158">
        <f>IF(AN25=12,I25,0)</f>
        <v>0</v>
      </c>
      <c r="AL25" s="158">
        <f>IF(AN25=21,I25,0)</f>
        <v>0</v>
      </c>
      <c r="AN25" s="158">
        <v>21</v>
      </c>
      <c r="AO25" s="158">
        <f>H25*0</f>
        <v>0</v>
      </c>
      <c r="AP25" s="158">
        <f>H25*(1-0)</f>
        <v>0</v>
      </c>
      <c r="AQ25" s="159" t="s">
        <v>134</v>
      </c>
      <c r="AV25" s="158">
        <f>ROUND(AW25+AX25,2)</f>
        <v>0</v>
      </c>
      <c r="AW25" s="158">
        <f>ROUND(G25*AO25,2)</f>
        <v>0</v>
      </c>
      <c r="AX25" s="158">
        <f>ROUND(G25*AP25,2)</f>
        <v>0</v>
      </c>
      <c r="AY25" s="159" t="s">
        <v>158</v>
      </c>
      <c r="AZ25" s="159" t="s">
        <v>159</v>
      </c>
      <c r="BA25" s="155" t="s">
        <v>138</v>
      </c>
      <c r="BC25" s="158">
        <f>AW25+AX25</f>
        <v>0</v>
      </c>
      <c r="BD25" s="158">
        <f>H25/(100-BE25)*100</f>
        <v>0</v>
      </c>
      <c r="BE25" s="158">
        <v>0</v>
      </c>
      <c r="BF25" s="158">
        <f>25</f>
        <v>25</v>
      </c>
      <c r="BH25" s="158">
        <f>G25*AO25</f>
        <v>0</v>
      </c>
      <c r="BI25" s="158">
        <f>G25*AP25</f>
        <v>0</v>
      </c>
      <c r="BJ25" s="158">
        <f>G25*H25</f>
        <v>0</v>
      </c>
      <c r="BK25" s="158"/>
      <c r="BL25" s="158">
        <v>11</v>
      </c>
      <c r="BW25" s="158">
        <v>21</v>
      </c>
      <c r="BX25" s="160" t="s">
        <v>168</v>
      </c>
    </row>
    <row r="26" spans="1:76" x14ac:dyDescent="0.25">
      <c r="A26" s="196"/>
      <c r="D26" s="197" t="s">
        <v>170</v>
      </c>
      <c r="E26" s="197" t="s">
        <v>18</v>
      </c>
      <c r="G26" s="198">
        <v>65</v>
      </c>
      <c r="K26" s="157"/>
    </row>
    <row r="27" spans="1:76" x14ac:dyDescent="0.25">
      <c r="A27" s="189" t="s">
        <v>171</v>
      </c>
      <c r="B27" s="190" t="s">
        <v>18</v>
      </c>
      <c r="C27" s="190" t="s">
        <v>172</v>
      </c>
      <c r="D27" s="172" t="s">
        <v>173</v>
      </c>
      <c r="E27" s="169"/>
      <c r="F27" s="190" t="s">
        <v>157</v>
      </c>
      <c r="G27" s="158">
        <v>10.199999999999999</v>
      </c>
      <c r="H27" s="31">
        <v>0</v>
      </c>
      <c r="I27" s="31">
        <f>ROUND(G27*H27,2)</f>
        <v>0</v>
      </c>
      <c r="K27" s="157"/>
      <c r="Z27" s="158">
        <f>ROUND(IF(AQ27="5",BJ27,0),2)</f>
        <v>0</v>
      </c>
      <c r="AB27" s="158">
        <f>ROUND(IF(AQ27="1",BH27,0),2)</f>
        <v>0</v>
      </c>
      <c r="AC27" s="158">
        <f>ROUND(IF(AQ27="1",BI27,0),2)</f>
        <v>0</v>
      </c>
      <c r="AD27" s="158">
        <f>ROUND(IF(AQ27="7",BH27,0),2)</f>
        <v>0</v>
      </c>
      <c r="AE27" s="158">
        <f>ROUND(IF(AQ27="7",BI27,0),2)</f>
        <v>0</v>
      </c>
      <c r="AF27" s="158">
        <f>ROUND(IF(AQ27="2",BH27,0),2)</f>
        <v>0</v>
      </c>
      <c r="AG27" s="158">
        <f>ROUND(IF(AQ27="2",BI27,0),2)</f>
        <v>0</v>
      </c>
      <c r="AH27" s="158">
        <f>ROUND(IF(AQ27="0",BJ27,0),2)</f>
        <v>0</v>
      </c>
      <c r="AI27" s="155" t="s">
        <v>18</v>
      </c>
      <c r="AJ27" s="158">
        <f>IF(AN27=0,I27,0)</f>
        <v>0</v>
      </c>
      <c r="AK27" s="158">
        <f>IF(AN27=12,I27,0)</f>
        <v>0</v>
      </c>
      <c r="AL27" s="158">
        <f>IF(AN27=21,I27,0)</f>
        <v>0</v>
      </c>
      <c r="AN27" s="158">
        <v>21</v>
      </c>
      <c r="AO27" s="158">
        <f>H27*0</f>
        <v>0</v>
      </c>
      <c r="AP27" s="158">
        <f>H27*(1-0)</f>
        <v>0</v>
      </c>
      <c r="AQ27" s="159" t="s">
        <v>134</v>
      </c>
      <c r="AV27" s="158">
        <f>ROUND(AW27+AX27,2)</f>
        <v>0</v>
      </c>
      <c r="AW27" s="158">
        <f>ROUND(G27*AO27,2)</f>
        <v>0</v>
      </c>
      <c r="AX27" s="158">
        <f>ROUND(G27*AP27,2)</f>
        <v>0</v>
      </c>
      <c r="AY27" s="159" t="s">
        <v>158</v>
      </c>
      <c r="AZ27" s="159" t="s">
        <v>159</v>
      </c>
      <c r="BA27" s="155" t="s">
        <v>138</v>
      </c>
      <c r="BC27" s="158">
        <f>AW27+AX27</f>
        <v>0</v>
      </c>
      <c r="BD27" s="158">
        <f>H27/(100-BE27)*100</f>
        <v>0</v>
      </c>
      <c r="BE27" s="158">
        <v>0</v>
      </c>
      <c r="BF27" s="158">
        <f>27</f>
        <v>27</v>
      </c>
      <c r="BH27" s="158">
        <f>G27*AO27</f>
        <v>0</v>
      </c>
      <c r="BI27" s="158">
        <f>G27*AP27</f>
        <v>0</v>
      </c>
      <c r="BJ27" s="158">
        <f>G27*H27</f>
        <v>0</v>
      </c>
      <c r="BK27" s="158"/>
      <c r="BL27" s="158">
        <v>11</v>
      </c>
      <c r="BW27" s="158">
        <v>21</v>
      </c>
      <c r="BX27" s="160" t="s">
        <v>173</v>
      </c>
    </row>
    <row r="28" spans="1:76" x14ac:dyDescent="0.25">
      <c r="A28" s="196"/>
      <c r="D28" s="197" t="s">
        <v>174</v>
      </c>
      <c r="E28" s="197" t="s">
        <v>18</v>
      </c>
      <c r="G28" s="198">
        <v>10.199999999999999</v>
      </c>
      <c r="K28" s="157"/>
    </row>
    <row r="29" spans="1:76" x14ac:dyDescent="0.25">
      <c r="A29" s="191" t="s">
        <v>18</v>
      </c>
      <c r="B29" s="192" t="s">
        <v>18</v>
      </c>
      <c r="C29" s="192" t="s">
        <v>24</v>
      </c>
      <c r="D29" s="193" t="s">
        <v>25</v>
      </c>
      <c r="E29" s="194"/>
      <c r="F29" s="195" t="s">
        <v>3</v>
      </c>
      <c r="G29" s="195" t="s">
        <v>3</v>
      </c>
      <c r="H29" s="32" t="s">
        <v>3</v>
      </c>
      <c r="I29" s="24">
        <f>SUM(I30:I33)</f>
        <v>0</v>
      </c>
      <c r="K29" s="157"/>
      <c r="AI29" s="155" t="s">
        <v>18</v>
      </c>
      <c r="AS29" s="147">
        <f>SUM(AJ30:AJ33)</f>
        <v>0</v>
      </c>
      <c r="AT29" s="147">
        <f>SUM(AK30:AK33)</f>
        <v>0</v>
      </c>
      <c r="AU29" s="147">
        <f>SUM(AL30:AL33)</f>
        <v>0</v>
      </c>
    </row>
    <row r="30" spans="1:76" x14ac:dyDescent="0.25">
      <c r="A30" s="189" t="s">
        <v>22</v>
      </c>
      <c r="B30" s="190" t="s">
        <v>18</v>
      </c>
      <c r="C30" s="190" t="s">
        <v>175</v>
      </c>
      <c r="D30" s="172" t="s">
        <v>176</v>
      </c>
      <c r="E30" s="169"/>
      <c r="F30" s="190" t="s">
        <v>177</v>
      </c>
      <c r="G30" s="158">
        <v>7.8</v>
      </c>
      <c r="H30" s="31">
        <v>0</v>
      </c>
      <c r="I30" s="31">
        <f>ROUND(G30*H30,2)</f>
        <v>0</v>
      </c>
      <c r="K30" s="157"/>
      <c r="Z30" s="158">
        <f>ROUND(IF(AQ30="5",BJ30,0),2)</f>
        <v>0</v>
      </c>
      <c r="AB30" s="158">
        <f>ROUND(IF(AQ30="1",BH30,0),2)</f>
        <v>0</v>
      </c>
      <c r="AC30" s="158">
        <f>ROUND(IF(AQ30="1",BI30,0),2)</f>
        <v>0</v>
      </c>
      <c r="AD30" s="158">
        <f>ROUND(IF(AQ30="7",BH30,0),2)</f>
        <v>0</v>
      </c>
      <c r="AE30" s="158">
        <f>ROUND(IF(AQ30="7",BI30,0),2)</f>
        <v>0</v>
      </c>
      <c r="AF30" s="158">
        <f>ROUND(IF(AQ30="2",BH30,0),2)</f>
        <v>0</v>
      </c>
      <c r="AG30" s="158">
        <f>ROUND(IF(AQ30="2",BI30,0),2)</f>
        <v>0</v>
      </c>
      <c r="AH30" s="158">
        <f>ROUND(IF(AQ30="0",BJ30,0),2)</f>
        <v>0</v>
      </c>
      <c r="AI30" s="155" t="s">
        <v>18</v>
      </c>
      <c r="AJ30" s="158">
        <f>IF(AN30=0,I30,0)</f>
        <v>0</v>
      </c>
      <c r="AK30" s="158">
        <f>IF(AN30=12,I30,0)</f>
        <v>0</v>
      </c>
      <c r="AL30" s="158">
        <f>IF(AN30=21,I30,0)</f>
        <v>0</v>
      </c>
      <c r="AN30" s="158">
        <v>21</v>
      </c>
      <c r="AO30" s="158">
        <f>H30*0</f>
        <v>0</v>
      </c>
      <c r="AP30" s="158">
        <f>H30*(1-0)</f>
        <v>0</v>
      </c>
      <c r="AQ30" s="159" t="s">
        <v>134</v>
      </c>
      <c r="AV30" s="158">
        <f>ROUND(AW30+AX30,2)</f>
        <v>0</v>
      </c>
      <c r="AW30" s="158">
        <f>ROUND(G30*AO30,2)</f>
        <v>0</v>
      </c>
      <c r="AX30" s="158">
        <f>ROUND(G30*AP30,2)</f>
        <v>0</v>
      </c>
      <c r="AY30" s="159" t="s">
        <v>178</v>
      </c>
      <c r="AZ30" s="159" t="s">
        <v>159</v>
      </c>
      <c r="BA30" s="155" t="s">
        <v>138</v>
      </c>
      <c r="BC30" s="158">
        <f>AW30+AX30</f>
        <v>0</v>
      </c>
      <c r="BD30" s="158">
        <f>H30/(100-BE30)*100</f>
        <v>0</v>
      </c>
      <c r="BE30" s="158">
        <v>0</v>
      </c>
      <c r="BF30" s="158">
        <f>30</f>
        <v>30</v>
      </c>
      <c r="BH30" s="158">
        <f>G30*AO30</f>
        <v>0</v>
      </c>
      <c r="BI30" s="158">
        <f>G30*AP30</f>
        <v>0</v>
      </c>
      <c r="BJ30" s="158">
        <f>G30*H30</f>
        <v>0</v>
      </c>
      <c r="BK30" s="158"/>
      <c r="BL30" s="158">
        <v>13</v>
      </c>
      <c r="BW30" s="158">
        <v>21</v>
      </c>
      <c r="BX30" s="160" t="s">
        <v>176</v>
      </c>
    </row>
    <row r="31" spans="1:76" x14ac:dyDescent="0.25">
      <c r="A31" s="196"/>
      <c r="D31" s="197" t="s">
        <v>179</v>
      </c>
      <c r="E31" s="197" t="s">
        <v>18</v>
      </c>
      <c r="G31" s="198">
        <v>0</v>
      </c>
      <c r="K31" s="157"/>
    </row>
    <row r="32" spans="1:76" x14ac:dyDescent="0.25">
      <c r="A32" s="196"/>
      <c r="D32" s="197" t="s">
        <v>180</v>
      </c>
      <c r="E32" s="197" t="s">
        <v>18</v>
      </c>
      <c r="G32" s="198">
        <v>7.8</v>
      </c>
      <c r="K32" s="157"/>
    </row>
    <row r="33" spans="1:76" x14ac:dyDescent="0.25">
      <c r="A33" s="189" t="s">
        <v>181</v>
      </c>
      <c r="B33" s="190" t="s">
        <v>18</v>
      </c>
      <c r="C33" s="190" t="s">
        <v>182</v>
      </c>
      <c r="D33" s="172" t="s">
        <v>183</v>
      </c>
      <c r="E33" s="169"/>
      <c r="F33" s="190" t="s">
        <v>177</v>
      </c>
      <c r="G33" s="158">
        <v>3.9</v>
      </c>
      <c r="H33" s="31">
        <v>0</v>
      </c>
      <c r="I33" s="31">
        <f>ROUND(G33*H33,2)</f>
        <v>0</v>
      </c>
      <c r="K33" s="157"/>
      <c r="Z33" s="158">
        <f>ROUND(IF(AQ33="5",BJ33,0),2)</f>
        <v>0</v>
      </c>
      <c r="AB33" s="158">
        <f>ROUND(IF(AQ33="1",BH33,0),2)</f>
        <v>0</v>
      </c>
      <c r="AC33" s="158">
        <f>ROUND(IF(AQ33="1",BI33,0),2)</f>
        <v>0</v>
      </c>
      <c r="AD33" s="158">
        <f>ROUND(IF(AQ33="7",BH33,0),2)</f>
        <v>0</v>
      </c>
      <c r="AE33" s="158">
        <f>ROUND(IF(AQ33="7",BI33,0),2)</f>
        <v>0</v>
      </c>
      <c r="AF33" s="158">
        <f>ROUND(IF(AQ33="2",BH33,0),2)</f>
        <v>0</v>
      </c>
      <c r="AG33" s="158">
        <f>ROUND(IF(AQ33="2",BI33,0),2)</f>
        <v>0</v>
      </c>
      <c r="AH33" s="158">
        <f>ROUND(IF(AQ33="0",BJ33,0),2)</f>
        <v>0</v>
      </c>
      <c r="AI33" s="155" t="s">
        <v>18</v>
      </c>
      <c r="AJ33" s="158">
        <f>IF(AN33=0,I33,0)</f>
        <v>0</v>
      </c>
      <c r="AK33" s="158">
        <f>IF(AN33=12,I33,0)</f>
        <v>0</v>
      </c>
      <c r="AL33" s="158">
        <f>IF(AN33=21,I33,0)</f>
        <v>0</v>
      </c>
      <c r="AN33" s="158">
        <v>21</v>
      </c>
      <c r="AO33" s="158">
        <f>H33*0</f>
        <v>0</v>
      </c>
      <c r="AP33" s="158">
        <f>H33*(1-0)</f>
        <v>0</v>
      </c>
      <c r="AQ33" s="159" t="s">
        <v>134</v>
      </c>
      <c r="AV33" s="158">
        <f>ROUND(AW33+AX33,2)</f>
        <v>0</v>
      </c>
      <c r="AW33" s="158">
        <f>ROUND(G33*AO33,2)</f>
        <v>0</v>
      </c>
      <c r="AX33" s="158">
        <f>ROUND(G33*AP33,2)</f>
        <v>0</v>
      </c>
      <c r="AY33" s="159" t="s">
        <v>178</v>
      </c>
      <c r="AZ33" s="159" t="s">
        <v>159</v>
      </c>
      <c r="BA33" s="155" t="s">
        <v>138</v>
      </c>
      <c r="BC33" s="158">
        <f>AW33+AX33</f>
        <v>0</v>
      </c>
      <c r="BD33" s="158">
        <f>H33/(100-BE33)*100</f>
        <v>0</v>
      </c>
      <c r="BE33" s="158">
        <v>0</v>
      </c>
      <c r="BF33" s="158">
        <f>33</f>
        <v>33</v>
      </c>
      <c r="BH33" s="158">
        <f>G33*AO33</f>
        <v>0</v>
      </c>
      <c r="BI33" s="158">
        <f>G33*AP33</f>
        <v>0</v>
      </c>
      <c r="BJ33" s="158">
        <f>G33*H33</f>
        <v>0</v>
      </c>
      <c r="BK33" s="158"/>
      <c r="BL33" s="158">
        <v>13</v>
      </c>
      <c r="BW33" s="158">
        <v>21</v>
      </c>
      <c r="BX33" s="160" t="s">
        <v>183</v>
      </c>
    </row>
    <row r="34" spans="1:76" x14ac:dyDescent="0.25">
      <c r="A34" s="196"/>
      <c r="D34" s="197" t="s">
        <v>184</v>
      </c>
      <c r="E34" s="197" t="s">
        <v>18</v>
      </c>
      <c r="G34" s="198">
        <v>3.9</v>
      </c>
      <c r="K34" s="157"/>
    </row>
    <row r="35" spans="1:76" x14ac:dyDescent="0.25">
      <c r="A35" s="191" t="s">
        <v>18</v>
      </c>
      <c r="B35" s="192" t="s">
        <v>18</v>
      </c>
      <c r="C35" s="192" t="s">
        <v>26</v>
      </c>
      <c r="D35" s="193" t="s">
        <v>27</v>
      </c>
      <c r="E35" s="194"/>
      <c r="F35" s="195" t="s">
        <v>3</v>
      </c>
      <c r="G35" s="195" t="s">
        <v>3</v>
      </c>
      <c r="H35" s="32" t="s">
        <v>3</v>
      </c>
      <c r="I35" s="24">
        <f>SUM(I36:I37)</f>
        <v>0</v>
      </c>
      <c r="K35" s="157"/>
      <c r="AI35" s="155" t="s">
        <v>18</v>
      </c>
      <c r="AS35" s="147">
        <f>SUM(AJ36:AJ37)</f>
        <v>0</v>
      </c>
      <c r="AT35" s="147">
        <f>SUM(AK36:AK37)</f>
        <v>0</v>
      </c>
      <c r="AU35" s="147">
        <f>SUM(AL36:AL37)</f>
        <v>0</v>
      </c>
    </row>
    <row r="36" spans="1:76" x14ac:dyDescent="0.25">
      <c r="A36" s="189" t="s">
        <v>24</v>
      </c>
      <c r="B36" s="190" t="s">
        <v>18</v>
      </c>
      <c r="C36" s="190" t="s">
        <v>185</v>
      </c>
      <c r="D36" s="172" t="s">
        <v>186</v>
      </c>
      <c r="E36" s="169"/>
      <c r="F36" s="190" t="s">
        <v>177</v>
      </c>
      <c r="G36" s="158">
        <v>7.8</v>
      </c>
      <c r="H36" s="31">
        <v>0</v>
      </c>
      <c r="I36" s="31">
        <f>ROUND(G36*H36,2)</f>
        <v>0</v>
      </c>
      <c r="K36" s="157"/>
      <c r="Z36" s="158">
        <f>ROUND(IF(AQ36="5",BJ36,0),2)</f>
        <v>0</v>
      </c>
      <c r="AB36" s="158">
        <f>ROUND(IF(AQ36="1",BH36,0),2)</f>
        <v>0</v>
      </c>
      <c r="AC36" s="158">
        <f>ROUND(IF(AQ36="1",BI36,0),2)</f>
        <v>0</v>
      </c>
      <c r="AD36" s="158">
        <f>ROUND(IF(AQ36="7",BH36,0),2)</f>
        <v>0</v>
      </c>
      <c r="AE36" s="158">
        <f>ROUND(IF(AQ36="7",BI36,0),2)</f>
        <v>0</v>
      </c>
      <c r="AF36" s="158">
        <f>ROUND(IF(AQ36="2",BH36,0),2)</f>
        <v>0</v>
      </c>
      <c r="AG36" s="158">
        <f>ROUND(IF(AQ36="2",BI36,0),2)</f>
        <v>0</v>
      </c>
      <c r="AH36" s="158">
        <f>ROUND(IF(AQ36="0",BJ36,0),2)</f>
        <v>0</v>
      </c>
      <c r="AI36" s="155" t="s">
        <v>18</v>
      </c>
      <c r="AJ36" s="158">
        <f>IF(AN36=0,I36,0)</f>
        <v>0</v>
      </c>
      <c r="AK36" s="158">
        <f>IF(AN36=12,I36,0)</f>
        <v>0</v>
      </c>
      <c r="AL36" s="158">
        <f>IF(AN36=21,I36,0)</f>
        <v>0</v>
      </c>
      <c r="AN36" s="158">
        <v>21</v>
      </c>
      <c r="AO36" s="158">
        <f>H36*0</f>
        <v>0</v>
      </c>
      <c r="AP36" s="158">
        <f>H36*(1-0)</f>
        <v>0</v>
      </c>
      <c r="AQ36" s="159" t="s">
        <v>134</v>
      </c>
      <c r="AV36" s="158">
        <f>ROUND(AW36+AX36,2)</f>
        <v>0</v>
      </c>
      <c r="AW36" s="158">
        <f>ROUND(G36*AO36,2)</f>
        <v>0</v>
      </c>
      <c r="AX36" s="158">
        <f>ROUND(G36*AP36,2)</f>
        <v>0</v>
      </c>
      <c r="AY36" s="159" t="s">
        <v>187</v>
      </c>
      <c r="AZ36" s="159" t="s">
        <v>159</v>
      </c>
      <c r="BA36" s="155" t="s">
        <v>138</v>
      </c>
      <c r="BC36" s="158">
        <f>AW36+AX36</f>
        <v>0</v>
      </c>
      <c r="BD36" s="158">
        <f>H36/(100-BE36)*100</f>
        <v>0</v>
      </c>
      <c r="BE36" s="158">
        <v>0</v>
      </c>
      <c r="BF36" s="158">
        <f>36</f>
        <v>36</v>
      </c>
      <c r="BH36" s="158">
        <f>G36*AO36</f>
        <v>0</v>
      </c>
      <c r="BI36" s="158">
        <f>G36*AP36</f>
        <v>0</v>
      </c>
      <c r="BJ36" s="158">
        <f>G36*H36</f>
        <v>0</v>
      </c>
      <c r="BK36" s="158"/>
      <c r="BL36" s="158">
        <v>16</v>
      </c>
      <c r="BW36" s="158">
        <v>21</v>
      </c>
      <c r="BX36" s="160" t="s">
        <v>186</v>
      </c>
    </row>
    <row r="37" spans="1:76" x14ac:dyDescent="0.25">
      <c r="A37" s="189" t="s">
        <v>188</v>
      </c>
      <c r="B37" s="190" t="s">
        <v>18</v>
      </c>
      <c r="C37" s="190" t="s">
        <v>189</v>
      </c>
      <c r="D37" s="172" t="s">
        <v>190</v>
      </c>
      <c r="E37" s="169"/>
      <c r="F37" s="190" t="s">
        <v>177</v>
      </c>
      <c r="G37" s="158">
        <v>46.8</v>
      </c>
      <c r="H37" s="31">
        <v>0</v>
      </c>
      <c r="I37" s="31">
        <f>ROUND(G37*H37,2)</f>
        <v>0</v>
      </c>
      <c r="K37" s="157"/>
      <c r="Z37" s="158">
        <f>ROUND(IF(AQ37="5",BJ37,0),2)</f>
        <v>0</v>
      </c>
      <c r="AB37" s="158">
        <f>ROUND(IF(AQ37="1",BH37,0),2)</f>
        <v>0</v>
      </c>
      <c r="AC37" s="158">
        <f>ROUND(IF(AQ37="1",BI37,0),2)</f>
        <v>0</v>
      </c>
      <c r="AD37" s="158">
        <f>ROUND(IF(AQ37="7",BH37,0),2)</f>
        <v>0</v>
      </c>
      <c r="AE37" s="158">
        <f>ROUND(IF(AQ37="7",BI37,0),2)</f>
        <v>0</v>
      </c>
      <c r="AF37" s="158">
        <f>ROUND(IF(AQ37="2",BH37,0),2)</f>
        <v>0</v>
      </c>
      <c r="AG37" s="158">
        <f>ROUND(IF(AQ37="2",BI37,0),2)</f>
        <v>0</v>
      </c>
      <c r="AH37" s="158">
        <f>ROUND(IF(AQ37="0",BJ37,0),2)</f>
        <v>0</v>
      </c>
      <c r="AI37" s="155" t="s">
        <v>18</v>
      </c>
      <c r="AJ37" s="158">
        <f>IF(AN37=0,I37,0)</f>
        <v>0</v>
      </c>
      <c r="AK37" s="158">
        <f>IF(AN37=12,I37,0)</f>
        <v>0</v>
      </c>
      <c r="AL37" s="158">
        <f>IF(AN37=21,I37,0)</f>
        <v>0</v>
      </c>
      <c r="AN37" s="158">
        <v>21</v>
      </c>
      <c r="AO37" s="158">
        <f>H37*0</f>
        <v>0</v>
      </c>
      <c r="AP37" s="158">
        <f>H37*(1-0)</f>
        <v>0</v>
      </c>
      <c r="AQ37" s="159" t="s">
        <v>134</v>
      </c>
      <c r="AV37" s="158">
        <f>ROUND(AW37+AX37,2)</f>
        <v>0</v>
      </c>
      <c r="AW37" s="158">
        <f>ROUND(G37*AO37,2)</f>
        <v>0</v>
      </c>
      <c r="AX37" s="158">
        <f>ROUND(G37*AP37,2)</f>
        <v>0</v>
      </c>
      <c r="AY37" s="159" t="s">
        <v>187</v>
      </c>
      <c r="AZ37" s="159" t="s">
        <v>159</v>
      </c>
      <c r="BA37" s="155" t="s">
        <v>138</v>
      </c>
      <c r="BC37" s="158">
        <f>AW37+AX37</f>
        <v>0</v>
      </c>
      <c r="BD37" s="158">
        <f>H37/(100-BE37)*100</f>
        <v>0</v>
      </c>
      <c r="BE37" s="158">
        <v>0</v>
      </c>
      <c r="BF37" s="158">
        <f>37</f>
        <v>37</v>
      </c>
      <c r="BH37" s="158">
        <f>G37*AO37</f>
        <v>0</v>
      </c>
      <c r="BI37" s="158">
        <f>G37*AP37</f>
        <v>0</v>
      </c>
      <c r="BJ37" s="158">
        <f>G37*H37</f>
        <v>0</v>
      </c>
      <c r="BK37" s="158"/>
      <c r="BL37" s="158">
        <v>16</v>
      </c>
      <c r="BW37" s="158">
        <v>21</v>
      </c>
      <c r="BX37" s="160" t="s">
        <v>190</v>
      </c>
    </row>
    <row r="38" spans="1:76" x14ac:dyDescent="0.25">
      <c r="A38" s="196"/>
      <c r="D38" s="197" t="s">
        <v>191</v>
      </c>
      <c r="E38" s="197" t="s">
        <v>18</v>
      </c>
      <c r="G38" s="198">
        <v>46.8</v>
      </c>
      <c r="K38" s="157"/>
    </row>
    <row r="39" spans="1:76" x14ac:dyDescent="0.25">
      <c r="A39" s="191" t="s">
        <v>18</v>
      </c>
      <c r="B39" s="192" t="s">
        <v>18</v>
      </c>
      <c r="C39" s="192" t="s">
        <v>28</v>
      </c>
      <c r="D39" s="193" t="s">
        <v>29</v>
      </c>
      <c r="E39" s="194"/>
      <c r="F39" s="195" t="s">
        <v>3</v>
      </c>
      <c r="G39" s="195" t="s">
        <v>3</v>
      </c>
      <c r="H39" s="32" t="s">
        <v>3</v>
      </c>
      <c r="I39" s="24">
        <f>SUM(I40:I40)</f>
        <v>0</v>
      </c>
      <c r="K39" s="157"/>
      <c r="AI39" s="155" t="s">
        <v>18</v>
      </c>
      <c r="AS39" s="147">
        <f>SUM(AJ40:AJ40)</f>
        <v>0</v>
      </c>
      <c r="AT39" s="147">
        <f>SUM(AK40:AK40)</f>
        <v>0</v>
      </c>
      <c r="AU39" s="147">
        <f>SUM(AL40:AL40)</f>
        <v>0</v>
      </c>
    </row>
    <row r="40" spans="1:76" x14ac:dyDescent="0.25">
      <c r="A40" s="189" t="s">
        <v>192</v>
      </c>
      <c r="B40" s="190" t="s">
        <v>18</v>
      </c>
      <c r="C40" s="190" t="s">
        <v>193</v>
      </c>
      <c r="D40" s="172" t="s">
        <v>194</v>
      </c>
      <c r="E40" s="169"/>
      <c r="F40" s="190" t="s">
        <v>157</v>
      </c>
      <c r="G40" s="158">
        <v>65</v>
      </c>
      <c r="H40" s="31">
        <v>0</v>
      </c>
      <c r="I40" s="31">
        <f>ROUND(G40*H40,2)</f>
        <v>0</v>
      </c>
      <c r="K40" s="157"/>
      <c r="Z40" s="158">
        <f>ROUND(IF(AQ40="5",BJ40,0),2)</f>
        <v>0</v>
      </c>
      <c r="AB40" s="158">
        <f>ROUND(IF(AQ40="1",BH40,0),2)</f>
        <v>0</v>
      </c>
      <c r="AC40" s="158">
        <f>ROUND(IF(AQ40="1",BI40,0),2)</f>
        <v>0</v>
      </c>
      <c r="AD40" s="158">
        <f>ROUND(IF(AQ40="7",BH40,0),2)</f>
        <v>0</v>
      </c>
      <c r="AE40" s="158">
        <f>ROUND(IF(AQ40="7",BI40,0),2)</f>
        <v>0</v>
      </c>
      <c r="AF40" s="158">
        <f>ROUND(IF(AQ40="2",BH40,0),2)</f>
        <v>0</v>
      </c>
      <c r="AG40" s="158">
        <f>ROUND(IF(AQ40="2",BI40,0),2)</f>
        <v>0</v>
      </c>
      <c r="AH40" s="158">
        <f>ROUND(IF(AQ40="0",BJ40,0),2)</f>
        <v>0</v>
      </c>
      <c r="AI40" s="155" t="s">
        <v>18</v>
      </c>
      <c r="AJ40" s="158">
        <f>IF(AN40=0,I40,0)</f>
        <v>0</v>
      </c>
      <c r="AK40" s="158">
        <f>IF(AN40=12,I40,0)</f>
        <v>0</v>
      </c>
      <c r="AL40" s="158">
        <f>IF(AN40=21,I40,0)</f>
        <v>0</v>
      </c>
      <c r="AN40" s="158">
        <v>21</v>
      </c>
      <c r="AO40" s="158">
        <f>H40*0.193281792</f>
        <v>0</v>
      </c>
      <c r="AP40" s="158">
        <f>H40*(1-0.193281792)</f>
        <v>0</v>
      </c>
      <c r="AQ40" s="159" t="s">
        <v>134</v>
      </c>
      <c r="AV40" s="158">
        <f>ROUND(AW40+AX40,2)</f>
        <v>0</v>
      </c>
      <c r="AW40" s="158">
        <f>ROUND(G40*AO40,2)</f>
        <v>0</v>
      </c>
      <c r="AX40" s="158">
        <f>ROUND(G40*AP40,2)</f>
        <v>0</v>
      </c>
      <c r="AY40" s="159" t="s">
        <v>195</v>
      </c>
      <c r="AZ40" s="159" t="s">
        <v>159</v>
      </c>
      <c r="BA40" s="155" t="s">
        <v>138</v>
      </c>
      <c r="BC40" s="158">
        <f>AW40+AX40</f>
        <v>0</v>
      </c>
      <c r="BD40" s="158">
        <f>H40/(100-BE40)*100</f>
        <v>0</v>
      </c>
      <c r="BE40" s="158">
        <v>0</v>
      </c>
      <c r="BF40" s="158">
        <f>40</f>
        <v>40</v>
      </c>
      <c r="BH40" s="158">
        <f>G40*AO40</f>
        <v>0</v>
      </c>
      <c r="BI40" s="158">
        <f>G40*AP40</f>
        <v>0</v>
      </c>
      <c r="BJ40" s="158">
        <f>G40*H40</f>
        <v>0</v>
      </c>
      <c r="BK40" s="158"/>
      <c r="BL40" s="158">
        <v>18</v>
      </c>
      <c r="BW40" s="158">
        <v>21</v>
      </c>
      <c r="BX40" s="160" t="s">
        <v>194</v>
      </c>
    </row>
    <row r="41" spans="1:76" x14ac:dyDescent="0.25">
      <c r="A41" s="191" t="s">
        <v>18</v>
      </c>
      <c r="B41" s="192" t="s">
        <v>18</v>
      </c>
      <c r="C41" s="192" t="s">
        <v>30</v>
      </c>
      <c r="D41" s="193" t="s">
        <v>31</v>
      </c>
      <c r="E41" s="194"/>
      <c r="F41" s="195" t="s">
        <v>3</v>
      </c>
      <c r="G41" s="195" t="s">
        <v>3</v>
      </c>
      <c r="H41" s="32" t="s">
        <v>3</v>
      </c>
      <c r="I41" s="24">
        <f>SUM(I42:I42)</f>
        <v>0</v>
      </c>
      <c r="K41" s="157"/>
      <c r="AI41" s="155" t="s">
        <v>18</v>
      </c>
      <c r="AS41" s="147">
        <f>SUM(AJ42:AJ42)</f>
        <v>0</v>
      </c>
      <c r="AT41" s="147">
        <f>SUM(AK42:AK42)</f>
        <v>0</v>
      </c>
      <c r="AU41" s="147">
        <f>SUM(AL42:AL42)</f>
        <v>0</v>
      </c>
    </row>
    <row r="42" spans="1:76" x14ac:dyDescent="0.25">
      <c r="A42" s="189" t="s">
        <v>26</v>
      </c>
      <c r="B42" s="190" t="s">
        <v>18</v>
      </c>
      <c r="C42" s="190" t="s">
        <v>196</v>
      </c>
      <c r="D42" s="172" t="s">
        <v>197</v>
      </c>
      <c r="E42" s="169"/>
      <c r="F42" s="190" t="s">
        <v>177</v>
      </c>
      <c r="G42" s="158">
        <v>7.8</v>
      </c>
      <c r="H42" s="31">
        <v>0</v>
      </c>
      <c r="I42" s="31">
        <f>ROUND(G42*H42,2)</f>
        <v>0</v>
      </c>
      <c r="K42" s="157"/>
      <c r="Z42" s="158">
        <f>ROUND(IF(AQ42="5",BJ42,0),2)</f>
        <v>0</v>
      </c>
      <c r="AB42" s="158">
        <f>ROUND(IF(AQ42="1",BH42,0),2)</f>
        <v>0</v>
      </c>
      <c r="AC42" s="158">
        <f>ROUND(IF(AQ42="1",BI42,0),2)</f>
        <v>0</v>
      </c>
      <c r="AD42" s="158">
        <f>ROUND(IF(AQ42="7",BH42,0),2)</f>
        <v>0</v>
      </c>
      <c r="AE42" s="158">
        <f>ROUND(IF(AQ42="7",BI42,0),2)</f>
        <v>0</v>
      </c>
      <c r="AF42" s="158">
        <f>ROUND(IF(AQ42="2",BH42,0),2)</f>
        <v>0</v>
      </c>
      <c r="AG42" s="158">
        <f>ROUND(IF(AQ42="2",BI42,0),2)</f>
        <v>0</v>
      </c>
      <c r="AH42" s="158">
        <f>ROUND(IF(AQ42="0",BJ42,0),2)</f>
        <v>0</v>
      </c>
      <c r="AI42" s="155" t="s">
        <v>18</v>
      </c>
      <c r="AJ42" s="158">
        <f>IF(AN42=0,I42,0)</f>
        <v>0</v>
      </c>
      <c r="AK42" s="158">
        <f>IF(AN42=12,I42,0)</f>
        <v>0</v>
      </c>
      <c r="AL42" s="158">
        <f>IF(AN42=21,I42,0)</f>
        <v>0</v>
      </c>
      <c r="AN42" s="158">
        <v>21</v>
      </c>
      <c r="AO42" s="158">
        <f>H42*0</f>
        <v>0</v>
      </c>
      <c r="AP42" s="158">
        <f>H42*(1-0)</f>
        <v>0</v>
      </c>
      <c r="AQ42" s="159" t="s">
        <v>134</v>
      </c>
      <c r="AV42" s="158">
        <f>ROUND(AW42+AX42,2)</f>
        <v>0</v>
      </c>
      <c r="AW42" s="158">
        <f>ROUND(G42*AO42,2)</f>
        <v>0</v>
      </c>
      <c r="AX42" s="158">
        <f>ROUND(G42*AP42,2)</f>
        <v>0</v>
      </c>
      <c r="AY42" s="159" t="s">
        <v>198</v>
      </c>
      <c r="AZ42" s="159" t="s">
        <v>159</v>
      </c>
      <c r="BA42" s="155" t="s">
        <v>138</v>
      </c>
      <c r="BC42" s="158">
        <f>AW42+AX42</f>
        <v>0</v>
      </c>
      <c r="BD42" s="158">
        <f>H42/(100-BE42)*100</f>
        <v>0</v>
      </c>
      <c r="BE42" s="158">
        <v>0</v>
      </c>
      <c r="BF42" s="158">
        <f>42</f>
        <v>42</v>
      </c>
      <c r="BH42" s="158">
        <f>G42*AO42</f>
        <v>0</v>
      </c>
      <c r="BI42" s="158">
        <f>G42*AP42</f>
        <v>0</v>
      </c>
      <c r="BJ42" s="158">
        <f>G42*H42</f>
        <v>0</v>
      </c>
      <c r="BK42" s="158"/>
      <c r="BL42" s="158">
        <v>19</v>
      </c>
      <c r="BW42" s="158">
        <v>21</v>
      </c>
      <c r="BX42" s="160" t="s">
        <v>197</v>
      </c>
    </row>
    <row r="43" spans="1:76" x14ac:dyDescent="0.25">
      <c r="A43" s="191" t="s">
        <v>18</v>
      </c>
      <c r="B43" s="192" t="s">
        <v>18</v>
      </c>
      <c r="C43" s="192" t="s">
        <v>32</v>
      </c>
      <c r="D43" s="193" t="s">
        <v>33</v>
      </c>
      <c r="E43" s="194"/>
      <c r="F43" s="195" t="s">
        <v>3</v>
      </c>
      <c r="G43" s="195" t="s">
        <v>3</v>
      </c>
      <c r="H43" s="32" t="s">
        <v>3</v>
      </c>
      <c r="I43" s="24">
        <f>SUM(I44:I44)</f>
        <v>0</v>
      </c>
      <c r="K43" s="157"/>
      <c r="AI43" s="155" t="s">
        <v>18</v>
      </c>
      <c r="AS43" s="147">
        <f>SUM(AJ44:AJ44)</f>
        <v>0</v>
      </c>
      <c r="AT43" s="147">
        <f>SUM(AK44:AK44)</f>
        <v>0</v>
      </c>
      <c r="AU43" s="147">
        <f>SUM(AL44:AL44)</f>
        <v>0</v>
      </c>
    </row>
    <row r="44" spans="1:76" x14ac:dyDescent="0.25">
      <c r="A44" s="189" t="s">
        <v>199</v>
      </c>
      <c r="B44" s="190" t="s">
        <v>18</v>
      </c>
      <c r="C44" s="190" t="s">
        <v>200</v>
      </c>
      <c r="D44" s="172" t="s">
        <v>201</v>
      </c>
      <c r="E44" s="169"/>
      <c r="F44" s="190" t="s">
        <v>157</v>
      </c>
      <c r="G44" s="158">
        <v>10.199999999999999</v>
      </c>
      <c r="H44" s="31">
        <v>0</v>
      </c>
      <c r="I44" s="31">
        <f>ROUND(G44*H44,2)</f>
        <v>0</v>
      </c>
      <c r="K44" s="157"/>
      <c r="Z44" s="158">
        <f>ROUND(IF(AQ44="5",BJ44,0),2)</f>
        <v>0</v>
      </c>
      <c r="AB44" s="158">
        <f>ROUND(IF(AQ44="1",BH44,0),2)</f>
        <v>0</v>
      </c>
      <c r="AC44" s="158">
        <f>ROUND(IF(AQ44="1",BI44,0),2)</f>
        <v>0</v>
      </c>
      <c r="AD44" s="158">
        <f>ROUND(IF(AQ44="7",BH44,0),2)</f>
        <v>0</v>
      </c>
      <c r="AE44" s="158">
        <f>ROUND(IF(AQ44="7",BI44,0),2)</f>
        <v>0</v>
      </c>
      <c r="AF44" s="158">
        <f>ROUND(IF(AQ44="2",BH44,0),2)</f>
        <v>0</v>
      </c>
      <c r="AG44" s="158">
        <f>ROUND(IF(AQ44="2",BI44,0),2)</f>
        <v>0</v>
      </c>
      <c r="AH44" s="158">
        <f>ROUND(IF(AQ44="0",BJ44,0),2)</f>
        <v>0</v>
      </c>
      <c r="AI44" s="155" t="s">
        <v>18</v>
      </c>
      <c r="AJ44" s="158">
        <f>IF(AN44=0,I44,0)</f>
        <v>0</v>
      </c>
      <c r="AK44" s="158">
        <f>IF(AN44=12,I44,0)</f>
        <v>0</v>
      </c>
      <c r="AL44" s="158">
        <f>IF(AN44=21,I44,0)</f>
        <v>0</v>
      </c>
      <c r="AN44" s="158">
        <v>21</v>
      </c>
      <c r="AO44" s="158">
        <f>H44*0.780511811</f>
        <v>0</v>
      </c>
      <c r="AP44" s="158">
        <f>H44*(1-0.780511811)</f>
        <v>0</v>
      </c>
      <c r="AQ44" s="159" t="s">
        <v>134</v>
      </c>
      <c r="AV44" s="158">
        <f>ROUND(AW44+AX44,2)</f>
        <v>0</v>
      </c>
      <c r="AW44" s="158">
        <f>ROUND(G44*AO44,2)</f>
        <v>0</v>
      </c>
      <c r="AX44" s="158">
        <f>ROUND(G44*AP44,2)</f>
        <v>0</v>
      </c>
      <c r="AY44" s="159" t="s">
        <v>202</v>
      </c>
      <c r="AZ44" s="159" t="s">
        <v>203</v>
      </c>
      <c r="BA44" s="155" t="s">
        <v>138</v>
      </c>
      <c r="BC44" s="158">
        <f>AW44+AX44</f>
        <v>0</v>
      </c>
      <c r="BD44" s="158">
        <f>H44/(100-BE44)*100</f>
        <v>0</v>
      </c>
      <c r="BE44" s="158">
        <v>0</v>
      </c>
      <c r="BF44" s="158">
        <f>44</f>
        <v>44</v>
      </c>
      <c r="BH44" s="158">
        <f>G44*AO44</f>
        <v>0</v>
      </c>
      <c r="BI44" s="158">
        <f>G44*AP44</f>
        <v>0</v>
      </c>
      <c r="BJ44" s="158">
        <f>G44*H44</f>
        <v>0</v>
      </c>
      <c r="BK44" s="158"/>
      <c r="BL44" s="158">
        <v>45</v>
      </c>
      <c r="BW44" s="158">
        <v>21</v>
      </c>
      <c r="BX44" s="160" t="s">
        <v>201</v>
      </c>
    </row>
    <row r="45" spans="1:76" x14ac:dyDescent="0.25">
      <c r="A45" s="191" t="s">
        <v>18</v>
      </c>
      <c r="B45" s="192" t="s">
        <v>18</v>
      </c>
      <c r="C45" s="192" t="s">
        <v>34</v>
      </c>
      <c r="D45" s="193" t="s">
        <v>35</v>
      </c>
      <c r="E45" s="194"/>
      <c r="F45" s="195" t="s">
        <v>3</v>
      </c>
      <c r="G45" s="195" t="s">
        <v>3</v>
      </c>
      <c r="H45" s="32" t="s">
        <v>3</v>
      </c>
      <c r="I45" s="24">
        <f>SUM(I46:I49)</f>
        <v>0</v>
      </c>
      <c r="K45" s="157"/>
      <c r="AI45" s="155" t="s">
        <v>18</v>
      </c>
      <c r="AS45" s="147">
        <f>SUM(AJ46:AJ49)</f>
        <v>0</v>
      </c>
      <c r="AT45" s="147">
        <f>SUM(AK46:AK49)</f>
        <v>0</v>
      </c>
      <c r="AU45" s="147">
        <f>SUM(AL46:AL49)</f>
        <v>0</v>
      </c>
    </row>
    <row r="46" spans="1:76" x14ac:dyDescent="0.25">
      <c r="A46" s="189" t="s">
        <v>28</v>
      </c>
      <c r="B46" s="190" t="s">
        <v>18</v>
      </c>
      <c r="C46" s="190" t="s">
        <v>204</v>
      </c>
      <c r="D46" s="172" t="s">
        <v>205</v>
      </c>
      <c r="E46" s="169"/>
      <c r="F46" s="190" t="s">
        <v>177</v>
      </c>
      <c r="G46" s="158">
        <v>3.9</v>
      </c>
      <c r="H46" s="31">
        <v>0</v>
      </c>
      <c r="I46" s="31">
        <f>ROUND(G46*H46,2)</f>
        <v>0</v>
      </c>
      <c r="K46" s="157"/>
      <c r="Z46" s="158">
        <f>ROUND(IF(AQ46="5",BJ46,0),2)</f>
        <v>0</v>
      </c>
      <c r="AB46" s="158">
        <f>ROUND(IF(AQ46="1",BH46,0),2)</f>
        <v>0</v>
      </c>
      <c r="AC46" s="158">
        <f>ROUND(IF(AQ46="1",BI46,0),2)</f>
        <v>0</v>
      </c>
      <c r="AD46" s="158">
        <f>ROUND(IF(AQ46="7",BH46,0),2)</f>
        <v>0</v>
      </c>
      <c r="AE46" s="158">
        <f>ROUND(IF(AQ46="7",BI46,0),2)</f>
        <v>0</v>
      </c>
      <c r="AF46" s="158">
        <f>ROUND(IF(AQ46="2",BH46,0),2)</f>
        <v>0</v>
      </c>
      <c r="AG46" s="158">
        <f>ROUND(IF(AQ46="2",BI46,0),2)</f>
        <v>0</v>
      </c>
      <c r="AH46" s="158">
        <f>ROUND(IF(AQ46="0",BJ46,0),2)</f>
        <v>0</v>
      </c>
      <c r="AI46" s="155" t="s">
        <v>18</v>
      </c>
      <c r="AJ46" s="158">
        <f>IF(AN46=0,I46,0)</f>
        <v>0</v>
      </c>
      <c r="AK46" s="158">
        <f>IF(AN46=12,I46,0)</f>
        <v>0</v>
      </c>
      <c r="AL46" s="158">
        <f>IF(AN46=21,I46,0)</f>
        <v>0</v>
      </c>
      <c r="AN46" s="158">
        <v>21</v>
      </c>
      <c r="AO46" s="158">
        <f>H46*0</f>
        <v>0</v>
      </c>
      <c r="AP46" s="158">
        <f>H46*(1-0)</f>
        <v>0</v>
      </c>
      <c r="AQ46" s="159" t="s">
        <v>134</v>
      </c>
      <c r="AV46" s="158">
        <f>ROUND(AW46+AX46,2)</f>
        <v>0</v>
      </c>
      <c r="AW46" s="158">
        <f>ROUND(G46*AO46,2)</f>
        <v>0</v>
      </c>
      <c r="AX46" s="158">
        <f>ROUND(G46*AP46,2)</f>
        <v>0</v>
      </c>
      <c r="AY46" s="159" t="s">
        <v>206</v>
      </c>
      <c r="AZ46" s="159" t="s">
        <v>207</v>
      </c>
      <c r="BA46" s="155" t="s">
        <v>138</v>
      </c>
      <c r="BC46" s="158">
        <f>AW46+AX46</f>
        <v>0</v>
      </c>
      <c r="BD46" s="158">
        <f>H46/(100-BE46)*100</f>
        <v>0</v>
      </c>
      <c r="BE46" s="158">
        <v>0</v>
      </c>
      <c r="BF46" s="158">
        <f>46</f>
        <v>46</v>
      </c>
      <c r="BH46" s="158">
        <f>G46*AO46</f>
        <v>0</v>
      </c>
      <c r="BI46" s="158">
        <f>G46*AP46</f>
        <v>0</v>
      </c>
      <c r="BJ46" s="158">
        <f>G46*H46</f>
        <v>0</v>
      </c>
      <c r="BK46" s="158"/>
      <c r="BL46" s="158">
        <v>56</v>
      </c>
      <c r="BW46" s="158">
        <v>21</v>
      </c>
      <c r="BX46" s="160" t="s">
        <v>205</v>
      </c>
    </row>
    <row r="47" spans="1:76" x14ac:dyDescent="0.25">
      <c r="A47" s="196"/>
      <c r="D47" s="197" t="s">
        <v>208</v>
      </c>
      <c r="E47" s="197" t="s">
        <v>18</v>
      </c>
      <c r="G47" s="198">
        <v>0</v>
      </c>
      <c r="K47" s="157"/>
    </row>
    <row r="48" spans="1:76" x14ac:dyDescent="0.25">
      <c r="A48" s="196"/>
      <c r="D48" s="197" t="s">
        <v>209</v>
      </c>
      <c r="E48" s="197" t="s">
        <v>18</v>
      </c>
      <c r="G48" s="198">
        <v>3.9</v>
      </c>
      <c r="K48" s="157"/>
    </row>
    <row r="49" spans="1:76" x14ac:dyDescent="0.25">
      <c r="A49" s="189" t="s">
        <v>30</v>
      </c>
      <c r="B49" s="190" t="s">
        <v>18</v>
      </c>
      <c r="C49" s="190" t="s">
        <v>210</v>
      </c>
      <c r="D49" s="172" t="s">
        <v>211</v>
      </c>
      <c r="E49" s="169"/>
      <c r="F49" s="190" t="s">
        <v>177</v>
      </c>
      <c r="G49" s="158">
        <v>3.9</v>
      </c>
      <c r="H49" s="31">
        <v>0</v>
      </c>
      <c r="I49" s="31">
        <f>ROUND(G49*H49,2)</f>
        <v>0</v>
      </c>
      <c r="K49" s="157"/>
      <c r="Z49" s="158">
        <f>ROUND(IF(AQ49="5",BJ49,0),2)</f>
        <v>0</v>
      </c>
      <c r="AB49" s="158">
        <f>ROUND(IF(AQ49="1",BH49,0),2)</f>
        <v>0</v>
      </c>
      <c r="AC49" s="158">
        <f>ROUND(IF(AQ49="1",BI49,0),2)</f>
        <v>0</v>
      </c>
      <c r="AD49" s="158">
        <f>ROUND(IF(AQ49="7",BH49,0),2)</f>
        <v>0</v>
      </c>
      <c r="AE49" s="158">
        <f>ROUND(IF(AQ49="7",BI49,0),2)</f>
        <v>0</v>
      </c>
      <c r="AF49" s="158">
        <f>ROUND(IF(AQ49="2",BH49,0),2)</f>
        <v>0</v>
      </c>
      <c r="AG49" s="158">
        <f>ROUND(IF(AQ49="2",BI49,0),2)</f>
        <v>0</v>
      </c>
      <c r="AH49" s="158">
        <f>ROUND(IF(AQ49="0",BJ49,0),2)</f>
        <v>0</v>
      </c>
      <c r="AI49" s="155" t="s">
        <v>18</v>
      </c>
      <c r="AJ49" s="158">
        <f>IF(AN49=0,I49,0)</f>
        <v>0</v>
      </c>
      <c r="AK49" s="158">
        <f>IF(AN49=12,I49,0)</f>
        <v>0</v>
      </c>
      <c r="AL49" s="158">
        <f>IF(AN49=21,I49,0)</f>
        <v>0</v>
      </c>
      <c r="AN49" s="158">
        <v>21</v>
      </c>
      <c r="AO49" s="158">
        <f>H49*1</f>
        <v>0</v>
      </c>
      <c r="AP49" s="158">
        <f>H49*(1-1)</f>
        <v>0</v>
      </c>
      <c r="AQ49" s="159" t="s">
        <v>134</v>
      </c>
      <c r="AV49" s="158">
        <f>ROUND(AW49+AX49,2)</f>
        <v>0</v>
      </c>
      <c r="AW49" s="158">
        <f>ROUND(G49*AO49,2)</f>
        <v>0</v>
      </c>
      <c r="AX49" s="158">
        <f>ROUND(G49*AP49,2)</f>
        <v>0</v>
      </c>
      <c r="AY49" s="159" t="s">
        <v>206</v>
      </c>
      <c r="AZ49" s="159" t="s">
        <v>207</v>
      </c>
      <c r="BA49" s="155" t="s">
        <v>138</v>
      </c>
      <c r="BC49" s="158">
        <f>AW49+AX49</f>
        <v>0</v>
      </c>
      <c r="BD49" s="158">
        <f>H49/(100-BE49)*100</f>
        <v>0</v>
      </c>
      <c r="BE49" s="158">
        <v>0</v>
      </c>
      <c r="BF49" s="158">
        <f>49</f>
        <v>49</v>
      </c>
      <c r="BH49" s="158">
        <f>G49*AO49</f>
        <v>0</v>
      </c>
      <c r="BI49" s="158">
        <f>G49*AP49</f>
        <v>0</v>
      </c>
      <c r="BJ49" s="158">
        <f>G49*H49</f>
        <v>0</v>
      </c>
      <c r="BK49" s="158"/>
      <c r="BL49" s="158">
        <v>56</v>
      </c>
      <c r="BW49" s="158">
        <v>21</v>
      </c>
      <c r="BX49" s="160" t="s">
        <v>211</v>
      </c>
    </row>
    <row r="50" spans="1:76" x14ac:dyDescent="0.25">
      <c r="A50" s="191" t="s">
        <v>18</v>
      </c>
      <c r="B50" s="192" t="s">
        <v>18</v>
      </c>
      <c r="C50" s="192" t="s">
        <v>36</v>
      </c>
      <c r="D50" s="193" t="s">
        <v>37</v>
      </c>
      <c r="E50" s="194"/>
      <c r="F50" s="195" t="s">
        <v>3</v>
      </c>
      <c r="G50" s="195" t="s">
        <v>3</v>
      </c>
      <c r="H50" s="32" t="s">
        <v>3</v>
      </c>
      <c r="I50" s="24">
        <f>SUM(I51:I56)</f>
        <v>0</v>
      </c>
      <c r="K50" s="157"/>
      <c r="AI50" s="155" t="s">
        <v>18</v>
      </c>
      <c r="AS50" s="147">
        <f>SUM(AJ51:AJ56)</f>
        <v>0</v>
      </c>
      <c r="AT50" s="147">
        <f>SUM(AK51:AK56)</f>
        <v>0</v>
      </c>
      <c r="AU50" s="147">
        <f>SUM(AL51:AL56)</f>
        <v>0</v>
      </c>
    </row>
    <row r="51" spans="1:76" x14ac:dyDescent="0.25">
      <c r="A51" s="189" t="s">
        <v>212</v>
      </c>
      <c r="B51" s="190" t="s">
        <v>18</v>
      </c>
      <c r="C51" s="190" t="s">
        <v>213</v>
      </c>
      <c r="D51" s="172" t="s">
        <v>214</v>
      </c>
      <c r="E51" s="169"/>
      <c r="F51" s="190" t="s">
        <v>215</v>
      </c>
      <c r="G51" s="158">
        <v>10</v>
      </c>
      <c r="H51" s="31">
        <v>0</v>
      </c>
      <c r="I51" s="31">
        <f>ROUND(G51*H51,2)</f>
        <v>0</v>
      </c>
      <c r="K51" s="157"/>
      <c r="Z51" s="158">
        <f>ROUND(IF(AQ51="5",BJ51,0),2)</f>
        <v>0</v>
      </c>
      <c r="AB51" s="158">
        <f>ROUND(IF(AQ51="1",BH51,0),2)</f>
        <v>0</v>
      </c>
      <c r="AC51" s="158">
        <f>ROUND(IF(AQ51="1",BI51,0),2)</f>
        <v>0</v>
      </c>
      <c r="AD51" s="158">
        <f>ROUND(IF(AQ51="7",BH51,0),2)</f>
        <v>0</v>
      </c>
      <c r="AE51" s="158">
        <f>ROUND(IF(AQ51="7",BI51,0),2)</f>
        <v>0</v>
      </c>
      <c r="AF51" s="158">
        <f>ROUND(IF(AQ51="2",BH51,0),2)</f>
        <v>0</v>
      </c>
      <c r="AG51" s="158">
        <f>ROUND(IF(AQ51="2",BI51,0),2)</f>
        <v>0</v>
      </c>
      <c r="AH51" s="158">
        <f>ROUND(IF(AQ51="0",BJ51,0),2)</f>
        <v>0</v>
      </c>
      <c r="AI51" s="155" t="s">
        <v>18</v>
      </c>
      <c r="AJ51" s="158">
        <f>IF(AN51=0,I51,0)</f>
        <v>0</v>
      </c>
      <c r="AK51" s="158">
        <f>IF(AN51=12,I51,0)</f>
        <v>0</v>
      </c>
      <c r="AL51" s="158">
        <f>IF(AN51=21,I51,0)</f>
        <v>0</v>
      </c>
      <c r="AN51" s="158">
        <v>21</v>
      </c>
      <c r="AO51" s="158">
        <f>H51*0.914890034</f>
        <v>0</v>
      </c>
      <c r="AP51" s="158">
        <f>H51*(1-0.914890034)</f>
        <v>0</v>
      </c>
      <c r="AQ51" s="159" t="s">
        <v>134</v>
      </c>
      <c r="AV51" s="158">
        <f>ROUND(AW51+AX51,2)</f>
        <v>0</v>
      </c>
      <c r="AW51" s="158">
        <f>ROUND(G51*AO51,2)</f>
        <v>0</v>
      </c>
      <c r="AX51" s="158">
        <f>ROUND(G51*AP51,2)</f>
        <v>0</v>
      </c>
      <c r="AY51" s="159" t="s">
        <v>216</v>
      </c>
      <c r="AZ51" s="159" t="s">
        <v>207</v>
      </c>
      <c r="BA51" s="155" t="s">
        <v>138</v>
      </c>
      <c r="BC51" s="158">
        <f>AW51+AX51</f>
        <v>0</v>
      </c>
      <c r="BD51" s="158">
        <f>H51/(100-BE51)*100</f>
        <v>0</v>
      </c>
      <c r="BE51" s="158">
        <v>0</v>
      </c>
      <c r="BF51" s="158">
        <f>51</f>
        <v>51</v>
      </c>
      <c r="BH51" s="158">
        <f>G51*AO51</f>
        <v>0</v>
      </c>
      <c r="BI51" s="158">
        <f>G51*AP51</f>
        <v>0</v>
      </c>
      <c r="BJ51" s="158">
        <f>G51*H51</f>
        <v>0</v>
      </c>
      <c r="BK51" s="158"/>
      <c r="BL51" s="158">
        <v>57</v>
      </c>
      <c r="BW51" s="158">
        <v>21</v>
      </c>
      <c r="BX51" s="160" t="s">
        <v>214</v>
      </c>
    </row>
    <row r="52" spans="1:76" x14ac:dyDescent="0.25">
      <c r="A52" s="189" t="s">
        <v>217</v>
      </c>
      <c r="B52" s="190" t="s">
        <v>18</v>
      </c>
      <c r="C52" s="190" t="s">
        <v>218</v>
      </c>
      <c r="D52" s="172" t="s">
        <v>219</v>
      </c>
      <c r="E52" s="169"/>
      <c r="F52" s="190" t="s">
        <v>215</v>
      </c>
      <c r="G52" s="158">
        <v>5</v>
      </c>
      <c r="H52" s="31">
        <v>0</v>
      </c>
      <c r="I52" s="31">
        <f>ROUND(G52*H52,2)</f>
        <v>0</v>
      </c>
      <c r="K52" s="157"/>
      <c r="Z52" s="158">
        <f>ROUND(IF(AQ52="5",BJ52,0),2)</f>
        <v>0</v>
      </c>
      <c r="AB52" s="158">
        <f>ROUND(IF(AQ52="1",BH52,0),2)</f>
        <v>0</v>
      </c>
      <c r="AC52" s="158">
        <f>ROUND(IF(AQ52="1",BI52,0),2)</f>
        <v>0</v>
      </c>
      <c r="AD52" s="158">
        <f>ROUND(IF(AQ52="7",BH52,0),2)</f>
        <v>0</v>
      </c>
      <c r="AE52" s="158">
        <f>ROUND(IF(AQ52="7",BI52,0),2)</f>
        <v>0</v>
      </c>
      <c r="AF52" s="158">
        <f>ROUND(IF(AQ52="2",BH52,0),2)</f>
        <v>0</v>
      </c>
      <c r="AG52" s="158">
        <f>ROUND(IF(AQ52="2",BI52,0),2)</f>
        <v>0</v>
      </c>
      <c r="AH52" s="158">
        <f>ROUND(IF(AQ52="0",BJ52,0),2)</f>
        <v>0</v>
      </c>
      <c r="AI52" s="155" t="s">
        <v>18</v>
      </c>
      <c r="AJ52" s="158">
        <f>IF(AN52=0,I52,0)</f>
        <v>0</v>
      </c>
      <c r="AK52" s="158">
        <f>IF(AN52=12,I52,0)</f>
        <v>0</v>
      </c>
      <c r="AL52" s="158">
        <f>IF(AN52=21,I52,0)</f>
        <v>0</v>
      </c>
      <c r="AN52" s="158">
        <v>21</v>
      </c>
      <c r="AO52" s="158">
        <f>H52*0.300006042</f>
        <v>0</v>
      </c>
      <c r="AP52" s="158">
        <f>H52*(1-0.300006042)</f>
        <v>0</v>
      </c>
      <c r="AQ52" s="159" t="s">
        <v>134</v>
      </c>
      <c r="AV52" s="158">
        <f>ROUND(AW52+AX52,2)</f>
        <v>0</v>
      </c>
      <c r="AW52" s="158">
        <f>ROUND(G52*AO52,2)</f>
        <v>0</v>
      </c>
      <c r="AX52" s="158">
        <f>ROUND(G52*AP52,2)</f>
        <v>0</v>
      </c>
      <c r="AY52" s="159" t="s">
        <v>216</v>
      </c>
      <c r="AZ52" s="159" t="s">
        <v>207</v>
      </c>
      <c r="BA52" s="155" t="s">
        <v>138</v>
      </c>
      <c r="BC52" s="158">
        <f>AW52+AX52</f>
        <v>0</v>
      </c>
      <c r="BD52" s="158">
        <f>H52/(100-BE52)*100</f>
        <v>0</v>
      </c>
      <c r="BE52" s="158">
        <v>0</v>
      </c>
      <c r="BF52" s="158">
        <f>52</f>
        <v>52</v>
      </c>
      <c r="BH52" s="158">
        <f>G52*AO52</f>
        <v>0</v>
      </c>
      <c r="BI52" s="158">
        <f>G52*AP52</f>
        <v>0</v>
      </c>
      <c r="BJ52" s="158">
        <f>G52*H52</f>
        <v>0</v>
      </c>
      <c r="BK52" s="158"/>
      <c r="BL52" s="158">
        <v>57</v>
      </c>
      <c r="BW52" s="158">
        <v>21</v>
      </c>
      <c r="BX52" s="160" t="s">
        <v>219</v>
      </c>
    </row>
    <row r="53" spans="1:76" x14ac:dyDescent="0.25">
      <c r="A53" s="196"/>
      <c r="D53" s="197" t="s">
        <v>220</v>
      </c>
      <c r="E53" s="197" t="s">
        <v>18</v>
      </c>
      <c r="G53" s="198">
        <v>0</v>
      </c>
      <c r="K53" s="157"/>
    </row>
    <row r="54" spans="1:76" x14ac:dyDescent="0.25">
      <c r="A54" s="196"/>
      <c r="D54" s="197" t="s">
        <v>221</v>
      </c>
      <c r="E54" s="197" t="s">
        <v>18</v>
      </c>
      <c r="G54" s="198">
        <v>5</v>
      </c>
      <c r="K54" s="157"/>
    </row>
    <row r="55" spans="1:76" x14ac:dyDescent="0.25">
      <c r="A55" s="189" t="s">
        <v>222</v>
      </c>
      <c r="B55" s="190" t="s">
        <v>18</v>
      </c>
      <c r="C55" s="190" t="s">
        <v>223</v>
      </c>
      <c r="D55" s="172" t="s">
        <v>224</v>
      </c>
      <c r="E55" s="169"/>
      <c r="F55" s="190" t="s">
        <v>157</v>
      </c>
      <c r="G55" s="158">
        <v>949.7</v>
      </c>
      <c r="H55" s="31">
        <v>0</v>
      </c>
      <c r="I55" s="31">
        <f>ROUND(G55*H55,2)</f>
        <v>0</v>
      </c>
      <c r="K55" s="157"/>
      <c r="Z55" s="158">
        <f>ROUND(IF(AQ55="5",BJ55,0),2)</f>
        <v>0</v>
      </c>
      <c r="AB55" s="158">
        <f>ROUND(IF(AQ55="1",BH55,0),2)</f>
        <v>0</v>
      </c>
      <c r="AC55" s="158">
        <f>ROUND(IF(AQ55="1",BI55,0),2)</f>
        <v>0</v>
      </c>
      <c r="AD55" s="158">
        <f>ROUND(IF(AQ55="7",BH55,0),2)</f>
        <v>0</v>
      </c>
      <c r="AE55" s="158">
        <f>ROUND(IF(AQ55="7",BI55,0),2)</f>
        <v>0</v>
      </c>
      <c r="AF55" s="158">
        <f>ROUND(IF(AQ55="2",BH55,0),2)</f>
        <v>0</v>
      </c>
      <c r="AG55" s="158">
        <f>ROUND(IF(AQ55="2",BI55,0),2)</f>
        <v>0</v>
      </c>
      <c r="AH55" s="158">
        <f>ROUND(IF(AQ55="0",BJ55,0),2)</f>
        <v>0</v>
      </c>
      <c r="AI55" s="155" t="s">
        <v>18</v>
      </c>
      <c r="AJ55" s="158">
        <f>IF(AN55=0,I55,0)</f>
        <v>0</v>
      </c>
      <c r="AK55" s="158">
        <f>IF(AN55=12,I55,0)</f>
        <v>0</v>
      </c>
      <c r="AL55" s="158">
        <f>IF(AN55=21,I55,0)</f>
        <v>0</v>
      </c>
      <c r="AN55" s="158">
        <v>21</v>
      </c>
      <c r="AO55" s="158">
        <f>H55*0.899999933</f>
        <v>0</v>
      </c>
      <c r="AP55" s="158">
        <f>H55*(1-0.899999933)</f>
        <v>0</v>
      </c>
      <c r="AQ55" s="159" t="s">
        <v>134</v>
      </c>
      <c r="AV55" s="158">
        <f>ROUND(AW55+AX55,2)</f>
        <v>0</v>
      </c>
      <c r="AW55" s="158">
        <f>ROUND(G55*AO55,2)</f>
        <v>0</v>
      </c>
      <c r="AX55" s="158">
        <f>ROUND(G55*AP55,2)</f>
        <v>0</v>
      </c>
      <c r="AY55" s="159" t="s">
        <v>216</v>
      </c>
      <c r="AZ55" s="159" t="s">
        <v>207</v>
      </c>
      <c r="BA55" s="155" t="s">
        <v>138</v>
      </c>
      <c r="BC55" s="158">
        <f>AW55+AX55</f>
        <v>0</v>
      </c>
      <c r="BD55" s="158">
        <f>H55/(100-BE55)*100</f>
        <v>0</v>
      </c>
      <c r="BE55" s="158">
        <v>0</v>
      </c>
      <c r="BF55" s="158">
        <f>55</f>
        <v>55</v>
      </c>
      <c r="BH55" s="158">
        <f>G55*AO55</f>
        <v>0</v>
      </c>
      <c r="BI55" s="158">
        <f>G55*AP55</f>
        <v>0</v>
      </c>
      <c r="BJ55" s="158">
        <f>G55*H55</f>
        <v>0</v>
      </c>
      <c r="BK55" s="158"/>
      <c r="BL55" s="158">
        <v>57</v>
      </c>
      <c r="BW55" s="158">
        <v>21</v>
      </c>
      <c r="BX55" s="160" t="s">
        <v>224</v>
      </c>
    </row>
    <row r="56" spans="1:76" ht="24.75" customHeight="1" x14ac:dyDescent="0.25">
      <c r="A56" s="189" t="s">
        <v>225</v>
      </c>
      <c r="B56" s="190" t="s">
        <v>18</v>
      </c>
      <c r="C56" s="190" t="s">
        <v>226</v>
      </c>
      <c r="D56" s="172" t="s">
        <v>293</v>
      </c>
      <c r="E56" s="169"/>
      <c r="F56" s="190" t="s">
        <v>157</v>
      </c>
      <c r="G56" s="158">
        <v>949.7</v>
      </c>
      <c r="H56" s="31">
        <v>0</v>
      </c>
      <c r="I56" s="31">
        <f>ROUND(G56*H56,2)</f>
        <v>0</v>
      </c>
      <c r="K56" s="157"/>
      <c r="Z56" s="158">
        <f>ROUND(IF(AQ56="5",BJ56,0),2)</f>
        <v>0</v>
      </c>
      <c r="AB56" s="158">
        <f>ROUND(IF(AQ56="1",BH56,0),2)</f>
        <v>0</v>
      </c>
      <c r="AC56" s="158">
        <f>ROUND(IF(AQ56="1",BI56,0),2)</f>
        <v>0</v>
      </c>
      <c r="AD56" s="158">
        <f>ROUND(IF(AQ56="7",BH56,0),2)</f>
        <v>0</v>
      </c>
      <c r="AE56" s="158">
        <f>ROUND(IF(AQ56="7",BI56,0),2)</f>
        <v>0</v>
      </c>
      <c r="AF56" s="158">
        <f>ROUND(IF(AQ56="2",BH56,0),2)</f>
        <v>0</v>
      </c>
      <c r="AG56" s="158">
        <f>ROUND(IF(AQ56="2",BI56,0),2)</f>
        <v>0</v>
      </c>
      <c r="AH56" s="158">
        <f>ROUND(IF(AQ56="0",BJ56,0),2)</f>
        <v>0</v>
      </c>
      <c r="AI56" s="155" t="s">
        <v>18</v>
      </c>
      <c r="AJ56" s="158">
        <f>IF(AN56=0,I56,0)</f>
        <v>0</v>
      </c>
      <c r="AK56" s="158">
        <f>IF(AN56=12,I56,0)</f>
        <v>0</v>
      </c>
      <c r="AL56" s="158">
        <f>IF(AN56=21,I56,0)</f>
        <v>0</v>
      </c>
      <c r="AN56" s="158">
        <v>21</v>
      </c>
      <c r="AO56" s="158">
        <f>H56*0.780327639</f>
        <v>0</v>
      </c>
      <c r="AP56" s="158">
        <f>H56*(1-0.780327639)</f>
        <v>0</v>
      </c>
      <c r="AQ56" s="159" t="s">
        <v>134</v>
      </c>
      <c r="AV56" s="158">
        <f>ROUND(AW56+AX56,2)</f>
        <v>0</v>
      </c>
      <c r="AW56" s="158">
        <f>ROUND(G56*AO56,2)</f>
        <v>0</v>
      </c>
      <c r="AX56" s="158">
        <f>ROUND(G56*AP56,2)</f>
        <v>0</v>
      </c>
      <c r="AY56" s="159" t="s">
        <v>216</v>
      </c>
      <c r="AZ56" s="159" t="s">
        <v>207</v>
      </c>
      <c r="BA56" s="155" t="s">
        <v>138</v>
      </c>
      <c r="BC56" s="158">
        <f>AW56+AX56</f>
        <v>0</v>
      </c>
      <c r="BD56" s="158">
        <f>H56/(100-BE56)*100</f>
        <v>0</v>
      </c>
      <c r="BE56" s="158">
        <v>0</v>
      </c>
      <c r="BF56" s="158">
        <f>56</f>
        <v>56</v>
      </c>
      <c r="BH56" s="158">
        <f>G56*AO56</f>
        <v>0</v>
      </c>
      <c r="BI56" s="158">
        <f>G56*AP56</f>
        <v>0</v>
      </c>
      <c r="BJ56" s="158">
        <f>G56*H56</f>
        <v>0</v>
      </c>
      <c r="BK56" s="158"/>
      <c r="BL56" s="158">
        <v>57</v>
      </c>
      <c r="BW56" s="158">
        <v>21</v>
      </c>
      <c r="BX56" s="160" t="s">
        <v>227</v>
      </c>
    </row>
    <row r="57" spans="1:76" x14ac:dyDescent="0.25">
      <c r="A57" s="191" t="s">
        <v>18</v>
      </c>
      <c r="B57" s="192" t="s">
        <v>18</v>
      </c>
      <c r="C57" s="192" t="s">
        <v>38</v>
      </c>
      <c r="D57" s="193" t="s">
        <v>39</v>
      </c>
      <c r="E57" s="194"/>
      <c r="F57" s="195" t="s">
        <v>3</v>
      </c>
      <c r="G57" s="195" t="s">
        <v>3</v>
      </c>
      <c r="H57" s="32" t="s">
        <v>3</v>
      </c>
      <c r="I57" s="24">
        <f>SUM(I58:I59)</f>
        <v>0</v>
      </c>
      <c r="K57" s="157"/>
      <c r="AI57" s="155" t="s">
        <v>18</v>
      </c>
      <c r="AS57" s="147">
        <f>SUM(AJ58:AJ59)</f>
        <v>0</v>
      </c>
      <c r="AT57" s="147">
        <f>SUM(AK58:AK59)</f>
        <v>0</v>
      </c>
      <c r="AU57" s="147">
        <f>SUM(AL58:AL59)</f>
        <v>0</v>
      </c>
    </row>
    <row r="58" spans="1:76" x14ac:dyDescent="0.25">
      <c r="A58" s="189" t="s">
        <v>228</v>
      </c>
      <c r="B58" s="190" t="s">
        <v>18</v>
      </c>
      <c r="C58" s="190" t="s">
        <v>229</v>
      </c>
      <c r="D58" s="172" t="s">
        <v>230</v>
      </c>
      <c r="E58" s="169"/>
      <c r="F58" s="190" t="s">
        <v>157</v>
      </c>
      <c r="G58" s="158">
        <v>10.199999999999999</v>
      </c>
      <c r="H58" s="31">
        <v>0</v>
      </c>
      <c r="I58" s="31">
        <f>ROUND(G58*H58,2)</f>
        <v>0</v>
      </c>
      <c r="K58" s="157"/>
      <c r="Z58" s="158">
        <f>ROUND(IF(AQ58="5",BJ58,0),2)</f>
        <v>0</v>
      </c>
      <c r="AB58" s="158">
        <f>ROUND(IF(AQ58="1",BH58,0),2)</f>
        <v>0</v>
      </c>
      <c r="AC58" s="158">
        <f>ROUND(IF(AQ58="1",BI58,0),2)</f>
        <v>0</v>
      </c>
      <c r="AD58" s="158">
        <f>ROUND(IF(AQ58="7",BH58,0),2)</f>
        <v>0</v>
      </c>
      <c r="AE58" s="158">
        <f>ROUND(IF(AQ58="7",BI58,0),2)</f>
        <v>0</v>
      </c>
      <c r="AF58" s="158">
        <f>ROUND(IF(AQ58="2",BH58,0),2)</f>
        <v>0</v>
      </c>
      <c r="AG58" s="158">
        <f>ROUND(IF(AQ58="2",BI58,0),2)</f>
        <v>0</v>
      </c>
      <c r="AH58" s="158">
        <f>ROUND(IF(AQ58="0",BJ58,0),2)</f>
        <v>0</v>
      </c>
      <c r="AI58" s="155" t="s">
        <v>18</v>
      </c>
      <c r="AJ58" s="158">
        <f>IF(AN58=0,I58,0)</f>
        <v>0</v>
      </c>
      <c r="AK58" s="158">
        <f>IF(AN58=12,I58,0)</f>
        <v>0</v>
      </c>
      <c r="AL58" s="158">
        <f>IF(AN58=21,I58,0)</f>
        <v>0</v>
      </c>
      <c r="AN58" s="158">
        <v>21</v>
      </c>
      <c r="AO58" s="158">
        <f>H58*0.408020398</f>
        <v>0</v>
      </c>
      <c r="AP58" s="158">
        <f>H58*(1-0.408020398)</f>
        <v>0</v>
      </c>
      <c r="AQ58" s="159" t="s">
        <v>134</v>
      </c>
      <c r="AV58" s="158">
        <f>ROUND(AW58+AX58,2)</f>
        <v>0</v>
      </c>
      <c r="AW58" s="158">
        <f>ROUND(G58*AO58,2)</f>
        <v>0</v>
      </c>
      <c r="AX58" s="158">
        <f>ROUND(G58*AP58,2)</f>
        <v>0</v>
      </c>
      <c r="AY58" s="159" t="s">
        <v>231</v>
      </c>
      <c r="AZ58" s="159" t="s">
        <v>207</v>
      </c>
      <c r="BA58" s="155" t="s">
        <v>138</v>
      </c>
      <c r="BC58" s="158">
        <f>AW58+AX58</f>
        <v>0</v>
      </c>
      <c r="BD58" s="158">
        <f>H58/(100-BE58)*100</f>
        <v>0</v>
      </c>
      <c r="BE58" s="158">
        <v>0</v>
      </c>
      <c r="BF58" s="158">
        <f>58</f>
        <v>58</v>
      </c>
      <c r="BH58" s="158">
        <f>G58*AO58</f>
        <v>0</v>
      </c>
      <c r="BI58" s="158">
        <f>G58*AP58</f>
        <v>0</v>
      </c>
      <c r="BJ58" s="158">
        <f>G58*H58</f>
        <v>0</v>
      </c>
      <c r="BK58" s="158"/>
      <c r="BL58" s="158">
        <v>59</v>
      </c>
      <c r="BW58" s="158">
        <v>21</v>
      </c>
      <c r="BX58" s="160" t="s">
        <v>230</v>
      </c>
    </row>
    <row r="59" spans="1:76" x14ac:dyDescent="0.25">
      <c r="A59" s="189" t="s">
        <v>232</v>
      </c>
      <c r="B59" s="190" t="s">
        <v>18</v>
      </c>
      <c r="C59" s="190" t="s">
        <v>233</v>
      </c>
      <c r="D59" s="172" t="s">
        <v>234</v>
      </c>
      <c r="E59" s="169"/>
      <c r="F59" s="190" t="s">
        <v>169</v>
      </c>
      <c r="G59" s="158">
        <v>25.1</v>
      </c>
      <c r="H59" s="31">
        <v>0</v>
      </c>
      <c r="I59" s="31">
        <f>ROUND(G59*H59,2)</f>
        <v>0</v>
      </c>
      <c r="K59" s="157"/>
      <c r="Z59" s="158">
        <f>ROUND(IF(AQ59="5",BJ59,0),2)</f>
        <v>0</v>
      </c>
      <c r="AB59" s="158">
        <f>ROUND(IF(AQ59="1",BH59,0),2)</f>
        <v>0</v>
      </c>
      <c r="AC59" s="158">
        <f>ROUND(IF(AQ59="1",BI59,0),2)</f>
        <v>0</v>
      </c>
      <c r="AD59" s="158">
        <f>ROUND(IF(AQ59="7",BH59,0),2)</f>
        <v>0</v>
      </c>
      <c r="AE59" s="158">
        <f>ROUND(IF(AQ59="7",BI59,0),2)</f>
        <v>0</v>
      </c>
      <c r="AF59" s="158">
        <f>ROUND(IF(AQ59="2",BH59,0),2)</f>
        <v>0</v>
      </c>
      <c r="AG59" s="158">
        <f>ROUND(IF(AQ59="2",BI59,0),2)</f>
        <v>0</v>
      </c>
      <c r="AH59" s="158">
        <f>ROUND(IF(AQ59="0",BJ59,0),2)</f>
        <v>0</v>
      </c>
      <c r="AI59" s="155" t="s">
        <v>18</v>
      </c>
      <c r="AJ59" s="158">
        <f>IF(AN59=0,I59,0)</f>
        <v>0</v>
      </c>
      <c r="AK59" s="158">
        <f>IF(AN59=12,I59,0)</f>
        <v>0</v>
      </c>
      <c r="AL59" s="158">
        <f>IF(AN59=21,I59,0)</f>
        <v>0</v>
      </c>
      <c r="AN59" s="158">
        <v>21</v>
      </c>
      <c r="AO59" s="158">
        <f>H59*0.867145742</f>
        <v>0</v>
      </c>
      <c r="AP59" s="158">
        <f>H59*(1-0.867145742)</f>
        <v>0</v>
      </c>
      <c r="AQ59" s="159" t="s">
        <v>134</v>
      </c>
      <c r="AV59" s="158">
        <f>ROUND(AW59+AX59,2)</f>
        <v>0</v>
      </c>
      <c r="AW59" s="158">
        <f>ROUND(G59*AO59,2)</f>
        <v>0</v>
      </c>
      <c r="AX59" s="158">
        <f>ROUND(G59*AP59,2)</f>
        <v>0</v>
      </c>
      <c r="AY59" s="159" t="s">
        <v>231</v>
      </c>
      <c r="AZ59" s="159" t="s">
        <v>207</v>
      </c>
      <c r="BA59" s="155" t="s">
        <v>138</v>
      </c>
      <c r="BC59" s="158">
        <f>AW59+AX59</f>
        <v>0</v>
      </c>
      <c r="BD59" s="158">
        <f>H59/(100-BE59)*100</f>
        <v>0</v>
      </c>
      <c r="BE59" s="158">
        <v>0</v>
      </c>
      <c r="BF59" s="158">
        <f>59</f>
        <v>59</v>
      </c>
      <c r="BH59" s="158">
        <f>G59*AO59</f>
        <v>0</v>
      </c>
      <c r="BI59" s="158">
        <f>G59*AP59</f>
        <v>0</v>
      </c>
      <c r="BJ59" s="158">
        <f>G59*H59</f>
        <v>0</v>
      </c>
      <c r="BK59" s="158"/>
      <c r="BL59" s="158">
        <v>59</v>
      </c>
      <c r="BW59" s="158">
        <v>21</v>
      </c>
      <c r="BX59" s="160" t="s">
        <v>234</v>
      </c>
    </row>
    <row r="60" spans="1:76" x14ac:dyDescent="0.25">
      <c r="A60" s="196"/>
      <c r="D60" s="197" t="s">
        <v>235</v>
      </c>
      <c r="E60" s="197" t="s">
        <v>18</v>
      </c>
      <c r="G60" s="198">
        <v>25.1</v>
      </c>
      <c r="K60" s="157"/>
    </row>
    <row r="61" spans="1:76" x14ac:dyDescent="0.25">
      <c r="A61" s="191" t="s">
        <v>18</v>
      </c>
      <c r="B61" s="192" t="s">
        <v>18</v>
      </c>
      <c r="C61" s="192" t="s">
        <v>40</v>
      </c>
      <c r="D61" s="193" t="s">
        <v>41</v>
      </c>
      <c r="E61" s="194"/>
      <c r="F61" s="195" t="s">
        <v>3</v>
      </c>
      <c r="G61" s="195" t="s">
        <v>3</v>
      </c>
      <c r="H61" s="32" t="s">
        <v>3</v>
      </c>
      <c r="I61" s="24">
        <f>SUM(I62:I63)</f>
        <v>0</v>
      </c>
      <c r="K61" s="157"/>
      <c r="AI61" s="155" t="s">
        <v>18</v>
      </c>
      <c r="AS61" s="147">
        <f>SUM(AJ62:AJ63)</f>
        <v>0</v>
      </c>
      <c r="AT61" s="147">
        <f>SUM(AK62:AK63)</f>
        <v>0</v>
      </c>
      <c r="AU61" s="147">
        <f>SUM(AL62:AL63)</f>
        <v>0</v>
      </c>
    </row>
    <row r="62" spans="1:76" x14ac:dyDescent="0.25">
      <c r="A62" s="189" t="s">
        <v>236</v>
      </c>
      <c r="B62" s="190" t="s">
        <v>18</v>
      </c>
      <c r="C62" s="190" t="s">
        <v>237</v>
      </c>
      <c r="D62" s="172" t="s">
        <v>238</v>
      </c>
      <c r="E62" s="169"/>
      <c r="F62" s="190" t="s">
        <v>239</v>
      </c>
      <c r="G62" s="158">
        <v>6</v>
      </c>
      <c r="H62" s="31">
        <v>0</v>
      </c>
      <c r="I62" s="31">
        <f>ROUND(G62*H62,2)</f>
        <v>0</v>
      </c>
      <c r="K62" s="157"/>
      <c r="Z62" s="158">
        <f>ROUND(IF(AQ62="5",BJ62,0),2)</f>
        <v>0</v>
      </c>
      <c r="AB62" s="158">
        <f>ROUND(IF(AQ62="1",BH62,0),2)</f>
        <v>0</v>
      </c>
      <c r="AC62" s="158">
        <f>ROUND(IF(AQ62="1",BI62,0),2)</f>
        <v>0</v>
      </c>
      <c r="AD62" s="158">
        <f>ROUND(IF(AQ62="7",BH62,0),2)</f>
        <v>0</v>
      </c>
      <c r="AE62" s="158">
        <f>ROUND(IF(AQ62="7",BI62,0),2)</f>
        <v>0</v>
      </c>
      <c r="AF62" s="158">
        <f>ROUND(IF(AQ62="2",BH62,0),2)</f>
        <v>0</v>
      </c>
      <c r="AG62" s="158">
        <f>ROUND(IF(AQ62="2",BI62,0),2)</f>
        <v>0</v>
      </c>
      <c r="AH62" s="158">
        <f>ROUND(IF(AQ62="0",BJ62,0),2)</f>
        <v>0</v>
      </c>
      <c r="AI62" s="155" t="s">
        <v>18</v>
      </c>
      <c r="AJ62" s="158">
        <f>IF(AN62=0,I62,0)</f>
        <v>0</v>
      </c>
      <c r="AK62" s="158">
        <f>IF(AN62=12,I62,0)</f>
        <v>0</v>
      </c>
      <c r="AL62" s="158">
        <f>IF(AN62=21,I62,0)</f>
        <v>0</v>
      </c>
      <c r="AN62" s="158">
        <v>21</v>
      </c>
      <c r="AO62" s="158">
        <f>H62*0.338885802</f>
        <v>0</v>
      </c>
      <c r="AP62" s="158">
        <f>H62*(1-0.338885802)</f>
        <v>0</v>
      </c>
      <c r="AQ62" s="159" t="s">
        <v>134</v>
      </c>
      <c r="AV62" s="158">
        <f>ROUND(AW62+AX62,2)</f>
        <v>0</v>
      </c>
      <c r="AW62" s="158">
        <f>ROUND(G62*AO62,2)</f>
        <v>0</v>
      </c>
      <c r="AX62" s="158">
        <f>ROUND(G62*AP62,2)</f>
        <v>0</v>
      </c>
      <c r="AY62" s="159" t="s">
        <v>240</v>
      </c>
      <c r="AZ62" s="159" t="s">
        <v>241</v>
      </c>
      <c r="BA62" s="155" t="s">
        <v>138</v>
      </c>
      <c r="BC62" s="158">
        <f>AW62+AX62</f>
        <v>0</v>
      </c>
      <c r="BD62" s="158">
        <f>H62/(100-BE62)*100</f>
        <v>0</v>
      </c>
      <c r="BE62" s="158">
        <v>0</v>
      </c>
      <c r="BF62" s="158">
        <f>62</f>
        <v>62</v>
      </c>
      <c r="BH62" s="158">
        <f>G62*AO62</f>
        <v>0</v>
      </c>
      <c r="BI62" s="158">
        <f>G62*AP62</f>
        <v>0</v>
      </c>
      <c r="BJ62" s="158">
        <f>G62*H62</f>
        <v>0</v>
      </c>
      <c r="BK62" s="158"/>
      <c r="BL62" s="158">
        <v>89</v>
      </c>
      <c r="BW62" s="158">
        <v>21</v>
      </c>
      <c r="BX62" s="160" t="s">
        <v>238</v>
      </c>
    </row>
    <row r="63" spans="1:76" x14ac:dyDescent="0.25">
      <c r="A63" s="189" t="s">
        <v>242</v>
      </c>
      <c r="B63" s="190" t="s">
        <v>18</v>
      </c>
      <c r="C63" s="190" t="s">
        <v>243</v>
      </c>
      <c r="D63" s="172" t="s">
        <v>244</v>
      </c>
      <c r="E63" s="169"/>
      <c r="F63" s="190" t="s">
        <v>239</v>
      </c>
      <c r="G63" s="158">
        <v>3</v>
      </c>
      <c r="H63" s="31">
        <v>0</v>
      </c>
      <c r="I63" s="31">
        <f>ROUND(G63*H63,2)</f>
        <v>0</v>
      </c>
      <c r="K63" s="157"/>
      <c r="Z63" s="158">
        <f>ROUND(IF(AQ63="5",BJ63,0),2)</f>
        <v>0</v>
      </c>
      <c r="AB63" s="158">
        <f>ROUND(IF(AQ63="1",BH63,0),2)</f>
        <v>0</v>
      </c>
      <c r="AC63" s="158">
        <f>ROUND(IF(AQ63="1",BI63,0),2)</f>
        <v>0</v>
      </c>
      <c r="AD63" s="158">
        <f>ROUND(IF(AQ63="7",BH63,0),2)</f>
        <v>0</v>
      </c>
      <c r="AE63" s="158">
        <f>ROUND(IF(AQ63="7",BI63,0),2)</f>
        <v>0</v>
      </c>
      <c r="AF63" s="158">
        <f>ROUND(IF(AQ63="2",BH63,0),2)</f>
        <v>0</v>
      </c>
      <c r="AG63" s="158">
        <f>ROUND(IF(AQ63="2",BI63,0),2)</f>
        <v>0</v>
      </c>
      <c r="AH63" s="158">
        <f>ROUND(IF(AQ63="0",BJ63,0),2)</f>
        <v>0</v>
      </c>
      <c r="AI63" s="155" t="s">
        <v>18</v>
      </c>
      <c r="AJ63" s="158">
        <f>IF(AN63=0,I63,0)</f>
        <v>0</v>
      </c>
      <c r="AK63" s="158">
        <f>IF(AN63=12,I63,0)</f>
        <v>0</v>
      </c>
      <c r="AL63" s="158">
        <f>IF(AN63=21,I63,0)</f>
        <v>0</v>
      </c>
      <c r="AN63" s="158">
        <v>21</v>
      </c>
      <c r="AO63" s="158">
        <f>H63*0.3184608</f>
        <v>0</v>
      </c>
      <c r="AP63" s="158">
        <f>H63*(1-0.3184608)</f>
        <v>0</v>
      </c>
      <c r="AQ63" s="159" t="s">
        <v>134</v>
      </c>
      <c r="AV63" s="158">
        <f>ROUND(AW63+AX63,2)</f>
        <v>0</v>
      </c>
      <c r="AW63" s="158">
        <f>ROUND(G63*AO63,2)</f>
        <v>0</v>
      </c>
      <c r="AX63" s="158">
        <f>ROUND(G63*AP63,2)</f>
        <v>0</v>
      </c>
      <c r="AY63" s="159" t="s">
        <v>240</v>
      </c>
      <c r="AZ63" s="159" t="s">
        <v>241</v>
      </c>
      <c r="BA63" s="155" t="s">
        <v>138</v>
      </c>
      <c r="BC63" s="158">
        <f>AW63+AX63</f>
        <v>0</v>
      </c>
      <c r="BD63" s="158">
        <f>H63/(100-BE63)*100</f>
        <v>0</v>
      </c>
      <c r="BE63" s="158">
        <v>0</v>
      </c>
      <c r="BF63" s="158">
        <f>63</f>
        <v>63</v>
      </c>
      <c r="BH63" s="158">
        <f>G63*AO63</f>
        <v>0</v>
      </c>
      <c r="BI63" s="158">
        <f>G63*AP63</f>
        <v>0</v>
      </c>
      <c r="BJ63" s="158">
        <f>G63*H63</f>
        <v>0</v>
      </c>
      <c r="BK63" s="158"/>
      <c r="BL63" s="158">
        <v>89</v>
      </c>
      <c r="BW63" s="158">
        <v>21</v>
      </c>
      <c r="BX63" s="160" t="s">
        <v>244</v>
      </c>
    </row>
    <row r="64" spans="1:76" x14ac:dyDescent="0.25">
      <c r="A64" s="191" t="s">
        <v>18</v>
      </c>
      <c r="B64" s="192" t="s">
        <v>18</v>
      </c>
      <c r="C64" s="192" t="s">
        <v>42</v>
      </c>
      <c r="D64" s="193" t="s">
        <v>43</v>
      </c>
      <c r="E64" s="194"/>
      <c r="F64" s="195" t="s">
        <v>3</v>
      </c>
      <c r="G64" s="195" t="s">
        <v>3</v>
      </c>
      <c r="H64" s="32" t="s">
        <v>3</v>
      </c>
      <c r="I64" s="24">
        <f>SUM(I65:I69)</f>
        <v>0</v>
      </c>
      <c r="K64" s="157"/>
      <c r="AI64" s="155" t="s">
        <v>18</v>
      </c>
      <c r="AS64" s="147">
        <f>SUM(AJ65:AJ69)</f>
        <v>0</v>
      </c>
      <c r="AT64" s="147">
        <f>SUM(AK65:AK69)</f>
        <v>0</v>
      </c>
      <c r="AU64" s="147">
        <f>SUM(AL65:AL69)</f>
        <v>0</v>
      </c>
    </row>
    <row r="65" spans="1:76" x14ac:dyDescent="0.25">
      <c r="A65" s="189" t="s">
        <v>245</v>
      </c>
      <c r="B65" s="190" t="s">
        <v>18</v>
      </c>
      <c r="C65" s="190" t="s">
        <v>246</v>
      </c>
      <c r="D65" s="172" t="s">
        <v>247</v>
      </c>
      <c r="E65" s="169"/>
      <c r="F65" s="190" t="s">
        <v>157</v>
      </c>
      <c r="G65" s="158">
        <v>3</v>
      </c>
      <c r="H65" s="31">
        <v>0</v>
      </c>
      <c r="I65" s="31">
        <f>ROUND(G65*H65,2)</f>
        <v>0</v>
      </c>
      <c r="K65" s="157"/>
      <c r="Z65" s="158">
        <f>ROUND(IF(AQ65="5",BJ65,0),2)</f>
        <v>0</v>
      </c>
      <c r="AB65" s="158">
        <f>ROUND(IF(AQ65="1",BH65,0),2)</f>
        <v>0</v>
      </c>
      <c r="AC65" s="158">
        <f>ROUND(IF(AQ65="1",BI65,0),2)</f>
        <v>0</v>
      </c>
      <c r="AD65" s="158">
        <f>ROUND(IF(AQ65="7",BH65,0),2)</f>
        <v>0</v>
      </c>
      <c r="AE65" s="158">
        <f>ROUND(IF(AQ65="7",BI65,0),2)</f>
        <v>0</v>
      </c>
      <c r="AF65" s="158">
        <f>ROUND(IF(AQ65="2",BH65,0),2)</f>
        <v>0</v>
      </c>
      <c r="AG65" s="158">
        <f>ROUND(IF(AQ65="2",BI65,0),2)</f>
        <v>0</v>
      </c>
      <c r="AH65" s="158">
        <f>ROUND(IF(AQ65="0",BJ65,0),2)</f>
        <v>0</v>
      </c>
      <c r="AI65" s="155" t="s">
        <v>18</v>
      </c>
      <c r="AJ65" s="158">
        <f>IF(AN65=0,I65,0)</f>
        <v>0</v>
      </c>
      <c r="AK65" s="158">
        <f>IF(AN65=12,I65,0)</f>
        <v>0</v>
      </c>
      <c r="AL65" s="158">
        <f>IF(AN65=21,I65,0)</f>
        <v>0</v>
      </c>
      <c r="AN65" s="158">
        <v>21</v>
      </c>
      <c r="AO65" s="158">
        <f>H65*0.468336449</f>
        <v>0</v>
      </c>
      <c r="AP65" s="158">
        <f>H65*(1-0.468336449)</f>
        <v>0</v>
      </c>
      <c r="AQ65" s="159" t="s">
        <v>134</v>
      </c>
      <c r="AV65" s="158">
        <f>ROUND(AW65+AX65,2)</f>
        <v>0</v>
      </c>
      <c r="AW65" s="158">
        <f>ROUND(G65*AO65,2)</f>
        <v>0</v>
      </c>
      <c r="AX65" s="158">
        <f>ROUND(G65*AP65,2)</f>
        <v>0</v>
      </c>
      <c r="AY65" s="159" t="s">
        <v>248</v>
      </c>
      <c r="AZ65" s="159" t="s">
        <v>249</v>
      </c>
      <c r="BA65" s="155" t="s">
        <v>138</v>
      </c>
      <c r="BC65" s="158">
        <f>AW65+AX65</f>
        <v>0</v>
      </c>
      <c r="BD65" s="158">
        <f>H65/(100-BE65)*100</f>
        <v>0</v>
      </c>
      <c r="BE65" s="158">
        <v>0</v>
      </c>
      <c r="BF65" s="158">
        <f>65</f>
        <v>65</v>
      </c>
      <c r="BH65" s="158">
        <f>G65*AO65</f>
        <v>0</v>
      </c>
      <c r="BI65" s="158">
        <f>G65*AP65</f>
        <v>0</v>
      </c>
      <c r="BJ65" s="158">
        <f>G65*H65</f>
        <v>0</v>
      </c>
      <c r="BK65" s="158"/>
      <c r="BL65" s="158">
        <v>91</v>
      </c>
      <c r="BW65" s="158">
        <v>21</v>
      </c>
      <c r="BX65" s="160" t="s">
        <v>247</v>
      </c>
    </row>
    <row r="66" spans="1:76" x14ac:dyDescent="0.25">
      <c r="A66" s="189" t="s">
        <v>250</v>
      </c>
      <c r="B66" s="190" t="s">
        <v>18</v>
      </c>
      <c r="C66" s="190" t="s">
        <v>251</v>
      </c>
      <c r="D66" s="172" t="s">
        <v>252</v>
      </c>
      <c r="E66" s="169"/>
      <c r="F66" s="190" t="s">
        <v>157</v>
      </c>
      <c r="G66" s="158">
        <v>3</v>
      </c>
      <c r="H66" s="31">
        <v>0</v>
      </c>
      <c r="I66" s="31">
        <f>ROUND(G66*H66,2)</f>
        <v>0</v>
      </c>
      <c r="K66" s="157"/>
      <c r="Z66" s="158">
        <f>ROUND(IF(AQ66="5",BJ66,0),2)</f>
        <v>0</v>
      </c>
      <c r="AB66" s="158">
        <f>ROUND(IF(AQ66="1",BH66,0),2)</f>
        <v>0</v>
      </c>
      <c r="AC66" s="158">
        <f>ROUND(IF(AQ66="1",BI66,0),2)</f>
        <v>0</v>
      </c>
      <c r="AD66" s="158">
        <f>ROUND(IF(AQ66="7",BH66,0),2)</f>
        <v>0</v>
      </c>
      <c r="AE66" s="158">
        <f>ROUND(IF(AQ66="7",BI66,0),2)</f>
        <v>0</v>
      </c>
      <c r="AF66" s="158">
        <f>ROUND(IF(AQ66="2",BH66,0),2)</f>
        <v>0</v>
      </c>
      <c r="AG66" s="158">
        <f>ROUND(IF(AQ66="2",BI66,0),2)</f>
        <v>0</v>
      </c>
      <c r="AH66" s="158">
        <f>ROUND(IF(AQ66="0",BJ66,0),2)</f>
        <v>0</v>
      </c>
      <c r="AI66" s="155" t="s">
        <v>18</v>
      </c>
      <c r="AJ66" s="158">
        <f>IF(AN66=0,I66,0)</f>
        <v>0</v>
      </c>
      <c r="AK66" s="158">
        <f>IF(AN66=12,I66,0)</f>
        <v>0</v>
      </c>
      <c r="AL66" s="158">
        <f>IF(AN66=21,I66,0)</f>
        <v>0</v>
      </c>
      <c r="AN66" s="158">
        <v>21</v>
      </c>
      <c r="AO66" s="158">
        <f>H66*0.005157593</f>
        <v>0</v>
      </c>
      <c r="AP66" s="158">
        <f>H66*(1-0.005157593)</f>
        <v>0</v>
      </c>
      <c r="AQ66" s="159" t="s">
        <v>134</v>
      </c>
      <c r="AV66" s="158">
        <f>ROUND(AW66+AX66,2)</f>
        <v>0</v>
      </c>
      <c r="AW66" s="158">
        <f>ROUND(G66*AO66,2)</f>
        <v>0</v>
      </c>
      <c r="AX66" s="158">
        <f>ROUND(G66*AP66,2)</f>
        <v>0</v>
      </c>
      <c r="AY66" s="159" t="s">
        <v>248</v>
      </c>
      <c r="AZ66" s="159" t="s">
        <v>249</v>
      </c>
      <c r="BA66" s="155" t="s">
        <v>138</v>
      </c>
      <c r="BC66" s="158">
        <f>AW66+AX66</f>
        <v>0</v>
      </c>
      <c r="BD66" s="158">
        <f>H66/(100-BE66)*100</f>
        <v>0</v>
      </c>
      <c r="BE66" s="158">
        <v>0</v>
      </c>
      <c r="BF66" s="158">
        <f>66</f>
        <v>66</v>
      </c>
      <c r="BH66" s="158">
        <f>G66*AO66</f>
        <v>0</v>
      </c>
      <c r="BI66" s="158">
        <f>G66*AP66</f>
        <v>0</v>
      </c>
      <c r="BJ66" s="158">
        <f>G66*H66</f>
        <v>0</v>
      </c>
      <c r="BK66" s="158"/>
      <c r="BL66" s="158">
        <v>91</v>
      </c>
      <c r="BW66" s="158">
        <v>21</v>
      </c>
      <c r="BX66" s="160" t="s">
        <v>252</v>
      </c>
    </row>
    <row r="67" spans="1:76" ht="25.5" x14ac:dyDescent="0.25">
      <c r="A67" s="189" t="s">
        <v>253</v>
      </c>
      <c r="B67" s="190" t="s">
        <v>18</v>
      </c>
      <c r="C67" s="190" t="s">
        <v>254</v>
      </c>
      <c r="D67" s="172" t="s">
        <v>287</v>
      </c>
      <c r="E67" s="169"/>
      <c r="F67" s="190" t="s">
        <v>169</v>
      </c>
      <c r="G67" s="158">
        <v>63</v>
      </c>
      <c r="H67" s="31">
        <v>0</v>
      </c>
      <c r="I67" s="31">
        <f>ROUND(G67*H67,2)</f>
        <v>0</v>
      </c>
      <c r="K67" s="157"/>
      <c r="Z67" s="158">
        <f>ROUND(IF(AQ67="5",BJ67,0),2)</f>
        <v>0</v>
      </c>
      <c r="AB67" s="158">
        <f>ROUND(IF(AQ67="1",BH67,0),2)</f>
        <v>0</v>
      </c>
      <c r="AC67" s="158">
        <f>ROUND(IF(AQ67="1",BI67,0),2)</f>
        <v>0</v>
      </c>
      <c r="AD67" s="158">
        <f>ROUND(IF(AQ67="7",BH67,0),2)</f>
        <v>0</v>
      </c>
      <c r="AE67" s="158">
        <f>ROUND(IF(AQ67="7",BI67,0),2)</f>
        <v>0</v>
      </c>
      <c r="AF67" s="158">
        <f>ROUND(IF(AQ67="2",BH67,0),2)</f>
        <v>0</v>
      </c>
      <c r="AG67" s="158">
        <f>ROUND(IF(AQ67="2",BI67,0),2)</f>
        <v>0</v>
      </c>
      <c r="AH67" s="158">
        <f>ROUND(IF(AQ67="0",BJ67,0),2)</f>
        <v>0</v>
      </c>
      <c r="AI67" s="155" t="s">
        <v>18</v>
      </c>
      <c r="AJ67" s="158">
        <f>IF(AN67=0,I67,0)</f>
        <v>0</v>
      </c>
      <c r="AK67" s="158">
        <f>IF(AN67=12,I67,0)</f>
        <v>0</v>
      </c>
      <c r="AL67" s="158">
        <f>IF(AN67=21,I67,0)</f>
        <v>0</v>
      </c>
      <c r="AN67" s="158">
        <v>21</v>
      </c>
      <c r="AO67" s="158">
        <f>H67*0.753378176</f>
        <v>0</v>
      </c>
      <c r="AP67" s="158">
        <f>H67*(1-0.753378176)</f>
        <v>0</v>
      </c>
      <c r="AQ67" s="159" t="s">
        <v>134</v>
      </c>
      <c r="AV67" s="158">
        <f>ROUND(AW67+AX67,2)</f>
        <v>0</v>
      </c>
      <c r="AW67" s="158">
        <f>ROUND(G67*AO67,2)</f>
        <v>0</v>
      </c>
      <c r="AX67" s="158">
        <f>ROUND(G67*AP67,2)</f>
        <v>0</v>
      </c>
      <c r="AY67" s="159" t="s">
        <v>248</v>
      </c>
      <c r="AZ67" s="159" t="s">
        <v>249</v>
      </c>
      <c r="BA67" s="155" t="s">
        <v>138</v>
      </c>
      <c r="BC67" s="158">
        <f>AW67+AX67</f>
        <v>0</v>
      </c>
      <c r="BD67" s="158">
        <f>H67/(100-BE67)*100</f>
        <v>0</v>
      </c>
      <c r="BE67" s="158">
        <v>0</v>
      </c>
      <c r="BF67" s="158">
        <f>67</f>
        <v>67</v>
      </c>
      <c r="BH67" s="158">
        <f>G67*AO67</f>
        <v>0</v>
      </c>
      <c r="BI67" s="158">
        <f>G67*AP67</f>
        <v>0</v>
      </c>
      <c r="BJ67" s="158">
        <f>G67*H67</f>
        <v>0</v>
      </c>
      <c r="BK67" s="158"/>
      <c r="BL67" s="158">
        <v>91</v>
      </c>
      <c r="BW67" s="158">
        <v>21</v>
      </c>
      <c r="BX67" s="160" t="s">
        <v>255</v>
      </c>
    </row>
    <row r="68" spans="1:76" ht="25.5" x14ac:dyDescent="0.25">
      <c r="A68" s="189" t="s">
        <v>256</v>
      </c>
      <c r="B68" s="190" t="s">
        <v>18</v>
      </c>
      <c r="C68" s="190" t="s">
        <v>257</v>
      </c>
      <c r="D68" s="172" t="s">
        <v>288</v>
      </c>
      <c r="E68" s="169"/>
      <c r="F68" s="190" t="s">
        <v>169</v>
      </c>
      <c r="G68" s="158">
        <v>2</v>
      </c>
      <c r="H68" s="31">
        <v>0</v>
      </c>
      <c r="I68" s="31">
        <f>ROUND(G68*H68,2)</f>
        <v>0</v>
      </c>
      <c r="K68" s="157"/>
      <c r="Z68" s="158">
        <f>ROUND(IF(AQ68="5",BJ68,0),2)</f>
        <v>0</v>
      </c>
      <c r="AB68" s="158">
        <f>ROUND(IF(AQ68="1",BH68,0),2)</f>
        <v>0</v>
      </c>
      <c r="AC68" s="158">
        <f>ROUND(IF(AQ68="1",BI68,0),2)</f>
        <v>0</v>
      </c>
      <c r="AD68" s="158">
        <f>ROUND(IF(AQ68="7",BH68,0),2)</f>
        <v>0</v>
      </c>
      <c r="AE68" s="158">
        <f>ROUND(IF(AQ68="7",BI68,0),2)</f>
        <v>0</v>
      </c>
      <c r="AF68" s="158">
        <f>ROUND(IF(AQ68="2",BH68,0),2)</f>
        <v>0</v>
      </c>
      <c r="AG68" s="158">
        <f>ROUND(IF(AQ68="2",BI68,0),2)</f>
        <v>0</v>
      </c>
      <c r="AH68" s="158">
        <f>ROUND(IF(AQ68="0",BJ68,0),2)</f>
        <v>0</v>
      </c>
      <c r="AI68" s="155" t="s">
        <v>18</v>
      </c>
      <c r="AJ68" s="158">
        <f>IF(AN68=0,I68,0)</f>
        <v>0</v>
      </c>
      <c r="AK68" s="158">
        <f>IF(AN68=12,I68,0)</f>
        <v>0</v>
      </c>
      <c r="AL68" s="158">
        <f>IF(AN68=21,I68,0)</f>
        <v>0</v>
      </c>
      <c r="AN68" s="158">
        <v>21</v>
      </c>
      <c r="AO68" s="158">
        <f>H68*0.81647386</f>
        <v>0</v>
      </c>
      <c r="AP68" s="158">
        <f>H68*(1-0.81647386)</f>
        <v>0</v>
      </c>
      <c r="AQ68" s="159" t="s">
        <v>134</v>
      </c>
      <c r="AV68" s="158">
        <f>ROUND(AW68+AX68,2)</f>
        <v>0</v>
      </c>
      <c r="AW68" s="158">
        <f>ROUND(G68*AO68,2)</f>
        <v>0</v>
      </c>
      <c r="AX68" s="158">
        <f>ROUND(G68*AP68,2)</f>
        <v>0</v>
      </c>
      <c r="AY68" s="159" t="s">
        <v>248</v>
      </c>
      <c r="AZ68" s="159" t="s">
        <v>249</v>
      </c>
      <c r="BA68" s="155" t="s">
        <v>138</v>
      </c>
      <c r="BC68" s="158">
        <f>AW68+AX68</f>
        <v>0</v>
      </c>
      <c r="BD68" s="158">
        <f>H68/(100-BE68)*100</f>
        <v>0</v>
      </c>
      <c r="BE68" s="158">
        <v>0</v>
      </c>
      <c r="BF68" s="158">
        <f>68</f>
        <v>68</v>
      </c>
      <c r="BH68" s="158">
        <f>G68*AO68</f>
        <v>0</v>
      </c>
      <c r="BI68" s="158">
        <f>G68*AP68</f>
        <v>0</v>
      </c>
      <c r="BJ68" s="158">
        <f>G68*H68</f>
        <v>0</v>
      </c>
      <c r="BK68" s="158"/>
      <c r="BL68" s="158">
        <v>91</v>
      </c>
      <c r="BW68" s="158">
        <v>21</v>
      </c>
      <c r="BX68" s="160" t="s">
        <v>255</v>
      </c>
    </row>
    <row r="69" spans="1:76" x14ac:dyDescent="0.25">
      <c r="A69" s="189" t="s">
        <v>258</v>
      </c>
      <c r="B69" s="190" t="s">
        <v>18</v>
      </c>
      <c r="C69" s="190" t="s">
        <v>259</v>
      </c>
      <c r="D69" s="172" t="s">
        <v>260</v>
      </c>
      <c r="E69" s="169"/>
      <c r="F69" s="190" t="s">
        <v>169</v>
      </c>
      <c r="G69" s="158">
        <v>43.9</v>
      </c>
      <c r="H69" s="31">
        <v>0</v>
      </c>
      <c r="I69" s="31">
        <f>ROUND(G69*H69,2)</f>
        <v>0</v>
      </c>
      <c r="K69" s="157"/>
      <c r="Z69" s="158">
        <f>ROUND(IF(AQ69="5",BJ69,0),2)</f>
        <v>0</v>
      </c>
      <c r="AB69" s="158">
        <f>ROUND(IF(AQ69="1",BH69,0),2)</f>
        <v>0</v>
      </c>
      <c r="AC69" s="158">
        <f>ROUND(IF(AQ69="1",BI69,0),2)</f>
        <v>0</v>
      </c>
      <c r="AD69" s="158">
        <f>ROUND(IF(AQ69="7",BH69,0),2)</f>
        <v>0</v>
      </c>
      <c r="AE69" s="158">
        <f>ROUND(IF(AQ69="7",BI69,0),2)</f>
        <v>0</v>
      </c>
      <c r="AF69" s="158">
        <f>ROUND(IF(AQ69="2",BH69,0),2)</f>
        <v>0</v>
      </c>
      <c r="AG69" s="158">
        <f>ROUND(IF(AQ69="2",BI69,0),2)</f>
        <v>0</v>
      </c>
      <c r="AH69" s="158">
        <f>ROUND(IF(AQ69="0",BJ69,0),2)</f>
        <v>0</v>
      </c>
      <c r="AI69" s="155" t="s">
        <v>18</v>
      </c>
      <c r="AJ69" s="158">
        <f>IF(AN69=0,I69,0)</f>
        <v>0</v>
      </c>
      <c r="AK69" s="158">
        <f>IF(AN69=12,I69,0)</f>
        <v>0</v>
      </c>
      <c r="AL69" s="158">
        <f>IF(AN69=21,I69,0)</f>
        <v>0</v>
      </c>
      <c r="AN69" s="158">
        <v>21</v>
      </c>
      <c r="AO69" s="158">
        <f>H69*0.46565028</f>
        <v>0</v>
      </c>
      <c r="AP69" s="158">
        <f>H69*(1-0.46565028)</f>
        <v>0</v>
      </c>
      <c r="AQ69" s="159" t="s">
        <v>134</v>
      </c>
      <c r="AV69" s="158">
        <f>ROUND(AW69+AX69,2)</f>
        <v>0</v>
      </c>
      <c r="AW69" s="158">
        <f>ROUND(G69*AO69,2)</f>
        <v>0</v>
      </c>
      <c r="AX69" s="158">
        <f>ROUND(G69*AP69,2)</f>
        <v>0</v>
      </c>
      <c r="AY69" s="159" t="s">
        <v>248</v>
      </c>
      <c r="AZ69" s="159" t="s">
        <v>249</v>
      </c>
      <c r="BA69" s="155" t="s">
        <v>138</v>
      </c>
      <c r="BC69" s="158">
        <f>AW69+AX69</f>
        <v>0</v>
      </c>
      <c r="BD69" s="158">
        <f>H69/(100-BE69)*100</f>
        <v>0</v>
      </c>
      <c r="BE69" s="158">
        <v>0</v>
      </c>
      <c r="BF69" s="158">
        <f>69</f>
        <v>69</v>
      </c>
      <c r="BH69" s="158">
        <f>G69*AO69</f>
        <v>0</v>
      </c>
      <c r="BI69" s="158">
        <f>G69*AP69</f>
        <v>0</v>
      </c>
      <c r="BJ69" s="158">
        <f>G69*H69</f>
        <v>0</v>
      </c>
      <c r="BK69" s="158"/>
      <c r="BL69" s="158">
        <v>91</v>
      </c>
      <c r="BW69" s="158">
        <v>21</v>
      </c>
      <c r="BX69" s="160" t="s">
        <v>260</v>
      </c>
    </row>
    <row r="70" spans="1:76" x14ac:dyDescent="0.25">
      <c r="A70" s="196"/>
      <c r="D70" s="197" t="s">
        <v>261</v>
      </c>
      <c r="E70" s="197" t="s">
        <v>18</v>
      </c>
      <c r="G70" s="198">
        <v>25.1</v>
      </c>
      <c r="K70" s="157"/>
    </row>
    <row r="71" spans="1:76" x14ac:dyDescent="0.25">
      <c r="A71" s="196"/>
      <c r="D71" s="197" t="s">
        <v>262</v>
      </c>
      <c r="E71" s="197" t="s">
        <v>18</v>
      </c>
      <c r="G71" s="198">
        <v>18.8</v>
      </c>
      <c r="K71" s="157"/>
    </row>
    <row r="72" spans="1:76" x14ac:dyDescent="0.25">
      <c r="A72" s="191" t="s">
        <v>18</v>
      </c>
      <c r="B72" s="192" t="s">
        <v>18</v>
      </c>
      <c r="C72" s="192" t="s">
        <v>44</v>
      </c>
      <c r="D72" s="193" t="s">
        <v>45</v>
      </c>
      <c r="E72" s="194"/>
      <c r="F72" s="195" t="s">
        <v>3</v>
      </c>
      <c r="G72" s="195" t="s">
        <v>3</v>
      </c>
      <c r="H72" s="32" t="s">
        <v>3</v>
      </c>
      <c r="I72" s="24">
        <f>SUM(I73:I74)</f>
        <v>0</v>
      </c>
      <c r="K72" s="157"/>
      <c r="AI72" s="155" t="s">
        <v>18</v>
      </c>
      <c r="AS72" s="147">
        <f>SUM(AJ73:AJ74)</f>
        <v>0</v>
      </c>
      <c r="AT72" s="147">
        <f>SUM(AK73:AK74)</f>
        <v>0</v>
      </c>
      <c r="AU72" s="147">
        <f>SUM(AL73:AL74)</f>
        <v>0</v>
      </c>
    </row>
    <row r="73" spans="1:76" x14ac:dyDescent="0.25">
      <c r="A73" s="189" t="s">
        <v>263</v>
      </c>
      <c r="B73" s="190" t="s">
        <v>18</v>
      </c>
      <c r="C73" s="190" t="s">
        <v>264</v>
      </c>
      <c r="D73" s="172" t="s">
        <v>265</v>
      </c>
      <c r="E73" s="169"/>
      <c r="F73" s="190" t="s">
        <v>157</v>
      </c>
      <c r="G73" s="158">
        <v>10.199999999999999</v>
      </c>
      <c r="H73" s="31">
        <v>0</v>
      </c>
      <c r="I73" s="31">
        <f>ROUND(G73*H73,2)</f>
        <v>0</v>
      </c>
      <c r="K73" s="157"/>
      <c r="Z73" s="158">
        <f>ROUND(IF(AQ73="5",BJ73,0),2)</f>
        <v>0</v>
      </c>
      <c r="AB73" s="158">
        <f>ROUND(IF(AQ73="1",BH73,0),2)</f>
        <v>0</v>
      </c>
      <c r="AC73" s="158">
        <f>ROUND(IF(AQ73="1",BI73,0),2)</f>
        <v>0</v>
      </c>
      <c r="AD73" s="158">
        <f>ROUND(IF(AQ73="7",BH73,0),2)</f>
        <v>0</v>
      </c>
      <c r="AE73" s="158">
        <f>ROUND(IF(AQ73="7",BI73,0),2)</f>
        <v>0</v>
      </c>
      <c r="AF73" s="158">
        <f>ROUND(IF(AQ73="2",BH73,0),2)</f>
        <v>0</v>
      </c>
      <c r="AG73" s="158">
        <f>ROUND(IF(AQ73="2",BI73,0),2)</f>
        <v>0</v>
      </c>
      <c r="AH73" s="158">
        <f>ROUND(IF(AQ73="0",BJ73,0),2)</f>
        <v>0</v>
      </c>
      <c r="AI73" s="155" t="s">
        <v>18</v>
      </c>
      <c r="AJ73" s="158">
        <f>IF(AN73=0,I73,0)</f>
        <v>0</v>
      </c>
      <c r="AK73" s="158">
        <f>IF(AN73=12,I73,0)</f>
        <v>0</v>
      </c>
      <c r="AL73" s="158">
        <f>IF(AN73=21,I73,0)</f>
        <v>0</v>
      </c>
      <c r="AN73" s="158">
        <v>21</v>
      </c>
      <c r="AO73" s="158">
        <f>H73*0</f>
        <v>0</v>
      </c>
      <c r="AP73" s="158">
        <f>H73*(1-0)</f>
        <v>0</v>
      </c>
      <c r="AQ73" s="159" t="s">
        <v>134</v>
      </c>
      <c r="AV73" s="158">
        <f>ROUND(AW73+AX73,2)</f>
        <v>0</v>
      </c>
      <c r="AW73" s="158">
        <f>ROUND(G73*AO73,2)</f>
        <v>0</v>
      </c>
      <c r="AX73" s="158">
        <f>ROUND(G73*AP73,2)</f>
        <v>0</v>
      </c>
      <c r="AY73" s="159" t="s">
        <v>266</v>
      </c>
      <c r="AZ73" s="159" t="s">
        <v>249</v>
      </c>
      <c r="BA73" s="155" t="s">
        <v>138</v>
      </c>
      <c r="BC73" s="158">
        <f>AW73+AX73</f>
        <v>0</v>
      </c>
      <c r="BD73" s="158">
        <f>H73/(100-BE73)*100</f>
        <v>0</v>
      </c>
      <c r="BE73" s="158">
        <v>0</v>
      </c>
      <c r="BF73" s="158">
        <f>73</f>
        <v>73</v>
      </c>
      <c r="BH73" s="158">
        <f>G73*AO73</f>
        <v>0</v>
      </c>
      <c r="BI73" s="158">
        <f>G73*AP73</f>
        <v>0</v>
      </c>
      <c r="BJ73" s="158">
        <f>G73*H73</f>
        <v>0</v>
      </c>
      <c r="BK73" s="158"/>
      <c r="BL73" s="158">
        <v>97</v>
      </c>
      <c r="BW73" s="158">
        <v>21</v>
      </c>
      <c r="BX73" s="160" t="s">
        <v>265</v>
      </c>
    </row>
    <row r="74" spans="1:76" x14ac:dyDescent="0.25">
      <c r="A74" s="189" t="s">
        <v>267</v>
      </c>
      <c r="B74" s="190" t="s">
        <v>18</v>
      </c>
      <c r="C74" s="190" t="s">
        <v>268</v>
      </c>
      <c r="D74" s="172" t="s">
        <v>269</v>
      </c>
      <c r="E74" s="169"/>
      <c r="F74" s="190" t="s">
        <v>215</v>
      </c>
      <c r="G74" s="158">
        <v>169.44</v>
      </c>
      <c r="H74" s="31">
        <v>0</v>
      </c>
      <c r="I74" s="31">
        <f>ROUND(G74*H74,2)</f>
        <v>0</v>
      </c>
      <c r="K74" s="157"/>
      <c r="Z74" s="158">
        <f>ROUND(IF(AQ74="5",BJ74,0),2)</f>
        <v>0</v>
      </c>
      <c r="AB74" s="158">
        <f>ROUND(IF(AQ74="1",BH74,0),2)</f>
        <v>0</v>
      </c>
      <c r="AC74" s="158">
        <f>ROUND(IF(AQ74="1",BI74,0),2)</f>
        <v>0</v>
      </c>
      <c r="AD74" s="158">
        <f>ROUND(IF(AQ74="7",BH74,0),2)</f>
        <v>0</v>
      </c>
      <c r="AE74" s="158">
        <f>ROUND(IF(AQ74="7",BI74,0),2)</f>
        <v>0</v>
      </c>
      <c r="AF74" s="158">
        <f>ROUND(IF(AQ74="2",BH74,0),2)</f>
        <v>0</v>
      </c>
      <c r="AG74" s="158">
        <f>ROUND(IF(AQ74="2",BI74,0),2)</f>
        <v>0</v>
      </c>
      <c r="AH74" s="158">
        <f>ROUND(IF(AQ74="0",BJ74,0),2)</f>
        <v>0</v>
      </c>
      <c r="AI74" s="155" t="s">
        <v>18</v>
      </c>
      <c r="AJ74" s="158">
        <f>IF(AN74=0,I74,0)</f>
        <v>0</v>
      </c>
      <c r="AK74" s="158">
        <f>IF(AN74=12,I74,0)</f>
        <v>0</v>
      </c>
      <c r="AL74" s="158">
        <f>IF(AN74=21,I74,0)</f>
        <v>0</v>
      </c>
      <c r="AN74" s="158">
        <v>21</v>
      </c>
      <c r="AO74" s="158">
        <f>H74*0</f>
        <v>0</v>
      </c>
      <c r="AP74" s="158">
        <f>H74*(1-0)</f>
        <v>0</v>
      </c>
      <c r="AQ74" s="159" t="s">
        <v>148</v>
      </c>
      <c r="AV74" s="158">
        <f>ROUND(AW74+AX74,2)</f>
        <v>0</v>
      </c>
      <c r="AW74" s="158">
        <f>ROUND(G74*AO74,2)</f>
        <v>0</v>
      </c>
      <c r="AX74" s="158">
        <f>ROUND(G74*AP74,2)</f>
        <v>0</v>
      </c>
      <c r="AY74" s="159" t="s">
        <v>266</v>
      </c>
      <c r="AZ74" s="159" t="s">
        <v>249</v>
      </c>
      <c r="BA74" s="155" t="s">
        <v>138</v>
      </c>
      <c r="BC74" s="158">
        <f>AW74+AX74</f>
        <v>0</v>
      </c>
      <c r="BD74" s="158">
        <f>H74/(100-BE74)*100</f>
        <v>0</v>
      </c>
      <c r="BE74" s="158">
        <v>0</v>
      </c>
      <c r="BF74" s="158">
        <f>74</f>
        <v>74</v>
      </c>
      <c r="BH74" s="158">
        <f>G74*AO74</f>
        <v>0</v>
      </c>
      <c r="BI74" s="158">
        <f>G74*AP74</f>
        <v>0</v>
      </c>
      <c r="BJ74" s="158">
        <f>G74*H74</f>
        <v>0</v>
      </c>
      <c r="BK74" s="158"/>
      <c r="BL74" s="158">
        <v>97</v>
      </c>
      <c r="BW74" s="158">
        <v>21</v>
      </c>
      <c r="BX74" s="160" t="s">
        <v>269</v>
      </c>
    </row>
    <row r="75" spans="1:76" x14ac:dyDescent="0.25">
      <c r="A75" s="191" t="s">
        <v>18</v>
      </c>
      <c r="B75" s="192" t="s">
        <v>18</v>
      </c>
      <c r="C75" s="192" t="s">
        <v>46</v>
      </c>
      <c r="D75" s="193" t="s">
        <v>47</v>
      </c>
      <c r="E75" s="194"/>
      <c r="F75" s="195" t="s">
        <v>3</v>
      </c>
      <c r="G75" s="195" t="s">
        <v>3</v>
      </c>
      <c r="H75" s="32" t="s">
        <v>3</v>
      </c>
      <c r="I75" s="24">
        <f>SUM(I76:I82)</f>
        <v>-10558.9</v>
      </c>
      <c r="K75" s="157"/>
      <c r="AI75" s="155" t="s">
        <v>18</v>
      </c>
      <c r="AS75" s="147">
        <f>SUM(AJ76:AJ82)</f>
        <v>0</v>
      </c>
      <c r="AT75" s="147">
        <f>SUM(AK76:AK82)</f>
        <v>0</v>
      </c>
      <c r="AU75" s="147">
        <f>SUM(AL76:AL82)</f>
        <v>-10558.9</v>
      </c>
    </row>
    <row r="76" spans="1:76" x14ac:dyDescent="0.25">
      <c r="A76" s="189" t="s">
        <v>270</v>
      </c>
      <c r="B76" s="190" t="s">
        <v>18</v>
      </c>
      <c r="C76" s="190" t="s">
        <v>271</v>
      </c>
      <c r="D76" s="172" t="s">
        <v>272</v>
      </c>
      <c r="E76" s="169"/>
      <c r="F76" s="190" t="s">
        <v>215</v>
      </c>
      <c r="G76" s="158">
        <v>17.55</v>
      </c>
      <c r="H76" s="31">
        <v>0</v>
      </c>
      <c r="I76" s="31">
        <f>ROUND(G76*H76,2)</f>
        <v>0</v>
      </c>
      <c r="K76" s="157"/>
      <c r="Z76" s="158">
        <f>ROUND(IF(AQ76="5",BJ76,0),2)</f>
        <v>0</v>
      </c>
      <c r="AB76" s="158">
        <f>ROUND(IF(AQ76="1",BH76,0),2)</f>
        <v>0</v>
      </c>
      <c r="AC76" s="158">
        <f>ROUND(IF(AQ76="1",BI76,0),2)</f>
        <v>0</v>
      </c>
      <c r="AD76" s="158">
        <f>ROUND(IF(AQ76="7",BH76,0),2)</f>
        <v>0</v>
      </c>
      <c r="AE76" s="158">
        <f>ROUND(IF(AQ76="7",BI76,0),2)</f>
        <v>0</v>
      </c>
      <c r="AF76" s="158">
        <f>ROUND(IF(AQ76="2",BH76,0),2)</f>
        <v>0</v>
      </c>
      <c r="AG76" s="158">
        <f>ROUND(IF(AQ76="2",BI76,0),2)</f>
        <v>0</v>
      </c>
      <c r="AH76" s="158">
        <f>ROUND(IF(AQ76="0",BJ76,0),2)</f>
        <v>0</v>
      </c>
      <c r="AI76" s="155" t="s">
        <v>18</v>
      </c>
      <c r="AJ76" s="158">
        <f>IF(AN76=0,I76,0)</f>
        <v>0</v>
      </c>
      <c r="AK76" s="158">
        <f>IF(AN76=12,I76,0)</f>
        <v>0</v>
      </c>
      <c r="AL76" s="158">
        <f>IF(AN76=21,I76,0)</f>
        <v>0</v>
      </c>
      <c r="AN76" s="158">
        <v>21</v>
      </c>
      <c r="AO76" s="158">
        <f>H76*0</f>
        <v>0</v>
      </c>
      <c r="AP76" s="158">
        <f>H76*(1-0)</f>
        <v>0</v>
      </c>
      <c r="AQ76" s="159" t="s">
        <v>148</v>
      </c>
      <c r="AV76" s="158">
        <f>ROUND(AW76+AX76,2)</f>
        <v>0</v>
      </c>
      <c r="AW76" s="158">
        <f>ROUND(G76*AO76,2)</f>
        <v>0</v>
      </c>
      <c r="AX76" s="158">
        <f>ROUND(G76*AP76,2)</f>
        <v>0</v>
      </c>
      <c r="AY76" s="159" t="s">
        <v>273</v>
      </c>
      <c r="AZ76" s="159" t="s">
        <v>249</v>
      </c>
      <c r="BA76" s="155" t="s">
        <v>138</v>
      </c>
      <c r="BC76" s="158">
        <f>AW76+AX76</f>
        <v>0</v>
      </c>
      <c r="BD76" s="158">
        <f>H76/(100-BE76)*100</f>
        <v>0</v>
      </c>
      <c r="BE76" s="158">
        <v>0</v>
      </c>
      <c r="BF76" s="158">
        <f>76</f>
        <v>76</v>
      </c>
      <c r="BH76" s="158">
        <f>G76*AO76</f>
        <v>0</v>
      </c>
      <c r="BI76" s="158">
        <f>G76*AP76</f>
        <v>0</v>
      </c>
      <c r="BJ76" s="158">
        <f>G76*H76</f>
        <v>0</v>
      </c>
      <c r="BK76" s="158"/>
      <c r="BL76" s="158"/>
      <c r="BW76" s="158">
        <v>21</v>
      </c>
      <c r="BX76" s="160" t="s">
        <v>272</v>
      </c>
    </row>
    <row r="77" spans="1:76" x14ac:dyDescent="0.25">
      <c r="A77" s="196"/>
      <c r="D77" s="197" t="s">
        <v>274</v>
      </c>
      <c r="E77" s="197" t="s">
        <v>18</v>
      </c>
      <c r="G77" s="198">
        <v>0</v>
      </c>
      <c r="K77" s="157"/>
    </row>
    <row r="78" spans="1:76" x14ac:dyDescent="0.25">
      <c r="A78" s="196"/>
      <c r="D78" s="197" t="s">
        <v>275</v>
      </c>
      <c r="E78" s="197" t="s">
        <v>18</v>
      </c>
      <c r="G78" s="198">
        <v>17.55</v>
      </c>
      <c r="K78" s="157"/>
    </row>
    <row r="79" spans="1:76" x14ac:dyDescent="0.25">
      <c r="A79" s="189" t="s">
        <v>276</v>
      </c>
      <c r="B79" s="190" t="s">
        <v>18</v>
      </c>
      <c r="C79" s="190" t="s">
        <v>277</v>
      </c>
      <c r="D79" s="172" t="s">
        <v>278</v>
      </c>
      <c r="E79" s="169"/>
      <c r="F79" s="190" t="s">
        <v>215</v>
      </c>
      <c r="G79" s="158">
        <v>35.1</v>
      </c>
      <c r="H79" s="31">
        <v>0</v>
      </c>
      <c r="I79" s="31">
        <f>ROUND(G79*H79,2)</f>
        <v>0</v>
      </c>
      <c r="K79" s="157"/>
      <c r="Z79" s="158">
        <f>ROUND(IF(AQ79="5",BJ79,0),2)</f>
        <v>0</v>
      </c>
      <c r="AB79" s="158">
        <f>ROUND(IF(AQ79="1",BH79,0),2)</f>
        <v>0</v>
      </c>
      <c r="AC79" s="158">
        <f>ROUND(IF(AQ79="1",BI79,0),2)</f>
        <v>0</v>
      </c>
      <c r="AD79" s="158">
        <f>ROUND(IF(AQ79="7",BH79,0),2)</f>
        <v>0</v>
      </c>
      <c r="AE79" s="158">
        <f>ROUND(IF(AQ79="7",BI79,0),2)</f>
        <v>0</v>
      </c>
      <c r="AF79" s="158">
        <f>ROUND(IF(AQ79="2",BH79,0),2)</f>
        <v>0</v>
      </c>
      <c r="AG79" s="158">
        <f>ROUND(IF(AQ79="2",BI79,0),2)</f>
        <v>0</v>
      </c>
      <c r="AH79" s="158">
        <f>ROUND(IF(AQ79="0",BJ79,0),2)</f>
        <v>0</v>
      </c>
      <c r="AI79" s="155" t="s">
        <v>18</v>
      </c>
      <c r="AJ79" s="158">
        <f>IF(AN79=0,I79,0)</f>
        <v>0</v>
      </c>
      <c r="AK79" s="158">
        <f>IF(AN79=12,I79,0)</f>
        <v>0</v>
      </c>
      <c r="AL79" s="158">
        <f>IF(AN79=21,I79,0)</f>
        <v>0</v>
      </c>
      <c r="AN79" s="158">
        <v>21</v>
      </c>
      <c r="AO79" s="158">
        <f>H79*0</f>
        <v>0</v>
      </c>
      <c r="AP79" s="158">
        <f>H79*(1-0)</f>
        <v>0</v>
      </c>
      <c r="AQ79" s="159" t="s">
        <v>148</v>
      </c>
      <c r="AV79" s="158">
        <f>ROUND(AW79+AX79,2)</f>
        <v>0</v>
      </c>
      <c r="AW79" s="158">
        <f>ROUND(G79*AO79,2)</f>
        <v>0</v>
      </c>
      <c r="AX79" s="158">
        <f>ROUND(G79*AP79,2)</f>
        <v>0</v>
      </c>
      <c r="AY79" s="159" t="s">
        <v>273</v>
      </c>
      <c r="AZ79" s="159" t="s">
        <v>249</v>
      </c>
      <c r="BA79" s="155" t="s">
        <v>138</v>
      </c>
      <c r="BC79" s="158">
        <f>AW79+AX79</f>
        <v>0</v>
      </c>
      <c r="BD79" s="158">
        <f>H79/(100-BE79)*100</f>
        <v>0</v>
      </c>
      <c r="BE79" s="158">
        <v>0</v>
      </c>
      <c r="BF79" s="158">
        <f>79</f>
        <v>79</v>
      </c>
      <c r="BH79" s="158">
        <f>G79*AO79</f>
        <v>0</v>
      </c>
      <c r="BI79" s="158">
        <f>G79*AP79</f>
        <v>0</v>
      </c>
      <c r="BJ79" s="158">
        <f>G79*H79</f>
        <v>0</v>
      </c>
      <c r="BK79" s="158"/>
      <c r="BL79" s="158"/>
      <c r="BW79" s="158">
        <v>21</v>
      </c>
      <c r="BX79" s="160" t="s">
        <v>278</v>
      </c>
    </row>
    <row r="80" spans="1:76" x14ac:dyDescent="0.25">
      <c r="A80" s="196"/>
      <c r="D80" s="197" t="s">
        <v>279</v>
      </c>
      <c r="E80" s="197" t="s">
        <v>18</v>
      </c>
      <c r="G80" s="198">
        <v>35.1</v>
      </c>
      <c r="K80" s="157"/>
    </row>
    <row r="81" spans="1:76" x14ac:dyDescent="0.25">
      <c r="A81" s="189" t="s">
        <v>280</v>
      </c>
      <c r="B81" s="190" t="s">
        <v>18</v>
      </c>
      <c r="C81" s="190" t="s">
        <v>281</v>
      </c>
      <c r="D81" s="172" t="s">
        <v>282</v>
      </c>
      <c r="E81" s="169"/>
      <c r="F81" s="190" t="s">
        <v>215</v>
      </c>
      <c r="G81" s="158">
        <v>17.55</v>
      </c>
      <c r="H81" s="31">
        <v>0</v>
      </c>
      <c r="I81" s="31">
        <f>ROUND(G81*H81,2)</f>
        <v>0</v>
      </c>
      <c r="K81" s="157"/>
      <c r="Z81" s="158">
        <f>ROUND(IF(AQ81="5",BJ81,0),2)</f>
        <v>0</v>
      </c>
      <c r="AB81" s="158">
        <f>ROUND(IF(AQ81="1",BH81,0),2)</f>
        <v>0</v>
      </c>
      <c r="AC81" s="158">
        <f>ROUND(IF(AQ81="1",BI81,0),2)</f>
        <v>0</v>
      </c>
      <c r="AD81" s="158">
        <f>ROUND(IF(AQ81="7",BH81,0),2)</f>
        <v>0</v>
      </c>
      <c r="AE81" s="158">
        <f>ROUND(IF(AQ81="7",BI81,0),2)</f>
        <v>0</v>
      </c>
      <c r="AF81" s="158">
        <f>ROUND(IF(AQ81="2",BH81,0),2)</f>
        <v>0</v>
      </c>
      <c r="AG81" s="158">
        <f>ROUND(IF(AQ81="2",BI81,0),2)</f>
        <v>0</v>
      </c>
      <c r="AH81" s="158">
        <f>ROUND(IF(AQ81="0",BJ81,0),2)</f>
        <v>0</v>
      </c>
      <c r="AI81" s="155" t="s">
        <v>18</v>
      </c>
      <c r="AJ81" s="158">
        <f>IF(AN81=0,I81,0)</f>
        <v>0</v>
      </c>
      <c r="AK81" s="158">
        <f>IF(AN81=12,I81,0)</f>
        <v>0</v>
      </c>
      <c r="AL81" s="158">
        <f>IF(AN81=21,I81,0)</f>
        <v>0</v>
      </c>
      <c r="AN81" s="158">
        <v>21</v>
      </c>
      <c r="AO81" s="158">
        <f>H81*0</f>
        <v>0</v>
      </c>
      <c r="AP81" s="158">
        <f>H81*(1-0)</f>
        <v>0</v>
      </c>
      <c r="AQ81" s="159" t="s">
        <v>148</v>
      </c>
      <c r="AV81" s="158">
        <f>ROUND(AW81+AX81,2)</f>
        <v>0</v>
      </c>
      <c r="AW81" s="158">
        <f>ROUND(G81*AO81,2)</f>
        <v>0</v>
      </c>
      <c r="AX81" s="158">
        <f>ROUND(G81*AP81,2)</f>
        <v>0</v>
      </c>
      <c r="AY81" s="159" t="s">
        <v>273</v>
      </c>
      <c r="AZ81" s="159" t="s">
        <v>249</v>
      </c>
      <c r="BA81" s="155" t="s">
        <v>138</v>
      </c>
      <c r="BC81" s="158">
        <f>AW81+AX81</f>
        <v>0</v>
      </c>
      <c r="BD81" s="158">
        <f>H81/(100-BE81)*100</f>
        <v>0</v>
      </c>
      <c r="BE81" s="158">
        <v>0</v>
      </c>
      <c r="BF81" s="158">
        <f>81</f>
        <v>81</v>
      </c>
      <c r="BH81" s="158">
        <f>G81*AO81</f>
        <v>0</v>
      </c>
      <c r="BI81" s="158">
        <f>G81*AP81</f>
        <v>0</v>
      </c>
      <c r="BJ81" s="158">
        <f>G81*H81</f>
        <v>0</v>
      </c>
      <c r="BK81" s="158"/>
      <c r="BL81" s="158"/>
      <c r="BW81" s="158">
        <v>21</v>
      </c>
      <c r="BX81" s="160" t="s">
        <v>282</v>
      </c>
    </row>
    <row r="82" spans="1:76" x14ac:dyDescent="0.25">
      <c r="A82" s="189" t="s">
        <v>283</v>
      </c>
      <c r="B82" s="190" t="s">
        <v>18</v>
      </c>
      <c r="C82" s="190" t="s">
        <v>284</v>
      </c>
      <c r="D82" s="172" t="s">
        <v>285</v>
      </c>
      <c r="E82" s="169"/>
      <c r="F82" s="190" t="s">
        <v>215</v>
      </c>
      <c r="G82" s="158">
        <v>-105.589</v>
      </c>
      <c r="H82" s="31">
        <v>100</v>
      </c>
      <c r="I82" s="31">
        <f>ROUND(G82*H82,2)</f>
        <v>-10558.9</v>
      </c>
      <c r="K82" s="157"/>
      <c r="Z82" s="158">
        <f>ROUND(IF(AQ82="5",BJ82,0),2)</f>
        <v>-10558.9</v>
      </c>
      <c r="AB82" s="158">
        <f>ROUND(IF(AQ82="1",BH82,0),2)</f>
        <v>0</v>
      </c>
      <c r="AC82" s="158">
        <f>ROUND(IF(AQ82="1",BI82,0),2)</f>
        <v>0</v>
      </c>
      <c r="AD82" s="158">
        <f>ROUND(IF(AQ82="7",BH82,0),2)</f>
        <v>0</v>
      </c>
      <c r="AE82" s="158">
        <f>ROUND(IF(AQ82="7",BI82,0),2)</f>
        <v>0</v>
      </c>
      <c r="AF82" s="158">
        <f>ROUND(IF(AQ82="2",BH82,0),2)</f>
        <v>0</v>
      </c>
      <c r="AG82" s="158">
        <f>ROUND(IF(AQ82="2",BI82,0),2)</f>
        <v>0</v>
      </c>
      <c r="AH82" s="158">
        <f>ROUND(IF(AQ82="0",BJ82,0),2)</f>
        <v>0</v>
      </c>
      <c r="AI82" s="155" t="s">
        <v>18</v>
      </c>
      <c r="AJ82" s="158">
        <f>IF(AN82=0,I82,0)</f>
        <v>0</v>
      </c>
      <c r="AK82" s="158">
        <f>IF(AN82=12,I82,0)</f>
        <v>0</v>
      </c>
      <c r="AL82" s="158">
        <f>IF(AN82=21,I82,0)</f>
        <v>-10558.9</v>
      </c>
      <c r="AN82" s="158">
        <v>21</v>
      </c>
      <c r="AO82" s="158">
        <f>H82*0</f>
        <v>0</v>
      </c>
      <c r="AP82" s="158">
        <f>H82*(1-0)</f>
        <v>100</v>
      </c>
      <c r="AQ82" s="159" t="s">
        <v>148</v>
      </c>
      <c r="AV82" s="158">
        <f>ROUND(AW82+AX82,2)</f>
        <v>-10558.9</v>
      </c>
      <c r="AW82" s="158">
        <f>ROUND(G82*AO82,2)</f>
        <v>0</v>
      </c>
      <c r="AX82" s="158">
        <f>ROUND(G82*AP82,2)</f>
        <v>-10558.9</v>
      </c>
      <c r="AY82" s="159" t="s">
        <v>273</v>
      </c>
      <c r="AZ82" s="159" t="s">
        <v>249</v>
      </c>
      <c r="BA82" s="155" t="s">
        <v>138</v>
      </c>
      <c r="BC82" s="158">
        <f>AW82+AX82</f>
        <v>-10558.9</v>
      </c>
      <c r="BD82" s="158">
        <f>H82/(100-BE82)*100</f>
        <v>100</v>
      </c>
      <c r="BE82" s="158">
        <v>0</v>
      </c>
      <c r="BF82" s="158">
        <f>82</f>
        <v>82</v>
      </c>
      <c r="BH82" s="158">
        <f>G82*AO82</f>
        <v>0</v>
      </c>
      <c r="BI82" s="158">
        <f>G82*AP82</f>
        <v>-10558.9</v>
      </c>
      <c r="BJ82" s="158">
        <f>G82*H82</f>
        <v>-10558.9</v>
      </c>
      <c r="BK82" s="158"/>
      <c r="BL82" s="158"/>
      <c r="BW82" s="158">
        <v>21</v>
      </c>
      <c r="BX82" s="160" t="s">
        <v>285</v>
      </c>
    </row>
    <row r="83" spans="1:76" x14ac:dyDescent="0.25">
      <c r="A83" s="199"/>
      <c r="B83" s="161"/>
      <c r="C83" s="161"/>
      <c r="D83" s="200" t="s">
        <v>286</v>
      </c>
      <c r="E83" s="200" t="s">
        <v>18</v>
      </c>
      <c r="F83" s="161"/>
      <c r="G83" s="201">
        <v>-105.589</v>
      </c>
      <c r="H83" s="33"/>
      <c r="I83" s="33"/>
      <c r="J83" s="161"/>
      <c r="K83" s="162"/>
    </row>
    <row r="84" spans="1:76" x14ac:dyDescent="0.25">
      <c r="I84" s="34">
        <f>ROUND(I12+I19+I29+I35+I39+I41+I43+I45+I50+I57+I61+I64+I72+I75,2)</f>
        <v>-10558.9</v>
      </c>
    </row>
    <row r="85" spans="1:76" x14ac:dyDescent="0.25">
      <c r="A85" s="202" t="s">
        <v>95</v>
      </c>
    </row>
  </sheetData>
  <sheetProtection algorithmName="SHA-512" hashValue="OVWJjnzpD1uZPSw0rzXLosu2dgOFpCdWMrJ4VIRvocwblnoGgxI+iNTiPQWs1/fu5+oSG02IzASqAH3K07PmRw==" saltValue="5XSzXIbgcB/Hy8YOdaf18Q==" spinCount="100000" sheet="1" objects="1" scenarios="1"/>
  <mergeCells count="75">
    <mergeCell ref="A1:G1"/>
    <mergeCell ref="D79:E79"/>
    <mergeCell ref="D81:E81"/>
    <mergeCell ref="D82:E82"/>
    <mergeCell ref="D72:E72"/>
    <mergeCell ref="D73:E73"/>
    <mergeCell ref="D74:E74"/>
    <mergeCell ref="D75:E75"/>
    <mergeCell ref="D76:E76"/>
    <mergeCell ref="D65:E65"/>
    <mergeCell ref="D66:E66"/>
    <mergeCell ref="D67:E67"/>
    <mergeCell ref="D68:E68"/>
    <mergeCell ref="D69:E69"/>
    <mergeCell ref="D59:E59"/>
    <mergeCell ref="D61:E61"/>
    <mergeCell ref="D62:E62"/>
    <mergeCell ref="D63:E63"/>
    <mergeCell ref="D64:E64"/>
    <mergeCell ref="D52:E52"/>
    <mergeCell ref="D55:E55"/>
    <mergeCell ref="D56:E56"/>
    <mergeCell ref="D57:E57"/>
    <mergeCell ref="D58:E58"/>
    <mergeCell ref="D45:E45"/>
    <mergeCell ref="D46:E46"/>
    <mergeCell ref="D49:E49"/>
    <mergeCell ref="D50:E50"/>
    <mergeCell ref="D51:E51"/>
    <mergeCell ref="D40:E40"/>
    <mergeCell ref="D41:E41"/>
    <mergeCell ref="D42:E42"/>
    <mergeCell ref="D43:E43"/>
    <mergeCell ref="D44:E44"/>
    <mergeCell ref="D33:E33"/>
    <mergeCell ref="D35:E35"/>
    <mergeCell ref="D36:E36"/>
    <mergeCell ref="D37:E37"/>
    <mergeCell ref="D39:E39"/>
    <mergeCell ref="D23:E23"/>
    <mergeCell ref="D25:E25"/>
    <mergeCell ref="D27:E27"/>
    <mergeCell ref="D29:E29"/>
    <mergeCell ref="D30:E30"/>
    <mergeCell ref="D16:E16"/>
    <mergeCell ref="D17:E17"/>
    <mergeCell ref="D18:E18"/>
    <mergeCell ref="D19:E19"/>
    <mergeCell ref="D20:E20"/>
    <mergeCell ref="D11:E11"/>
    <mergeCell ref="D12:E12"/>
    <mergeCell ref="D13:E13"/>
    <mergeCell ref="D14:E14"/>
    <mergeCell ref="D15:E15"/>
    <mergeCell ref="D10:E10"/>
    <mergeCell ref="D8:E9"/>
    <mergeCell ref="H2:H3"/>
    <mergeCell ref="H4:H5"/>
    <mergeCell ref="H6:H7"/>
    <mergeCell ref="H8:H9"/>
    <mergeCell ref="I2:I3"/>
    <mergeCell ref="I4:I5"/>
    <mergeCell ref="I6:I7"/>
    <mergeCell ref="I8:I9"/>
    <mergeCell ref="A2:C3"/>
    <mergeCell ref="A4:C5"/>
    <mergeCell ref="A6:C7"/>
    <mergeCell ref="A8:C9"/>
    <mergeCell ref="F2:G3"/>
    <mergeCell ref="F4:G5"/>
    <mergeCell ref="F6:G7"/>
    <mergeCell ref="F8:G9"/>
    <mergeCell ref="D2:E3"/>
    <mergeCell ref="D4:E5"/>
    <mergeCell ref="D6:E7"/>
  </mergeCells>
  <pageMargins left="0.393999993801117" right="0.393999993801117" top="0.59100002050399802" bottom="0.59100002050399802" header="0" footer="0"/>
  <pageSetup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Švrčková Lenka</cp:lastModifiedBy>
  <cp:lastPrinted>2025-04-28T12:52:10Z</cp:lastPrinted>
  <dcterms:created xsi:type="dcterms:W3CDTF">2021-06-10T20:06:38Z</dcterms:created>
  <dcterms:modified xsi:type="dcterms:W3CDTF">2025-04-29T09:10:30Z</dcterms:modified>
</cp:coreProperties>
</file>