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Z_Usek_Reditele_spolecnosti\odbor_Verejne_zakazky\PŘ\PŘ_2025\Areál dílny Martinov – Rekonstrukce vrátnice a vjezdu III\2. ZD\3. Profil zadavatele\"/>
    </mc:Choice>
  </mc:AlternateContent>
  <bookViews>
    <workbookView xWindow="0" yWindow="0" windowWidth="23040" windowHeight="8784"/>
  </bookViews>
  <sheets>
    <sheet name="Rekapitulace stavby" sheetId="1" r:id="rId1"/>
    <sheet name="D.1 - Stavebně technický ..." sheetId="2" r:id="rId2"/>
  </sheets>
  <externalReferences>
    <externalReference r:id="rId3"/>
  </externalReferences>
  <definedNames>
    <definedName name="_xlnm._FilterDatabase" localSheetId="1" hidden="1">'D.1 - Stavebně technický ...'!$C$145:$K$609</definedName>
    <definedName name="_xlnm.Print_Titles" localSheetId="1">'D.1 - Stavebně technický ...'!$145:$145</definedName>
    <definedName name="_xlnm.Print_Titles" localSheetId="0">'Rekapitulace stavby'!$92:$92</definedName>
    <definedName name="_xlnm.Print_Area" localSheetId="1">'D.1 - Stavebně technický ...'!$C$4:$J$39,'D.1 - Stavebně technický ...'!$C$50:$J$76,'D.1 - Stavebně technický ...'!$C$82:$J$127,'D.1 - Stavebně technický ...'!$C$133:$K$609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454" i="2" l="1"/>
  <c r="J452" i="2"/>
  <c r="H499" i="2"/>
  <c r="J18" i="2"/>
  <c r="E18" i="2"/>
  <c r="J17" i="2"/>
  <c r="J583" i="2" l="1"/>
  <c r="J584" i="2"/>
  <c r="J587" i="2"/>
  <c r="J589" i="2"/>
  <c r="J592" i="2"/>
  <c r="J591" i="2" s="1"/>
  <c r="J595" i="2"/>
  <c r="J597" i="2"/>
  <c r="J594" i="2" l="1"/>
  <c r="J582" i="2"/>
  <c r="H562" i="2"/>
  <c r="H273" i="2"/>
  <c r="H276" i="2"/>
  <c r="J274" i="2"/>
  <c r="H457" i="2" l="1"/>
  <c r="H445" i="2"/>
  <c r="J448" i="2"/>
  <c r="J446" i="2"/>
  <c r="J450" i="2"/>
  <c r="J157" i="2" l="1"/>
  <c r="H571" i="2" l="1"/>
  <c r="H570" i="2" s="1"/>
  <c r="H565" i="2"/>
  <c r="H230" i="2"/>
  <c r="H231" i="2" s="1"/>
  <c r="H216" i="2"/>
  <c r="H217" i="2" s="1"/>
  <c r="H215" i="2" s="1"/>
  <c r="H212" i="2"/>
  <c r="H211" i="2"/>
  <c r="H210" i="2"/>
  <c r="H209" i="2"/>
  <c r="H208" i="2"/>
  <c r="H205" i="2"/>
  <c r="H204" i="2"/>
  <c r="H203" i="2"/>
  <c r="H202" i="2"/>
  <c r="H201" i="2"/>
  <c r="H198" i="2"/>
  <c r="H197" i="2"/>
  <c r="H196" i="2"/>
  <c r="H195" i="2"/>
  <c r="H194" i="2"/>
  <c r="H185" i="2"/>
  <c r="H184" i="2" s="1"/>
  <c r="H182" i="2"/>
  <c r="H175" i="2"/>
  <c r="H174" i="2" s="1"/>
  <c r="H165" i="2"/>
  <c r="H164" i="2"/>
  <c r="H163" i="2"/>
  <c r="H162" i="2"/>
  <c r="H213" i="2" l="1"/>
  <c r="H207" i="2" s="1"/>
  <c r="H214" i="2" s="1"/>
  <c r="H563" i="2"/>
  <c r="H561" i="2" s="1"/>
  <c r="H568" i="2"/>
  <c r="H564" i="2"/>
  <c r="H566" i="2"/>
  <c r="H206" i="2"/>
  <c r="H200" i="2" s="1"/>
  <c r="H199" i="2"/>
  <c r="H193" i="2" s="1"/>
  <c r="H166" i="2"/>
  <c r="H160" i="2" s="1"/>
  <c r="H171" i="2" s="1"/>
  <c r="H173" i="2" s="1"/>
  <c r="H170" i="2" s="1"/>
  <c r="H176" i="2" s="1"/>
  <c r="H567" i="2" l="1"/>
  <c r="H569" i="2"/>
  <c r="H178" i="2"/>
  <c r="H180" i="2" s="1"/>
  <c r="H177" i="2" s="1"/>
  <c r="J37" i="2" l="1"/>
  <c r="J36" i="2"/>
  <c r="AY95" i="1" s="1"/>
  <c r="J35" i="2"/>
  <c r="AX95" i="1" s="1"/>
  <c r="BI606" i="2"/>
  <c r="BH606" i="2"/>
  <c r="BG606" i="2"/>
  <c r="BF606" i="2"/>
  <c r="T606" i="2"/>
  <c r="T605" i="2" s="1"/>
  <c r="R606" i="2"/>
  <c r="R605" i="2" s="1"/>
  <c r="P606" i="2"/>
  <c r="P605" i="2" s="1"/>
  <c r="BI603" i="2"/>
  <c r="BH603" i="2"/>
  <c r="BG603" i="2"/>
  <c r="BF603" i="2"/>
  <c r="T603" i="2"/>
  <c r="T602" i="2" s="1"/>
  <c r="R603" i="2"/>
  <c r="R602" i="2" s="1"/>
  <c r="P603" i="2"/>
  <c r="P602" i="2" s="1"/>
  <c r="BI600" i="2"/>
  <c r="BH600" i="2"/>
  <c r="BG600" i="2"/>
  <c r="BF600" i="2"/>
  <c r="T600" i="2"/>
  <c r="R600" i="2"/>
  <c r="P600" i="2"/>
  <c r="BI598" i="2"/>
  <c r="BH598" i="2"/>
  <c r="BG598" i="2"/>
  <c r="BF598" i="2"/>
  <c r="T598" i="2"/>
  <c r="R598" i="2"/>
  <c r="P598" i="2"/>
  <c r="BI595" i="2"/>
  <c r="BH595" i="2"/>
  <c r="BG595" i="2"/>
  <c r="BF595" i="2"/>
  <c r="T595" i="2"/>
  <c r="R595" i="2"/>
  <c r="P595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T589" i="2" s="1"/>
  <c r="R590" i="2"/>
  <c r="R589" i="2" s="1"/>
  <c r="P590" i="2"/>
  <c r="P589" i="2" s="1"/>
  <c r="BI587" i="2"/>
  <c r="BH587" i="2"/>
  <c r="BG587" i="2"/>
  <c r="BF587" i="2"/>
  <c r="T587" i="2"/>
  <c r="R587" i="2"/>
  <c r="P587" i="2"/>
  <c r="BI585" i="2"/>
  <c r="BH585" i="2"/>
  <c r="BG585" i="2"/>
  <c r="BF585" i="2"/>
  <c r="T585" i="2"/>
  <c r="R585" i="2"/>
  <c r="P585" i="2"/>
  <c r="BI584" i="2"/>
  <c r="BH584" i="2"/>
  <c r="BG584" i="2"/>
  <c r="BF584" i="2"/>
  <c r="BI582" i="2"/>
  <c r="BH582" i="2"/>
  <c r="BG582" i="2"/>
  <c r="BF582" i="2"/>
  <c r="BI581" i="2"/>
  <c r="BH581" i="2"/>
  <c r="BG581" i="2"/>
  <c r="BF581" i="2"/>
  <c r="BI578" i="2"/>
  <c r="BH578" i="2"/>
  <c r="BG578" i="2"/>
  <c r="BF578" i="2"/>
  <c r="T578" i="2"/>
  <c r="R578" i="2"/>
  <c r="P578" i="2"/>
  <c r="BI577" i="2"/>
  <c r="BH577" i="2"/>
  <c r="BG577" i="2"/>
  <c r="BF577" i="2"/>
  <c r="T577" i="2"/>
  <c r="R577" i="2"/>
  <c r="P577" i="2"/>
  <c r="BI572" i="2"/>
  <c r="BH572" i="2"/>
  <c r="BG572" i="2"/>
  <c r="BF572" i="2"/>
  <c r="T572" i="2"/>
  <c r="R572" i="2"/>
  <c r="P572" i="2"/>
  <c r="BI570" i="2"/>
  <c r="BH570" i="2"/>
  <c r="BG570" i="2"/>
  <c r="BF570" i="2"/>
  <c r="BI568" i="2"/>
  <c r="BH568" i="2"/>
  <c r="BG568" i="2"/>
  <c r="BF568" i="2"/>
  <c r="BI565" i="2"/>
  <c r="BH565" i="2"/>
  <c r="BG565" i="2"/>
  <c r="BF565" i="2"/>
  <c r="BI562" i="2"/>
  <c r="BH562" i="2"/>
  <c r="BG562" i="2"/>
  <c r="BF562" i="2"/>
  <c r="BI559" i="2"/>
  <c r="BH559" i="2"/>
  <c r="BG559" i="2"/>
  <c r="BF559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4" i="2"/>
  <c r="BH544" i="2"/>
  <c r="BG544" i="2"/>
  <c r="BF544" i="2"/>
  <c r="T544" i="2"/>
  <c r="R544" i="2"/>
  <c r="P544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3" i="2"/>
  <c r="BH513" i="2"/>
  <c r="BG513" i="2"/>
  <c r="BF513" i="2"/>
  <c r="BI509" i="2"/>
  <c r="BH509" i="2"/>
  <c r="BG509" i="2"/>
  <c r="BF509" i="2"/>
  <c r="T509" i="2"/>
  <c r="R509" i="2"/>
  <c r="P509" i="2"/>
  <c r="BI505" i="2"/>
  <c r="BH505" i="2"/>
  <c r="BG505" i="2"/>
  <c r="BF505" i="2"/>
  <c r="T505" i="2"/>
  <c r="R505" i="2"/>
  <c r="P505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6" i="2"/>
  <c r="BH486" i="2"/>
  <c r="BG486" i="2"/>
  <c r="BF486" i="2"/>
  <c r="T486" i="2"/>
  <c r="R486" i="2"/>
  <c r="P486" i="2"/>
  <c r="BI484" i="2"/>
  <c r="BH484" i="2"/>
  <c r="BG484" i="2"/>
  <c r="BF484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R472" i="2"/>
  <c r="P472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59" i="2"/>
  <c r="BH459" i="2"/>
  <c r="BG459" i="2"/>
  <c r="BF459" i="2"/>
  <c r="T458" i="2"/>
  <c r="R458" i="2"/>
  <c r="P458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1" i="2"/>
  <c r="BH451" i="2"/>
  <c r="BG451" i="2"/>
  <c r="BF451" i="2"/>
  <c r="T451" i="2"/>
  <c r="R451" i="2"/>
  <c r="P451" i="2"/>
  <c r="BI446" i="2"/>
  <c r="BH446" i="2"/>
  <c r="BG446" i="2"/>
  <c r="BF446" i="2"/>
  <c r="BI445" i="2"/>
  <c r="BH445" i="2"/>
  <c r="BG445" i="2"/>
  <c r="BF445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09" i="2"/>
  <c r="BH409" i="2"/>
  <c r="BG409" i="2"/>
  <c r="BF409" i="2"/>
  <c r="T409" i="2"/>
  <c r="R409" i="2"/>
  <c r="P409" i="2"/>
  <c r="BI405" i="2"/>
  <c r="BH405" i="2"/>
  <c r="BG405" i="2"/>
  <c r="BF405" i="2"/>
  <c r="T405" i="2"/>
  <c r="R405" i="2"/>
  <c r="P405" i="2"/>
  <c r="BI401" i="2"/>
  <c r="BH401" i="2"/>
  <c r="BG401" i="2"/>
  <c r="BF401" i="2"/>
  <c r="T401" i="2"/>
  <c r="R401" i="2"/>
  <c r="P401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4" i="2"/>
  <c r="BH324" i="2"/>
  <c r="BG324" i="2"/>
  <c r="BF324" i="2"/>
  <c r="T324" i="2"/>
  <c r="R324" i="2"/>
  <c r="P324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1" i="2"/>
  <c r="BH251" i="2"/>
  <c r="BG251" i="2"/>
  <c r="BF251" i="2"/>
  <c r="BI245" i="2"/>
  <c r="BH245" i="2"/>
  <c r="BG245" i="2"/>
  <c r="BF245" i="2"/>
  <c r="BI239" i="2"/>
  <c r="BH239" i="2"/>
  <c r="BG239" i="2"/>
  <c r="BF239" i="2"/>
  <c r="T239" i="2"/>
  <c r="R239" i="2"/>
  <c r="P239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T228" i="2" s="1"/>
  <c r="R229" i="2"/>
  <c r="R228" i="2" s="1"/>
  <c r="P229" i="2"/>
  <c r="P228" i="2" s="1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5" i="2"/>
  <c r="BH215" i="2"/>
  <c r="BG215" i="2"/>
  <c r="BF215" i="2"/>
  <c r="BI214" i="2"/>
  <c r="BH214" i="2"/>
  <c r="BG214" i="2"/>
  <c r="BF214" i="2"/>
  <c r="BI207" i="2"/>
  <c r="BH207" i="2"/>
  <c r="BG207" i="2"/>
  <c r="BF207" i="2"/>
  <c r="BI200" i="2"/>
  <c r="BH200" i="2"/>
  <c r="BG200" i="2"/>
  <c r="BF200" i="2"/>
  <c r="T200" i="2"/>
  <c r="R200" i="2"/>
  <c r="P200" i="2"/>
  <c r="BI193" i="2"/>
  <c r="BH193" i="2"/>
  <c r="BG193" i="2"/>
  <c r="BF193" i="2"/>
  <c r="T193" i="2"/>
  <c r="R193" i="2"/>
  <c r="P193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0" i="2"/>
  <c r="BH160" i="2"/>
  <c r="BG160" i="2"/>
  <c r="BF160" i="2"/>
  <c r="T160" i="2"/>
  <c r="R160" i="2"/>
  <c r="P160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F143" i="2"/>
  <c r="J142" i="2"/>
  <c r="F142" i="2"/>
  <c r="F140" i="2"/>
  <c r="E138" i="2"/>
  <c r="F92" i="2"/>
  <c r="J91" i="2"/>
  <c r="F91" i="2"/>
  <c r="F89" i="2"/>
  <c r="E87" i="2"/>
  <c r="J24" i="2"/>
  <c r="E24" i="2"/>
  <c r="J92" i="2" s="1"/>
  <c r="J23" i="2"/>
  <c r="J12" i="2"/>
  <c r="J89" i="2" s="1"/>
  <c r="E7" i="2"/>
  <c r="E136" i="2" s="1"/>
  <c r="L90" i="1"/>
  <c r="AM90" i="1"/>
  <c r="AM89" i="1"/>
  <c r="L89" i="1"/>
  <c r="AM87" i="1"/>
  <c r="L87" i="1"/>
  <c r="L85" i="1"/>
  <c r="L84" i="1"/>
  <c r="J546" i="2"/>
  <c r="J466" i="2"/>
  <c r="J380" i="2"/>
  <c r="J324" i="2"/>
  <c r="BK222" i="2"/>
  <c r="J170" i="2"/>
  <c r="BK578" i="2"/>
  <c r="J548" i="2"/>
  <c r="J474" i="2"/>
  <c r="BK405" i="2"/>
  <c r="J353" i="2"/>
  <c r="BK256" i="2"/>
  <c r="BK170" i="2"/>
  <c r="BK572" i="2"/>
  <c r="BK529" i="2"/>
  <c r="J457" i="2"/>
  <c r="J368" i="2"/>
  <c r="BK306" i="2"/>
  <c r="AS94" i="1"/>
  <c r="BK527" i="2"/>
  <c r="J467" i="2"/>
  <c r="BK315" i="2"/>
  <c r="BK278" i="2"/>
  <c r="BK215" i="2"/>
  <c r="J561" i="2"/>
  <c r="BK515" i="2"/>
  <c r="J413" i="2"/>
  <c r="BK355" i="2"/>
  <c r="BK269" i="2"/>
  <c r="BK531" i="2"/>
  <c r="J511" i="2"/>
  <c r="BK316" i="2"/>
  <c r="J260" i="2"/>
  <c r="J549" i="2"/>
  <c r="J442" i="2"/>
  <c r="J354" i="2"/>
  <c r="J184" i="2"/>
  <c r="J608" i="2"/>
  <c r="BK516" i="2"/>
  <c r="BK371" i="2"/>
  <c r="J282" i="2"/>
  <c r="J251" i="2"/>
  <c r="BK200" i="2"/>
  <c r="BK603" i="2"/>
  <c r="BK465" i="2"/>
  <c r="J418" i="2"/>
  <c r="J341" i="2"/>
  <c r="J200" i="2"/>
  <c r="BK493" i="2"/>
  <c r="BK424" i="2"/>
  <c r="J371" i="2"/>
  <c r="J308" i="2"/>
  <c r="BK193" i="2"/>
  <c r="BK544" i="2"/>
  <c r="J505" i="2"/>
  <c r="J428" i="2"/>
  <c r="J331" i="2"/>
  <c r="BK167" i="2"/>
  <c r="J550" i="2"/>
  <c r="BK503" i="2"/>
  <c r="BK418" i="2"/>
  <c r="BK296" i="2"/>
  <c r="BK598" i="2"/>
  <c r="BK530" i="2"/>
  <c r="BK472" i="2"/>
  <c r="J405" i="2"/>
  <c r="BK351" i="2"/>
  <c r="J174" i="2"/>
  <c r="J567" i="2"/>
  <c r="BK520" i="2"/>
  <c r="J499" i="2"/>
  <c r="J425" i="2"/>
  <c r="J356" i="2"/>
  <c r="BK261" i="2"/>
  <c r="J580" i="2"/>
  <c r="J397" i="2"/>
  <c r="J314" i="2"/>
  <c r="BK239" i="2"/>
  <c r="BK568" i="2"/>
  <c r="J465" i="2"/>
  <c r="J421" i="2"/>
  <c r="BK345" i="2"/>
  <c r="BK277" i="2"/>
  <c r="J245" i="2"/>
  <c r="J167" i="2"/>
  <c r="BK393" i="2"/>
  <c r="J330" i="2"/>
  <c r="BK207" i="2"/>
  <c r="J519" i="2"/>
  <c r="BK457" i="2"/>
  <c r="J383" i="2"/>
  <c r="BK330" i="2"/>
  <c r="J291" i="2"/>
  <c r="J215" i="2"/>
  <c r="J149" i="2"/>
  <c r="J533" i="2"/>
  <c r="BK467" i="2"/>
  <c r="J395" i="2"/>
  <c r="J315" i="2"/>
  <c r="BK251" i="2"/>
  <c r="BK565" i="2"/>
  <c r="J456" i="2"/>
  <c r="J364" i="2"/>
  <c r="BK272" i="2"/>
  <c r="J181" i="2"/>
  <c r="J579" i="2"/>
  <c r="BK550" i="2"/>
  <c r="J503" i="2"/>
  <c r="BK446" i="2"/>
  <c r="BK401" i="2"/>
  <c r="BK352" i="2"/>
  <c r="J222" i="2"/>
  <c r="BK590" i="2"/>
  <c r="J538" i="2"/>
  <c r="J518" i="2"/>
  <c r="J469" i="2"/>
  <c r="BK348" i="2"/>
  <c r="J258" i="2"/>
  <c r="J602" i="2"/>
  <c r="J527" i="2"/>
  <c r="BK383" i="2"/>
  <c r="J277" i="2"/>
  <c r="BK177" i="2"/>
  <c r="BK595" i="2"/>
  <c r="J432" i="2"/>
  <c r="BK395" i="2"/>
  <c r="J272" i="2"/>
  <c r="J239" i="2"/>
  <c r="BK181" i="2"/>
  <c r="J570" i="2"/>
  <c r="J525" i="2"/>
  <c r="BK442" i="2"/>
  <c r="BK409" i="2"/>
  <c r="BK298" i="2"/>
  <c r="J229" i="2"/>
  <c r="J228" i="2" s="1"/>
  <c r="BK593" i="2"/>
  <c r="J552" i="2"/>
  <c r="BK475" i="2"/>
  <c r="BK380" i="2"/>
  <c r="J351" i="2"/>
  <c r="J261" i="2"/>
  <c r="J177" i="2"/>
  <c r="BK582" i="2"/>
  <c r="BK525" i="2"/>
  <c r="J461" i="2"/>
  <c r="J460" i="2" s="1"/>
  <c r="BK413" i="2"/>
  <c r="J343" i="2"/>
  <c r="J256" i="2"/>
  <c r="J555" i="2"/>
  <c r="BK501" i="2"/>
  <c r="BK432" i="2"/>
  <c r="BK331" i="2"/>
  <c r="BK259" i="2"/>
  <c r="J176" i="2"/>
  <c r="J572" i="2"/>
  <c r="J536" i="2"/>
  <c r="BK445" i="2"/>
  <c r="J358" i="2"/>
  <c r="J278" i="2"/>
  <c r="BK585" i="2"/>
  <c r="J534" i="2"/>
  <c r="J517" i="2"/>
  <c r="BK434" i="2"/>
  <c r="J362" i="2"/>
  <c r="J303" i="2"/>
  <c r="J193" i="2"/>
  <c r="BK536" i="2"/>
  <c r="BK358" i="2"/>
  <c r="J259" i="2"/>
  <c r="BK160" i="2"/>
  <c r="BK548" i="2"/>
  <c r="J495" i="2"/>
  <c r="J409" i="2"/>
  <c r="BK309" i="2"/>
  <c r="BK260" i="2"/>
  <c r="J225" i="2"/>
  <c r="BK149" i="2"/>
  <c r="BK559" i="2"/>
  <c r="J352" i="2"/>
  <c r="J254" i="2"/>
  <c r="BK184" i="2"/>
  <c r="J522" i="2"/>
  <c r="J438" i="2"/>
  <c r="BK397" i="2"/>
  <c r="BK368" i="2"/>
  <c r="J296" i="2"/>
  <c r="J233" i="2"/>
  <c r="J150" i="2"/>
  <c r="J529" i="2"/>
  <c r="J434" i="2"/>
  <c r="BK341" i="2"/>
  <c r="J268" i="2"/>
  <c r="J574" i="2"/>
  <c r="BK505" i="2"/>
  <c r="BK459" i="2"/>
  <c r="J348" i="2"/>
  <c r="BK293" i="2"/>
  <c r="BK245" i="2"/>
  <c r="BK557" i="2"/>
  <c r="J507" i="2"/>
  <c r="BK463" i="2"/>
  <c r="BK389" i="2"/>
  <c r="BK291" i="2"/>
  <c r="J186" i="2"/>
  <c r="BK539" i="2"/>
  <c r="BK491" i="2"/>
  <c r="BK387" i="2"/>
  <c r="J345" i="2"/>
  <c r="BK301" i="2"/>
  <c r="BK562" i="2"/>
  <c r="BK451" i="2"/>
  <c r="BK373" i="2"/>
  <c r="J265" i="2"/>
  <c r="BK150" i="2"/>
  <c r="J559" i="2"/>
  <c r="J493" i="2"/>
  <c r="J424" i="2"/>
  <c r="J355" i="2"/>
  <c r="BK257" i="2"/>
  <c r="BK219" i="2"/>
  <c r="BK547" i="2"/>
  <c r="J488" i="2"/>
  <c r="BK421" i="2"/>
  <c r="BK353" i="2"/>
  <c r="BK268" i="2"/>
  <c r="BK186" i="2"/>
  <c r="J564" i="2"/>
  <c r="BK509" i="2"/>
  <c r="BK464" i="2"/>
  <c r="J401" i="2"/>
  <c r="BK354" i="2"/>
  <c r="J301" i="2"/>
  <c r="BK229" i="2"/>
  <c r="BK581" i="2"/>
  <c r="BK436" i="2"/>
  <c r="J376" i="2"/>
  <c r="J293" i="2"/>
  <c r="BK577" i="2"/>
  <c r="BK517" i="2"/>
  <c r="BK455" i="2"/>
  <c r="J309" i="2"/>
  <c r="J269" i="2"/>
  <c r="BK584" i="2"/>
  <c r="BK553" i="2"/>
  <c r="J520" i="2"/>
  <c r="BK489" i="2"/>
  <c r="BK438" i="2"/>
  <c r="BK386" i="2"/>
  <c r="J219" i="2"/>
  <c r="BK570" i="2"/>
  <c r="J531" i="2"/>
  <c r="J497" i="2"/>
  <c r="J373" i="2"/>
  <c r="BK343" i="2"/>
  <c r="BK287" i="2"/>
  <c r="BK497" i="2"/>
  <c r="BK425" i="2"/>
  <c r="BK282" i="2"/>
  <c r="BK174" i="2"/>
  <c r="BK587" i="2"/>
  <c r="BK499" i="2"/>
  <c r="J445" i="2"/>
  <c r="J414" i="2"/>
  <c r="BK324" i="2"/>
  <c r="BK265" i="2"/>
  <c r="BK233" i="2"/>
  <c r="BK176" i="2"/>
  <c r="J600" i="2"/>
  <c r="J599" i="2" s="1"/>
  <c r="J491" i="2"/>
  <c r="BK362" i="2"/>
  <c r="J287" i="2"/>
  <c r="BK214" i="2"/>
  <c r="BK555" i="2"/>
  <c r="J501" i="2"/>
  <c r="BK440" i="2"/>
  <c r="BK376" i="2"/>
  <c r="J316" i="2"/>
  <c r="J288" i="2"/>
  <c r="J207" i="2"/>
  <c r="J605" i="2"/>
  <c r="J532" i="2"/>
  <c r="BK486" i="2"/>
  <c r="BK414" i="2"/>
  <c r="BK356" i="2"/>
  <c r="BK303" i="2"/>
  <c r="J541" i="2"/>
  <c r="BK495" i="2"/>
  <c r="J386" i="2"/>
  <c r="BK308" i="2"/>
  <c r="J257" i="2"/>
  <c r="BK600" i="2"/>
  <c r="J557" i="2"/>
  <c r="BK523" i="2"/>
  <c r="J436" i="2"/>
  <c r="J387" i="2"/>
  <c r="BK288" i="2"/>
  <c r="J160" i="2"/>
  <c r="BK546" i="2"/>
  <c r="BK518" i="2"/>
  <c r="J440" i="2"/>
  <c r="BK364" i="2"/>
  <c r="BK314" i="2"/>
  <c r="BK254" i="2"/>
  <c r="BK532" i="2"/>
  <c r="J459" i="2"/>
  <c r="J389" i="2"/>
  <c r="J306" i="2"/>
  <c r="BK225" i="2"/>
  <c r="BK606" i="2"/>
  <c r="BK534" i="2"/>
  <c r="J477" i="2"/>
  <c r="BK428" i="2"/>
  <c r="J393" i="2"/>
  <c r="J298" i="2"/>
  <c r="BK258" i="2"/>
  <c r="J214" i="2"/>
  <c r="H515" i="2" l="1"/>
  <c r="J515" i="2" s="1"/>
  <c r="J573" i="2"/>
  <c r="P513" i="2"/>
  <c r="R513" i="2"/>
  <c r="R498" i="2" s="1"/>
  <c r="T513" i="2"/>
  <c r="T498" i="2" s="1"/>
  <c r="BK513" i="2"/>
  <c r="J500" i="2"/>
  <c r="H486" i="2"/>
  <c r="T484" i="2" s="1"/>
  <c r="J486" i="2"/>
  <c r="P484" i="2"/>
  <c r="P466" i="2" s="1"/>
  <c r="BK484" i="2"/>
  <c r="BK466" i="2" s="1"/>
  <c r="R484" i="2"/>
  <c r="J218" i="2"/>
  <c r="J530" i="2"/>
  <c r="J494" i="2"/>
  <c r="J113" i="2" s="1"/>
  <c r="J342" i="2"/>
  <c r="J516" i="2"/>
  <c r="J560" i="2"/>
  <c r="J547" i="2"/>
  <c r="J255" i="2"/>
  <c r="J444" i="2"/>
  <c r="J232" i="2"/>
  <c r="J431" i="2"/>
  <c r="J464" i="2"/>
  <c r="J347" i="2"/>
  <c r="J192" i="2"/>
  <c r="J148" i="2"/>
  <c r="T192" i="2"/>
  <c r="R218" i="2"/>
  <c r="BK232" i="2"/>
  <c r="T232" i="2"/>
  <c r="P342" i="2"/>
  <c r="R444" i="2"/>
  <c r="BK192" i="2"/>
  <c r="T255" i="2"/>
  <c r="T431" i="2"/>
  <c r="T347" i="2" s="1"/>
  <c r="P462" i="2"/>
  <c r="T462" i="2"/>
  <c r="BK485" i="2"/>
  <c r="J487" i="2" s="1"/>
  <c r="J112" i="2" s="1"/>
  <c r="P498" i="2"/>
  <c r="R514" i="2"/>
  <c r="P545" i="2"/>
  <c r="R192" i="2"/>
  <c r="P218" i="2"/>
  <c r="R232" i="2"/>
  <c r="P431" i="2"/>
  <c r="P347" i="2" s="1"/>
  <c r="T485" i="2"/>
  <c r="T492" i="2"/>
  <c r="T514" i="2"/>
  <c r="BK558" i="2"/>
  <c r="P571" i="2"/>
  <c r="P592" i="2"/>
  <c r="BK148" i="2"/>
  <c r="P192" i="2"/>
  <c r="BK218" i="2"/>
  <c r="J100" i="2" s="1"/>
  <c r="T218" i="2"/>
  <c r="P232" i="2"/>
  <c r="BK342" i="2"/>
  <c r="T342" i="2"/>
  <c r="BK444" i="2"/>
  <c r="BK462" i="2"/>
  <c r="J110" i="2" s="1"/>
  <c r="R485" i="2"/>
  <c r="P492" i="2"/>
  <c r="P528" i="2"/>
  <c r="R528" i="2"/>
  <c r="BK545" i="2"/>
  <c r="T558" i="2"/>
  <c r="T580" i="2"/>
  <c r="P597" i="2"/>
  <c r="P148" i="2"/>
  <c r="BK255" i="2"/>
  <c r="BK431" i="2"/>
  <c r="P444" i="2"/>
  <c r="R466" i="2"/>
  <c r="BK492" i="2"/>
  <c r="BK498" i="2"/>
  <c r="P514" i="2"/>
  <c r="T528" i="2"/>
  <c r="R558" i="2"/>
  <c r="R580" i="2"/>
  <c r="R592" i="2"/>
  <c r="T597" i="2"/>
  <c r="R148" i="2"/>
  <c r="P255" i="2"/>
  <c r="R342" i="2"/>
  <c r="T444" i="2"/>
  <c r="T466" i="2"/>
  <c r="R492" i="2"/>
  <c r="BK514" i="2"/>
  <c r="BK528" i="2"/>
  <c r="T545" i="2"/>
  <c r="T571" i="2"/>
  <c r="BK597" i="2"/>
  <c r="J124" i="2" s="1"/>
  <c r="R545" i="2"/>
  <c r="BK571" i="2"/>
  <c r="J119" i="2" s="1"/>
  <c r="BK580" i="2"/>
  <c r="T592" i="2"/>
  <c r="T148" i="2"/>
  <c r="R255" i="2"/>
  <c r="R431" i="2"/>
  <c r="R347" i="2" s="1"/>
  <c r="R462" i="2"/>
  <c r="P485" i="2"/>
  <c r="P558" i="2"/>
  <c r="R571" i="2"/>
  <c r="P580" i="2"/>
  <c r="BK592" i="2"/>
  <c r="R597" i="2"/>
  <c r="BK228" i="2"/>
  <c r="J101" i="2" s="1"/>
  <c r="BK458" i="2"/>
  <c r="J108" i="2" s="1"/>
  <c r="BK605" i="2"/>
  <c r="J607" i="2" s="1"/>
  <c r="J126" i="2" s="1"/>
  <c r="BK589" i="2"/>
  <c r="BK602" i="2"/>
  <c r="J604" i="2" s="1"/>
  <c r="J125" i="2" s="1"/>
  <c r="BE288" i="2"/>
  <c r="BE351" i="2"/>
  <c r="BE356" i="2"/>
  <c r="BE362" i="2"/>
  <c r="BE387" i="2"/>
  <c r="BE425" i="2"/>
  <c r="BE457" i="2"/>
  <c r="BE464" i="2"/>
  <c r="BE486" i="2"/>
  <c r="BE517" i="2"/>
  <c r="BE523" i="2"/>
  <c r="BE527" i="2"/>
  <c r="BE544" i="2"/>
  <c r="BE559" i="2"/>
  <c r="BE582" i="2"/>
  <c r="BE606" i="2"/>
  <c r="J140" i="2"/>
  <c r="BE149" i="2"/>
  <c r="BE186" i="2"/>
  <c r="BE215" i="2"/>
  <c r="BE254" i="2"/>
  <c r="BE257" i="2"/>
  <c r="BE269" i="2"/>
  <c r="BE287" i="2"/>
  <c r="BE293" i="2"/>
  <c r="BE343" i="2"/>
  <c r="BE364" i="2"/>
  <c r="BE405" i="2"/>
  <c r="BE409" i="2"/>
  <c r="BE428" i="2"/>
  <c r="BE436" i="2"/>
  <c r="BE465" i="2"/>
  <c r="BE489" i="2"/>
  <c r="BE491" i="2"/>
  <c r="BE493" i="2"/>
  <c r="BE509" i="2"/>
  <c r="BE529" i="2"/>
  <c r="BE548" i="2"/>
  <c r="BE550" i="2"/>
  <c r="BE555" i="2"/>
  <c r="BE572" i="2"/>
  <c r="BE584" i="2"/>
  <c r="BE150" i="2"/>
  <c r="BE170" i="2"/>
  <c r="BE176" i="2"/>
  <c r="BE200" i="2"/>
  <c r="BE219" i="2"/>
  <c r="BE222" i="2"/>
  <c r="BE229" i="2"/>
  <c r="BE296" i="2"/>
  <c r="BE298" i="2"/>
  <c r="BE331" i="2"/>
  <c r="BE341" i="2"/>
  <c r="BE353" i="2"/>
  <c r="BE368" i="2"/>
  <c r="BE380" i="2"/>
  <c r="BE389" i="2"/>
  <c r="BE395" i="2"/>
  <c r="BE442" i="2"/>
  <c r="BE501" i="2"/>
  <c r="BE525" i="2"/>
  <c r="BE547" i="2"/>
  <c r="BE565" i="2"/>
  <c r="BE577" i="2"/>
  <c r="BE581" i="2"/>
  <c r="BE587" i="2"/>
  <c r="BE595" i="2"/>
  <c r="BE598" i="2"/>
  <c r="BE181" i="2"/>
  <c r="BE259" i="2"/>
  <c r="BE261" i="2"/>
  <c r="BE373" i="2"/>
  <c r="BE376" i="2"/>
  <c r="BE432" i="2"/>
  <c r="BE440" i="2"/>
  <c r="BE455" i="2"/>
  <c r="BE459" i="2"/>
  <c r="BE531" i="2"/>
  <c r="BE585" i="2"/>
  <c r="BE590" i="2"/>
  <c r="BE593" i="2"/>
  <c r="E85" i="2"/>
  <c r="J143" i="2"/>
  <c r="BE160" i="2"/>
  <c r="BE193" i="2"/>
  <c r="BE225" i="2"/>
  <c r="BE251" i="2"/>
  <c r="BE291" i="2"/>
  <c r="BE303" i="2"/>
  <c r="BE306" i="2"/>
  <c r="BE324" i="2"/>
  <c r="BE355" i="2"/>
  <c r="BE371" i="2"/>
  <c r="BE393" i="2"/>
  <c r="BE413" i="2"/>
  <c r="BE421" i="2"/>
  <c r="BE445" i="2"/>
  <c r="BE446" i="2"/>
  <c r="BE463" i="2"/>
  <c r="BE497" i="2"/>
  <c r="BE513" i="2"/>
  <c r="BE515" i="2"/>
  <c r="BE516" i="2"/>
  <c r="BE520" i="2"/>
  <c r="BE546" i="2"/>
  <c r="BE562" i="2"/>
  <c r="BE570" i="2"/>
  <c r="BE603" i="2"/>
  <c r="BE177" i="2"/>
  <c r="BE184" i="2"/>
  <c r="BE207" i="2"/>
  <c r="BE214" i="2"/>
  <c r="BE233" i="2"/>
  <c r="BE258" i="2"/>
  <c r="BE278" i="2"/>
  <c r="BE301" i="2"/>
  <c r="BE314" i="2"/>
  <c r="BE330" i="2"/>
  <c r="BE352" i="2"/>
  <c r="BE401" i="2"/>
  <c r="BE418" i="2"/>
  <c r="BE424" i="2"/>
  <c r="BE438" i="2"/>
  <c r="BE495" i="2"/>
  <c r="BE505" i="2"/>
  <c r="BE534" i="2"/>
  <c r="BE553" i="2"/>
  <c r="BE167" i="2"/>
  <c r="BE239" i="2"/>
  <c r="BE268" i="2"/>
  <c r="BE272" i="2"/>
  <c r="BE277" i="2"/>
  <c r="BE282" i="2"/>
  <c r="BE358" i="2"/>
  <c r="BE414" i="2"/>
  <c r="BE503" i="2"/>
  <c r="BE536" i="2"/>
  <c r="BE539" i="2"/>
  <c r="BE568" i="2"/>
  <c r="BE174" i="2"/>
  <c r="BE245" i="2"/>
  <c r="BE256" i="2"/>
  <c r="BE260" i="2"/>
  <c r="BE265" i="2"/>
  <c r="BE308" i="2"/>
  <c r="BE309" i="2"/>
  <c r="BE315" i="2"/>
  <c r="BE316" i="2"/>
  <c r="BE345" i="2"/>
  <c r="BE348" i="2"/>
  <c r="BE354" i="2"/>
  <c r="BE383" i="2"/>
  <c r="BE386" i="2"/>
  <c r="BE397" i="2"/>
  <c r="BE434" i="2"/>
  <c r="BE451" i="2"/>
  <c r="BE467" i="2"/>
  <c r="BE472" i="2"/>
  <c r="BE475" i="2"/>
  <c r="BE484" i="2"/>
  <c r="BE499" i="2"/>
  <c r="BE518" i="2"/>
  <c r="BE530" i="2"/>
  <c r="BE532" i="2"/>
  <c r="BE557" i="2"/>
  <c r="BE578" i="2"/>
  <c r="BE600" i="2"/>
  <c r="F34" i="2"/>
  <c r="BA95" i="1" s="1"/>
  <c r="BA94" i="1" s="1"/>
  <c r="AW94" i="1" s="1"/>
  <c r="AK30" i="1" s="1"/>
  <c r="F37" i="2"/>
  <c r="BD95" i="1" s="1"/>
  <c r="BD94" i="1" s="1"/>
  <c r="W33" i="1" s="1"/>
  <c r="F35" i="2"/>
  <c r="BB95" i="1" s="1"/>
  <c r="BB94" i="1" s="1"/>
  <c r="AX94" i="1" s="1"/>
  <c r="J34" i="2"/>
  <c r="AW95" i="1" s="1"/>
  <c r="F36" i="2"/>
  <c r="BC95" i="1" s="1"/>
  <c r="BC94" i="1" s="1"/>
  <c r="W32" i="1" s="1"/>
  <c r="J118" i="2" l="1"/>
  <c r="J116" i="2"/>
  <c r="J114" i="2"/>
  <c r="J104" i="2"/>
  <c r="J103" i="2"/>
  <c r="J99" i="2"/>
  <c r="J107" i="2"/>
  <c r="J147" i="2"/>
  <c r="J117" i="2"/>
  <c r="J102" i="2"/>
  <c r="J581" i="2"/>
  <c r="J115" i="2"/>
  <c r="J468" i="2"/>
  <c r="J106" i="2"/>
  <c r="J121" i="2"/>
  <c r="J122" i="2"/>
  <c r="J123" i="2"/>
  <c r="P579" i="2"/>
  <c r="BK347" i="2"/>
  <c r="J105" i="2" s="1"/>
  <c r="R147" i="2"/>
  <c r="T147" i="2"/>
  <c r="T461" i="2"/>
  <c r="P461" i="2"/>
  <c r="R461" i="2"/>
  <c r="P147" i="2"/>
  <c r="T579" i="2"/>
  <c r="R579" i="2"/>
  <c r="BK461" i="2"/>
  <c r="BK579" i="2"/>
  <c r="AY94" i="1"/>
  <c r="F33" i="2"/>
  <c r="AZ95" i="1" s="1"/>
  <c r="AZ94" i="1" s="1"/>
  <c r="AV94" i="1" s="1"/>
  <c r="AK29" i="1" s="1"/>
  <c r="W31" i="1"/>
  <c r="W30" i="1"/>
  <c r="J463" i="2" l="1"/>
  <c r="J146" i="2" s="1"/>
  <c r="J111" i="2"/>
  <c r="J120" i="2"/>
  <c r="BK147" i="2"/>
  <c r="J97" i="2" s="1"/>
  <c r="P146" i="2"/>
  <c r="AU95" i="1" s="1"/>
  <c r="AU94" i="1" s="1"/>
  <c r="T146" i="2"/>
  <c r="R146" i="2"/>
  <c r="W29" i="1"/>
  <c r="AT94" i="1"/>
  <c r="J109" i="2" l="1"/>
  <c r="BK146" i="2"/>
  <c r="J30" i="2" s="1"/>
  <c r="AG95" i="1" l="1"/>
  <c r="AG94" i="1" s="1"/>
  <c r="AK26" i="1" s="1"/>
  <c r="AK35" i="1" s="1"/>
  <c r="J33" i="2"/>
  <c r="AV95" i="1" s="1"/>
  <c r="AT95" i="1" s="1"/>
  <c r="AN95" i="1" s="1"/>
  <c r="AN94" i="1" s="1"/>
  <c r="J96" i="2"/>
  <c r="J98" i="2"/>
  <c r="J39" i="2" l="1"/>
</calcChain>
</file>

<file path=xl/sharedStrings.xml><?xml version="1.0" encoding="utf-8"?>
<sst xmlns="http://schemas.openxmlformats.org/spreadsheetml/2006/main" count="4728" uniqueCount="839">
  <si>
    <t>Export Komplet</t>
  </si>
  <si>
    <t/>
  </si>
  <si>
    <t>2.0</t>
  </si>
  <si>
    <t>False</t>
  </si>
  <si>
    <t>{e571c886-dd2e-4917-9e75-8c3ef32a3b10}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</si>
  <si>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</si>
  <si>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</si>
  <si>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</si>
  <si>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</si>
  <si>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</si>
  <si>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</si>
  <si>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</si>
  <si>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</si>
  <si>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N23-086_exp3</t>
  </si>
  <si>
    <t>Stavba:</t>
  </si>
  <si>
    <t>DPO MARTINOV - VRÁTNICE , VJEZD</t>
  </si>
  <si>
    <t>KSO:</t>
  </si>
  <si>
    <t>CC-CZ:</t>
  </si>
  <si>
    <t>Místo:</t>
  </si>
  <si>
    <t xml:space="preserve"> </t>
  </si>
  <si>
    <t>Datum:</t>
  </si>
  <si>
    <t>Zadavatel:</t>
  </si>
  <si>
    <t>IČ:</t>
  </si>
  <si>
    <t>DOPRAVNÍ PODNIK OSTRAVA a.s.</t>
  </si>
  <si>
    <t>DIČ:</t>
  </si>
  <si>
    <t>Zhotovitel:</t>
  </si>
  <si>
    <t>Projektant:</t>
  </si>
  <si>
    <t>PROJEKTSTUDIO EUCZ s.r.o.</t>
  </si>
  <si>
    <t>True</t>
  </si>
  <si>
    <t>Zpracovatel:</t>
  </si>
  <si>
    <t>Poznámka:</t>
  </si>
  <si>
    <t xml:space="preserve">Soupis prací sestaven na základě zadání objednatele a dle stupně STUDIE. Soupis prací sestaven jako propočet/odhad investičních nákladů, který neslouží k provedení stavby a bude dále doplňován a dopřesňován v dalším stupni PD. _x000D_
Objem soupisu prací tvoří etapu č.1 stavebních úprav dle zadání objednatele.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</si>
  <si>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</si>
  <si>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</si>
  <si>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</si>
  <si>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</si>
  <si>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</si>
  <si>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</si>
  <si>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</si>
  <si>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</si>
  <si>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</si>
  <si>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</si>
  <si>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</si>
  <si>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</si>
  <si>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</si>
  <si>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</si>
  <si>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</si>
  <si>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</si>
  <si>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</si>
  <si>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</si>
  <si>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</si>
  <si>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</si>
  <si>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</si>
  <si>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</si>
  <si>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</si>
  <si>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</si>
  <si>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</si>
  <si>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</si>
  <si>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</si>
  <si>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</si>
  <si>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</si>
  <si>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</si>
  <si>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</si>
  <si>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</si>
  <si>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</si>
  <si>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</si>
  <si>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</si>
  <si>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</si>
  <si>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</si>
  <si>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</si>
  <si>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</si>
  <si>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</si>
  <si>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</si>
  <si>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</si>
  <si>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</si>
  <si>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</si>
  <si>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</si>
  <si>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</t>
  </si>
  <si>
    <t xml:space="preserve">Stavebně technický propočet nákladů _ 1. ETAPA - vrátnice , vjezd </t>
  </si>
  <si>
    <t>STA</t>
  </si>
  <si>
    <t>1</t>
  </si>
  <si>
    <t>{9a193de4-463c-4710-b863-3c811eb0787d}</t>
  </si>
  <si>
    <t>2</t>
  </si>
  <si>
    <t>KRYCÍ LIST SOUPISU PRACÍ</t>
  </si>
  <si>
    <t>Objekt:</t>
  </si>
  <si>
    <t xml:space="preserve">D.1 - Stavebně technický propočet nákladů _ 1. ETAPA - vrátnice , vjezd </t>
  </si>
  <si>
    <t xml:space="preserve">Soupis prací sestaven na základě zadání objednatele a dle stupně STUDIE. Soupis prací sestaven jako propočet/odhad investičních nákladů, který neslouží k provedení stavby a bude dále doplňován a dopřesňován v dalším stupni PD.  Objem soupisu prací tvoří etapu č.1 stavebních úprav dle zadání objednatele _ jedná se o předpoklad , který může být upřesněn objednatelem.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</si>
  <si>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</si>
  <si>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</si>
  <si>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</si>
  <si>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</si>
  <si>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</si>
  <si>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</si>
  <si>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</si>
  <si>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</si>
  <si>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</si>
  <si>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</si>
  <si>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</si>
  <si>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</si>
  <si>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a kabelová vedení 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</si>
  <si>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</si>
  <si>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</si>
  <si>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</si>
  <si>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</si>
  <si>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</si>
  <si>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</si>
  <si>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</si>
  <si>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</si>
  <si>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</si>
  <si>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</si>
  <si>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</si>
  <si>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</si>
  <si>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</si>
  <si>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</si>
  <si>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</si>
  <si>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</si>
  <si>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</si>
  <si>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</si>
  <si>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</si>
  <si>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</si>
  <si>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</si>
  <si>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</si>
  <si>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</si>
  <si>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</si>
  <si>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</si>
  <si>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</si>
  <si>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</si>
  <si>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</si>
  <si>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</si>
  <si>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</si>
  <si>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</si>
  <si>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</si>
  <si>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</si>
  <si>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</si>
  <si>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</si>
  <si>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</si>
  <si>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</si>
  <si>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</si>
  <si>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</si>
  <si>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</si>
  <si>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113107323</t>
  </si>
  <si>
    <t xml:space="preserve">Odstranění podkladu z kameniva drceného tl přes 200 do 300 mm strojně </t>
  </si>
  <si>
    <t>m2</t>
  </si>
  <si>
    <t>CS ÚRS 2024 01</t>
  </si>
  <si>
    <t>4</t>
  </si>
  <si>
    <t>-816655822</t>
  </si>
  <si>
    <t>11310733R</t>
  </si>
  <si>
    <t xml:space="preserve">Odstranění krytu zpevněných ploch tl od 100 mm do 150 mm strojně </t>
  </si>
  <si>
    <t>CS VLASTNÍ</t>
  </si>
  <si>
    <t>229685063</t>
  </si>
  <si>
    <t>P</t>
  </si>
  <si>
    <t xml:space="preserve">Poznámka k položce:_x000D_
Součástí JC jsou také náklady na vytrhání souvisejících obrub </t>
  </si>
  <si>
    <t>VV</t>
  </si>
  <si>
    <t>Zpevněná plocha _ VJEZD</t>
  </si>
  <si>
    <t>"levá část" (21,25*8,0)+(17,25*5,25)+(5,5*13,9)</t>
  </si>
  <si>
    <t>"střední část" (7,0*7,5)</t>
  </si>
  <si>
    <t>"pravá část" (11,5*28,75)</t>
  </si>
  <si>
    <t>Součet</t>
  </si>
  <si>
    <t>3</t>
  </si>
  <si>
    <t>131251102</t>
  </si>
  <si>
    <t>Hloubení jam nezapažených v hornině třídy těžitelnosti I skupiny 3 objem do 50 m3 strojně</t>
  </si>
  <si>
    <t>m3</t>
  </si>
  <si>
    <t>-1753879684</t>
  </si>
  <si>
    <t>132251102</t>
  </si>
  <si>
    <t>Hloubení rýh nezapažených š do 800 mm v hornině třídy těžitelnosti I skupiny 3 objem do 50 m3 strojně</t>
  </si>
  <si>
    <t>-545508758</t>
  </si>
  <si>
    <t>"viz liniové prvky ZP" (117,5*0,4*0,5)</t>
  </si>
  <si>
    <t>5</t>
  </si>
  <si>
    <t>1040176704</t>
  </si>
  <si>
    <t>6</t>
  </si>
  <si>
    <t>162751119</t>
  </si>
  <si>
    <t>Příplatek k vodorovnému přemístění výkopku/sypaniny z horniny třídy těžitelnosti I skupiny 1 až 3 ZKD 1000 m přes 10000 m</t>
  </si>
  <si>
    <t>134437254</t>
  </si>
  <si>
    <t>17120123R</t>
  </si>
  <si>
    <t xml:space="preserve">Poplatek za uložení navážek, zeminy a kamení na skládce (skládkovné) </t>
  </si>
  <si>
    <t>-1502396022</t>
  </si>
  <si>
    <t>8</t>
  </si>
  <si>
    <t>171251201</t>
  </si>
  <si>
    <t>Uložení sypaniny na skládky nebo meziskládky</t>
  </si>
  <si>
    <t>-1177572062</t>
  </si>
  <si>
    <t>9</t>
  </si>
  <si>
    <t>174151101</t>
  </si>
  <si>
    <t>Zásyp jam, šachet rýh nebo kolem objektů sypaninou se zhutněním</t>
  </si>
  <si>
    <t>1963786127</t>
  </si>
  <si>
    <t>M</t>
  </si>
  <si>
    <t>58344197R</t>
  </si>
  <si>
    <t xml:space="preserve">externí zásypový, nenamrzavý, zhutnitelný drcený materiál _ frakce do 63 mm </t>
  </si>
  <si>
    <t>t</t>
  </si>
  <si>
    <t>-2052548343</t>
  </si>
  <si>
    <t>181912112</t>
  </si>
  <si>
    <t>Úprava pláně v hornině třídy těžitelnosti I skupiny 3 se zhutněním ručně</t>
  </si>
  <si>
    <t>-694780461</t>
  </si>
  <si>
    <t>Zakládání</t>
  </si>
  <si>
    <t>213311113</t>
  </si>
  <si>
    <t>Polštáře zhutněné pod základy z kameniva drceného frakce 16 až 63 mm</t>
  </si>
  <si>
    <t>-1994126510</t>
  </si>
  <si>
    <t>275322511</t>
  </si>
  <si>
    <t>Základové patky ze ŽB se zvýšenými nároky na prostředí tř. C 25/30</t>
  </si>
  <si>
    <t>1262948590</t>
  </si>
  <si>
    <t>275351121</t>
  </si>
  <si>
    <t>Zřízení bednění základových patek</t>
  </si>
  <si>
    <t>669588020</t>
  </si>
  <si>
    <t>275351122</t>
  </si>
  <si>
    <t>Odstranění bednění základových patek</t>
  </si>
  <si>
    <t>265063578</t>
  </si>
  <si>
    <t>16</t>
  </si>
  <si>
    <t>275361821</t>
  </si>
  <si>
    <t>Výztuž základových patek betonářskou ocelí 10 505 (R)</t>
  </si>
  <si>
    <t>1392540291</t>
  </si>
  <si>
    <t>Svislé a kompletní konstrukce</t>
  </si>
  <si>
    <t>311272225</t>
  </si>
  <si>
    <t>Zdivo z pórobetonových tvárnic hladkých přes P2 do P4 do 450 kg/m3 na tenkovrstvou maltu tl 300 m</t>
  </si>
  <si>
    <t>1124729672</t>
  </si>
  <si>
    <t>"stavební úpravy_vrátnice" 21,62</t>
  </si>
  <si>
    <t>342272205</t>
  </si>
  <si>
    <t>Příčka z pórobetonových hladkých tvárnic na tenkovrstvou maltu tl 50 mm</t>
  </si>
  <si>
    <t>893509727</t>
  </si>
  <si>
    <t>"stavební úpravy_vrátnice" 8,4</t>
  </si>
  <si>
    <t>342272245</t>
  </si>
  <si>
    <t>Příčka z pórobetonových hladkých tvárnic na tenkovrstvou maltu tl 150 mm</t>
  </si>
  <si>
    <t>-1431396</t>
  </si>
  <si>
    <t>"stavební úpravy_vrátnice" 7,35</t>
  </si>
  <si>
    <t>Vodorovné konstrukce</t>
  </si>
  <si>
    <t>451315114</t>
  </si>
  <si>
    <t>Podkladní nebo výplňová vrstva z betonu C 12/15 tl do 100 mm</t>
  </si>
  <si>
    <t>192470439</t>
  </si>
  <si>
    <t>Komunikace pozemní</t>
  </si>
  <si>
    <t>564211011</t>
  </si>
  <si>
    <t>Podklad nebo podsyp ze štěrkopísku ŠP plochy do 100 m2 tl 50 mm</t>
  </si>
  <si>
    <t>-654660658</t>
  </si>
  <si>
    <t>564871016</t>
  </si>
  <si>
    <t>Podklad ze štěrkodrtě ŠD plochy do 100 m2 tl 300 mm</t>
  </si>
  <si>
    <t>246543072</t>
  </si>
  <si>
    <t>596841220</t>
  </si>
  <si>
    <t>Kladení betonové dlažby komunikací do lože z cement malty velikosti přes 0,09 do 0,25 m2 pl do 50 m2</t>
  </si>
  <si>
    <t>-512117452</t>
  </si>
  <si>
    <t>59245320R</t>
  </si>
  <si>
    <t>dlažba plošná betonová velkoformátová pojížděná tl. 80 mm _ dle specifikace studie</t>
  </si>
  <si>
    <t>1727638840</t>
  </si>
  <si>
    <t>720,138*1,1 'Přepočtené koeficientem množství</t>
  </si>
  <si>
    <t>599141111</t>
  </si>
  <si>
    <t>Vyplnění spár mezi silničními dílci živičnou zálivkou</t>
  </si>
  <si>
    <t>m</t>
  </si>
  <si>
    <t>930903641</t>
  </si>
  <si>
    <t>Úpravy povrchů, podlahy a osazování výplní</t>
  </si>
  <si>
    <t>611325416</t>
  </si>
  <si>
    <t>Oprava vnitřní vápenocementové hladké omítky stropů v rozsahu plochy do 10 % s celoplošným přeštukováním</t>
  </si>
  <si>
    <t>662577874</t>
  </si>
  <si>
    <t>612131100</t>
  </si>
  <si>
    <t>Vápenný postřik vnitřních stěn nanášený ručně</t>
  </si>
  <si>
    <t>-518808847</t>
  </si>
  <si>
    <t>612142001</t>
  </si>
  <si>
    <t>Potažení vnitřních stěn sklovláknitým pletivem vtlačeným do tenkovrstvé hmoty</t>
  </si>
  <si>
    <t>1142146262</t>
  </si>
  <si>
    <t>612311141</t>
  </si>
  <si>
    <t>Vápenná omítka štuková dvouvrstvá vnitřních stěn nanášená ručně</t>
  </si>
  <si>
    <t>-378915422</t>
  </si>
  <si>
    <t>612325416</t>
  </si>
  <si>
    <t>Oprava vnitřní vápenocementové hladké omítky stěn v rozsahu plochy do 10 % s celoplošným přeštukováním</t>
  </si>
  <si>
    <t>-1637426283</t>
  </si>
  <si>
    <t>621131121</t>
  </si>
  <si>
    <t>Penetrační nátěr vnějších podhledů nanášený ručně</t>
  </si>
  <si>
    <t>-127994002</t>
  </si>
  <si>
    <t>"oprava fasády_kolárna_podhled" (96,0)</t>
  </si>
  <si>
    <t>"oprava vnější podhledů betonových ramp/koridoru" (2,5*43,07)+(5,0*17,75)+(4,5*40,0)</t>
  </si>
  <si>
    <t>32</t>
  </si>
  <si>
    <t>621142001</t>
  </si>
  <si>
    <t>Potažení vnějších podhledů sklovláknitým pletivem vtlačeným do tenkovrstvé hmoty</t>
  </si>
  <si>
    <t>-1104125261</t>
  </si>
  <si>
    <t>621151031</t>
  </si>
  <si>
    <t>Penetrační silikonový nátěr vnějších pastovitých tenkovrstvých omítek podhledů</t>
  </si>
  <si>
    <t>916797011</t>
  </si>
  <si>
    <t>621211021</t>
  </si>
  <si>
    <t>Montáž kontaktního zateplení vnějších podhledů lepením a mechanickým kotvením polystyrénových desek do betonu nebo zdiva tl přes 80 do 120 mm</t>
  </si>
  <si>
    <t>-1556221998</t>
  </si>
  <si>
    <t>28375938R</t>
  </si>
  <si>
    <t>deska EPS 70 fasádní tl 100mm</t>
  </si>
  <si>
    <t>1335338028</t>
  </si>
  <si>
    <t>621335102</t>
  </si>
  <si>
    <t>Oprava cementové hladké omítky vnějších podhledů v rozsahu přes 10 do 30 %</t>
  </si>
  <si>
    <t>2010192776</t>
  </si>
  <si>
    <t>621531012</t>
  </si>
  <si>
    <t>Tenkovrstvá silikonová zrnitá omítka zrnitost 1,5 mm vnějších podhledů</t>
  </si>
  <si>
    <t>1297553192</t>
  </si>
  <si>
    <t>622131101</t>
  </si>
  <si>
    <t>Cementový postřik vnějších stěn nanášený celoplošně ručně</t>
  </si>
  <si>
    <t>-1812969137</t>
  </si>
  <si>
    <t xml:space="preserve">DOPLNĚNÍ PODKLADU PO ODEBRÁNÍ VNĚJŠÍCH OBKLADŮ : </t>
  </si>
  <si>
    <t>"oprava fasády_vrátnice" (27,9)</t>
  </si>
  <si>
    <t>"oprava fasády_kolárna" (43,2)</t>
  </si>
  <si>
    <t>622151031</t>
  </si>
  <si>
    <t>Penetrační silikonový nátěr vnějších pastovitých tenkovrstvých omítek stěn</t>
  </si>
  <si>
    <t>-561330976</t>
  </si>
  <si>
    <t>622211011</t>
  </si>
  <si>
    <t>Montáž kontaktního zateplení vnějších stěn lepením a mechanickým kotvením polystyrénových desek do betonu a zdiva tl přes 40 do 80 mm</t>
  </si>
  <si>
    <t>1223828084</t>
  </si>
  <si>
    <t>"oprava fasády_kolárna" (4,5*51,5)</t>
  </si>
  <si>
    <t>28375933R</t>
  </si>
  <si>
    <t>deska EPS 70 fasádní tl 50mm</t>
  </si>
  <si>
    <t>1549108802</t>
  </si>
  <si>
    <t>231,75*1,1 'Přepočtené koeficientem množství</t>
  </si>
  <si>
    <t>622211021</t>
  </si>
  <si>
    <t>Montáž kontaktního zateplení vnějších stěn lepením a mechanickým kotvením polystyrénových desek do betonu a zdiva tl přes 80 do 120 mm</t>
  </si>
  <si>
    <t>1766142586</t>
  </si>
  <si>
    <t>"oprava fasády_vrátnice" ((4,05+9,9)*2*4,5)-40,9</t>
  </si>
  <si>
    <t>-1689389719</t>
  </si>
  <si>
    <t>84,65*1,1 'Přepočtené koeficientem množství</t>
  </si>
  <si>
    <t>622212001</t>
  </si>
  <si>
    <t>Montáž kontaktního zateplení vnějšího ostění, nadpraží nebo parapetu hl. špalety do 200 mm lepením desek z polystyrenu tl do 40 mm</t>
  </si>
  <si>
    <t>1996720491</t>
  </si>
  <si>
    <t>"oprava fasády_vrátnice-ostění / nadpraží" (49,9)</t>
  </si>
  <si>
    <t>28375932R</t>
  </si>
  <si>
    <t>deska EPS 70 fasádní tl 40mm</t>
  </si>
  <si>
    <t>-1687115234</t>
  </si>
  <si>
    <t>49,9*0,2 'Přepočtené koeficientem množství</t>
  </si>
  <si>
    <t>-1111406912</t>
  </si>
  <si>
    <t>"oprava fasády_vrátnice_zateplení parapetů" (18,5)</t>
  </si>
  <si>
    <t>28376416R</t>
  </si>
  <si>
    <t>deska XPS hrana polodrážková a hladký povrch tl 40mm</t>
  </si>
  <si>
    <t>-110852601</t>
  </si>
  <si>
    <t>18,5*0,2 'Přepočtené koeficientem množství</t>
  </si>
  <si>
    <t>622251101</t>
  </si>
  <si>
    <t>Příplatek k cenám kontaktního zateplení vnějších stěn za zápustnou montáž a použití tepelněizolačních zátek z polystyrenu</t>
  </si>
  <si>
    <t>2001601821</t>
  </si>
  <si>
    <t>622331111</t>
  </si>
  <si>
    <t>Cementová omítka hrubá jednovrstvá zatřená vnějších stěn nanášená ručně</t>
  </si>
  <si>
    <t>690927555</t>
  </si>
  <si>
    <t>622331391</t>
  </si>
  <si>
    <t>Příplatek k cementové omítce vnějších stěn za každých dalších 5 mm tloušťky strojně</t>
  </si>
  <si>
    <t>1008246323</t>
  </si>
  <si>
    <t>622335102</t>
  </si>
  <si>
    <t>Oprava cementové hladké omítky vnějších stěn v rozsahu přes 10 do 30 %</t>
  </si>
  <si>
    <t>-2002224187</t>
  </si>
  <si>
    <t>622454R04</t>
  </si>
  <si>
    <t>Příplatek ke KZS za systémové doplňky a příslušenství</t>
  </si>
  <si>
    <t>-313397698</t>
  </si>
  <si>
    <t>"kompletní provedení dle specifikace PD a TZ vč. všech souvisejících prací a dodávek"</t>
  </si>
  <si>
    <t xml:space="preserve">"dle TP konkrétního výrobce KZS + požadavky PD a TZ, PBŘ" </t>
  </si>
  <si>
    <t>-veškeré systémové lišty, rohovníky, profily</t>
  </si>
  <si>
    <t xml:space="preserve">ROZSAH VZTAŽEN NA PLOCHU KZS. </t>
  </si>
  <si>
    <t>"oprava fasády_vrátnice-ostění / nadpraží" (49,9)*0,15</t>
  </si>
  <si>
    <t>622531012</t>
  </si>
  <si>
    <t>Tenkovrstvá silikonová zrnitá omítka zrnitost 1,5 mm vnějších stěn</t>
  </si>
  <si>
    <t>-324798699</t>
  </si>
  <si>
    <t>Mezisoučet</t>
  </si>
  <si>
    <t>629991011</t>
  </si>
  <si>
    <t>Zakrytí výplní otvorů a svislých ploch fólií přilepenou lepící páskou</t>
  </si>
  <si>
    <t>-1177977437</t>
  </si>
  <si>
    <t>629995101</t>
  </si>
  <si>
    <t>Očištění vnějších ploch tlakovou vodou</t>
  </si>
  <si>
    <t>-1676262556</t>
  </si>
  <si>
    <t>632451234</t>
  </si>
  <si>
    <t>Potěr cementový samonivelační litý C25 tl přes 45 do 50 mm</t>
  </si>
  <si>
    <t>-1650634693</t>
  </si>
  <si>
    <t xml:space="preserve">Trubní a kabelová vedení </t>
  </si>
  <si>
    <t>800015R01</t>
  </si>
  <si>
    <t xml:space="preserve">D+M _ chránička včetně silnoproudého vedení (kabeláže) </t>
  </si>
  <si>
    <t>484631222</t>
  </si>
  <si>
    <t xml:space="preserve">Poznámka k položce:_x000D_
JC obsahuje : kompletní systémové dodávky a provedení dle specifikace PD a TZ včetně všech přímo souvisejících prací/činností a dodávek/doplňků/příslušenství_x000D_
</t>
  </si>
  <si>
    <t>800015R02</t>
  </si>
  <si>
    <t xml:space="preserve">D+M _ chránička včetně optického vedení </t>
  </si>
  <si>
    <t>25957795</t>
  </si>
  <si>
    <t>Poznámka k položce:_x000D_
JC obsahuje : kompletní systémové dodávky a provedení dle specifikace PD a TZ včetně všech přímo souvisejících prací/činností a dodávek/doplňků/příslušenství</t>
  </si>
  <si>
    <t>Ostatní konstrukce a práce, bourání</t>
  </si>
  <si>
    <t>916131213</t>
  </si>
  <si>
    <t>Osazení silničního obrubníku betonového s boční opěrou do lože z betonu prostého</t>
  </si>
  <si>
    <t>-352981642</t>
  </si>
  <si>
    <t>(27,0+20,0+20,0+5,5+15,0+30,0)</t>
  </si>
  <si>
    <t>59217031R</t>
  </si>
  <si>
    <t>obrubník betonový silniční přímý_ specifikace dle studie</t>
  </si>
  <si>
    <t>-1121868177</t>
  </si>
  <si>
    <t>59217032R</t>
  </si>
  <si>
    <t>obrubník betonový silniční obloukový _ specifikace dle studie</t>
  </si>
  <si>
    <t>1645125504</t>
  </si>
  <si>
    <t>59217033R</t>
  </si>
  <si>
    <t>obrubník betonový silniční přechodový _ specifikace dle studie</t>
  </si>
  <si>
    <t>-2029289539</t>
  </si>
  <si>
    <t>59217034R</t>
  </si>
  <si>
    <t>obrubník betonový silniční snížený _ specifikace dle studie</t>
  </si>
  <si>
    <t>-562295240</t>
  </si>
  <si>
    <t>919735112</t>
  </si>
  <si>
    <t>Řezání stávajícího živičného krytu hl přes 50 do 100 mm</t>
  </si>
  <si>
    <t>551634537</t>
  </si>
  <si>
    <t>93511411R</t>
  </si>
  <si>
    <t>Liniový odvodňovací betonový žlab š 150 mm se spádem dna 0,5 % se základem</t>
  </si>
  <si>
    <t>1770608387</t>
  </si>
  <si>
    <t>Poznámka k položce:_x000D_
JC obsahuje : kompletní systémové dodávky a provedení dle specifikace PD a TZ včetně všech přímo souvisejících prací/činností a dodávek/doplňků/příslušenství_x000D_
(JC obsahuje i náklady na betonové lože + opěru _ C 30/37)</t>
  </si>
  <si>
    <t>941211111</t>
  </si>
  <si>
    <t>Montáž lešení řadového rámového lehkého zatížení do 200 kg/m2 š od 0,6 do 0,9 m v do 10 m</t>
  </si>
  <si>
    <t>759954228</t>
  </si>
  <si>
    <t>"oprava fasády_vrátnice" (4,05+9,9)*2*4,5</t>
  </si>
  <si>
    <t>941211211</t>
  </si>
  <si>
    <t>Příplatek k lešení řadovému rámovému lehkému do 200 kg/m2 š od 0,6 do 0,9 m v do 10 m za každý den použití</t>
  </si>
  <si>
    <t>1156919236</t>
  </si>
  <si>
    <t>357,3*30 'Přepočtené koeficientem množství</t>
  </si>
  <si>
    <t>941211811</t>
  </si>
  <si>
    <t>Demontáž lešení řadového rámového lehkého zatížení do 200 kg/m2 š od 0,6 do 0,9 m v do 10 m</t>
  </si>
  <si>
    <t>1637385824</t>
  </si>
  <si>
    <t>944511111</t>
  </si>
  <si>
    <t>Montáž ochranné sítě z textilie z umělých vláken</t>
  </si>
  <si>
    <t>-321311815</t>
  </si>
  <si>
    <t>944511211</t>
  </si>
  <si>
    <t>Příplatek k ochranné síti za každý den použití</t>
  </si>
  <si>
    <t>-606680636</t>
  </si>
  <si>
    <t>125,55*30 'Přepočtené koeficientem množství</t>
  </si>
  <si>
    <t>944511811</t>
  </si>
  <si>
    <t>Demontáž ochranné sítě z textilie z umělých vláken</t>
  </si>
  <si>
    <t>-1961873797</t>
  </si>
  <si>
    <t>949101111</t>
  </si>
  <si>
    <t>Lešení pomocné pro objekty pozemních staveb s lešeňovou podlahou v do 1,9 m zatížení do 150 kg/m2</t>
  </si>
  <si>
    <t>-199326667</t>
  </si>
  <si>
    <t xml:space="preserve">"vnitřní oprava _vrátnice" </t>
  </si>
  <si>
    <t>"vodorovné plochy" 30,35</t>
  </si>
  <si>
    <t>949101112</t>
  </si>
  <si>
    <t>Lešení pomocné pro objekty pozemních staveb s lešeňovou podlahou v přes 1,9 do 3,5 m zatížení do 150 kg/m2</t>
  </si>
  <si>
    <t>2134971893</t>
  </si>
  <si>
    <t>962031133</t>
  </si>
  <si>
    <t>Bourání příček z cihel pálených na MVC tl do 150 mm</t>
  </si>
  <si>
    <t>-246803678</t>
  </si>
  <si>
    <t>"stavební úpravy_vrátnice" 4,5</t>
  </si>
  <si>
    <t>965045113</t>
  </si>
  <si>
    <t>Bourání potěrů cementových nebo pískocementových tl do 50 mm pl přes 4 m2</t>
  </si>
  <si>
    <t>-123708698</t>
  </si>
  <si>
    <t>965081213</t>
  </si>
  <si>
    <t>Bourání podlah z dlaždic keramických nebo xylolitových tl do 10 mm plochy přes 1 m2</t>
  </si>
  <si>
    <t>35550779</t>
  </si>
  <si>
    <t>Poznámka k položce:_x000D_
V jednotkové ceně zahrnuty , nad rámec ceníkového obsahu, také náklady na bourání souvisejících obvodových soklů v = do 150 mm.</t>
  </si>
  <si>
    <t>968062R00</t>
  </si>
  <si>
    <t>Vybourání výplní otvorů bez materiálového a plošného rozlišení</t>
  </si>
  <si>
    <t>-2043195313</t>
  </si>
  <si>
    <t>Poznámka k položce:_x000D_
Kompletní provedení dle specifikace PD a TZ včetně všech přímo souvisejících prací/činností a dodávek_x000D_
Specifikace / rozsah JC:_x000D_
-vyvěšení křídel (v případě otevíravých výplní)_x000D_
-vybourání rámu (bez rozlišení systému otevírání)_x000D_
--------------------------------------------------------_x000D_
-vybourání pevných (neotevíravých) výplní bez rozlišení _x000D_
--------------------------------------------------------_x000D_
-demontáže a odstranění přímo souvisejících příslušenství a doplňků_x000D_
(parapety, garnyže, rolety, žaluzie, ocel. mříže, ostatní doplňky)_x000D_
---------------------------------------------------------_x000D_
-veškeré demontážní práce a přesuny jesou zahrnuty v jednotkové ceně</t>
  </si>
  <si>
    <t>"stavební úpravy_vrátnice_obvodové výplně" (39,9)</t>
  </si>
  <si>
    <t>968072455</t>
  </si>
  <si>
    <t>Vybourání dveřních zárubní pl do 2 m2</t>
  </si>
  <si>
    <t>-1749391346</t>
  </si>
  <si>
    <t>Poznámka k položce:_x000D_
Vybourání rámů oken s křídly, dveřních zárubní, vrat, stěn, ostění nebo obkladů dveřních zárubní, plochy do 2 m2. JC zahrnuje také náklady na demontáž křídel.</t>
  </si>
  <si>
    <t>966070R01</t>
  </si>
  <si>
    <t xml:space="preserve">Demontáž kompletní konstrukce stávajícího oplocení </t>
  </si>
  <si>
    <t>865774470</t>
  </si>
  <si>
    <t>Poznámka k položce:_x000D_
Kompletní provedení dle specifikace PD a TZ včetně všech přímo souvisejících prací/činností a dodávek</t>
  </si>
  <si>
    <t>978011121</t>
  </si>
  <si>
    <t>Otlučení (osekání) vnitřní vápenné nebo vápenocementové omítky stropů v rozsahu přes 5 do 10 %</t>
  </si>
  <si>
    <t>437537096</t>
  </si>
  <si>
    <t>978013121</t>
  </si>
  <si>
    <t>Otlučení (osekání) vnitřní vápenné nebo vápenocementové omítky stěn v rozsahu přes 5 do 10 %</t>
  </si>
  <si>
    <t>-530985145</t>
  </si>
  <si>
    <t>"svislé plochy" (154,4)</t>
  </si>
  <si>
    <t>978036141</t>
  </si>
  <si>
    <t>Otlučení (osekání) cementových omítek vnějších ploch v rozsahu přes 10 do 30 %</t>
  </si>
  <si>
    <t>-1396078347</t>
  </si>
  <si>
    <t>"oprava fasády_vrátnice" ((4,05+9,9)*2*4,5)-40,9+(49,9*0,15)</t>
  </si>
  <si>
    <t>1618029586</t>
  </si>
  <si>
    <t>978059541</t>
  </si>
  <si>
    <t>Odsekání a odebrání obkladů stěn z vnitřních obkládaček plochy přes 1 m2</t>
  </si>
  <si>
    <t>-183560065</t>
  </si>
  <si>
    <t>978059641</t>
  </si>
  <si>
    <t>Odsekání a odebrání obkladů stěn z vnějších obkládaček plochy přes 1 m2</t>
  </si>
  <si>
    <t>1299531537</t>
  </si>
  <si>
    <t>985112121</t>
  </si>
  <si>
    <t>Odsekání degradovaného betonu líce kleneb a podhledů tl do 10 mm</t>
  </si>
  <si>
    <t>795783971</t>
  </si>
  <si>
    <t>"oprava venkovních podhledů _kolárna + rampy/koridory" ((96,0)+(2,5*43,07)+(5,0*17,75)+(4,5*40,0))*0,2</t>
  </si>
  <si>
    <t>985121221</t>
  </si>
  <si>
    <t>Tryskání degradovaného betonu líce kleneb vodou pod tlakem do 300 barů</t>
  </si>
  <si>
    <t>-1028083530</t>
  </si>
  <si>
    <t>"oprava venkovních podhledů _kolárna + rampy/koridory" ((96,0)+(2,5*43,07)+(5,0*17,75)+(4,5*40,0))</t>
  </si>
  <si>
    <t>985311211</t>
  </si>
  <si>
    <t>Reprofilace líce kleneb a podhledů cementovou sanační maltou tl do 10 mm</t>
  </si>
  <si>
    <t>-1884092279</t>
  </si>
  <si>
    <t>985321111</t>
  </si>
  <si>
    <t>Ochranný nátěr výztuže na cementové bázi stěn, líce kleneb a podhledů 1 vrstva tl 1 mm</t>
  </si>
  <si>
    <t>-1698078024</t>
  </si>
  <si>
    <t>985323111</t>
  </si>
  <si>
    <t>Spojovací můstek reprofilovaného betonu na cementové bázi tl 1 mm</t>
  </si>
  <si>
    <t>-173062758</t>
  </si>
  <si>
    <t>95</t>
  </si>
  <si>
    <t>Různé dokončovací konstrukce a práce pozemních staveb</t>
  </si>
  <si>
    <t>kpl.</t>
  </si>
  <si>
    <t>950015R12</t>
  </si>
  <si>
    <t>209616639</t>
  </si>
  <si>
    <t>950015R13</t>
  </si>
  <si>
    <t xml:space="preserve">D+M _ sloupků (kus) oddělujících chodník od vozovky , zajížděčích pod terén( parkoviště u jídelny) </t>
  </si>
  <si>
    <t>kus</t>
  </si>
  <si>
    <t>-1993803866</t>
  </si>
  <si>
    <t>950015R14</t>
  </si>
  <si>
    <t>D+M _ sloupků (kus) oddělujících chodník od vozovky , pevných oddělujících chodník od vozovky</t>
  </si>
  <si>
    <t>-611924981</t>
  </si>
  <si>
    <t>950015R15</t>
  </si>
  <si>
    <t>D+M _ příprava pro elektromobilitu (základy , chráničky) _ nabíjecí stojan (vč. základů) + 30mb kabelu vč. chráničky)</t>
  </si>
  <si>
    <t>1964357632</t>
  </si>
  <si>
    <t>950015R16</t>
  </si>
  <si>
    <t>1318285128</t>
  </si>
  <si>
    <t>98</t>
  </si>
  <si>
    <t>950015R18</t>
  </si>
  <si>
    <t>D+M _ pojížděný poklop_výměna stávajícího poklopu vodoměrné šachty pro celý areál Dílen Martinov – pojížděný poklop pr. 800mm</t>
  </si>
  <si>
    <t>448465675</t>
  </si>
  <si>
    <t>997</t>
  </si>
  <si>
    <t>Přesun sutě</t>
  </si>
  <si>
    <t>99701321R</t>
  </si>
  <si>
    <t xml:space="preserve">Vnitrostaveništní doprava suti a vybouraných hmot pro zpevněné plochy a budovy v do 6 m </t>
  </si>
  <si>
    <t>-1866005415</t>
  </si>
  <si>
    <t>-15571331</t>
  </si>
  <si>
    <t>Poznámka k položce:_x000D_
Jednotková cena stanovena pro stavební odpad BEZ ROZLIŠENÍ _včetně nebezpečných odpadů._x000D_
----------------------------------------------------------------------------------------------------------------------_x000D_
(stavební odpad / vybourané hmoty:_x000D_
-kamenovo, beton/živice, cihla/beton/omítka, karamika, izolace/plasty, směsné odpady)</t>
  </si>
  <si>
    <t>997321511</t>
  </si>
  <si>
    <t>Vodorovná doprava suti a vybouraných hmot po suchu do 1 km</t>
  </si>
  <si>
    <t>918716864</t>
  </si>
  <si>
    <t>997321519</t>
  </si>
  <si>
    <t>Příplatek ZKD 1 km vodorovné dopravy suti a vybouraných hmot po suchu</t>
  </si>
  <si>
    <t>-823830140</t>
  </si>
  <si>
    <t>997321611</t>
  </si>
  <si>
    <t>Nakládání nebo překládání suti a vybouraných hmot</t>
  </si>
  <si>
    <t>613217354</t>
  </si>
  <si>
    <t>998</t>
  </si>
  <si>
    <t>Přesun hmot</t>
  </si>
  <si>
    <t>99822301R</t>
  </si>
  <si>
    <t xml:space="preserve">Přesun hmot pro pozemní komunikace a stavby </t>
  </si>
  <si>
    <t>-1992457452</t>
  </si>
  <si>
    <t xml:space="preserve">Poznámka k položce:_x000D_
JC obsahuje : kompletní náklady na přesuny hmot potřebné k provedení díla dle soupisu prací . </t>
  </si>
  <si>
    <t>PSV</t>
  </si>
  <si>
    <t>Práce a dodávky PSV</t>
  </si>
  <si>
    <t>711</t>
  </si>
  <si>
    <t>Izolace proti vodě, vlhkosti a plynům</t>
  </si>
  <si>
    <t>711161222</t>
  </si>
  <si>
    <t>Izolace proti zemní vlhkosti nopovou fólií s textilií svislá, nopek v 8,0 mm, tl do 0,6 mm</t>
  </si>
  <si>
    <t>1063699754</t>
  </si>
  <si>
    <t>711161383</t>
  </si>
  <si>
    <t>Izolace proti zemní vlhkosti nopovou fólií ukončení horní lištou</t>
  </si>
  <si>
    <t>1468841148</t>
  </si>
  <si>
    <t>998711121</t>
  </si>
  <si>
    <t>Přesun hmot tonážní pro izolace proti vodě, vlhkosti a plynům ruční v objektech v do 6 m</t>
  </si>
  <si>
    <t>-890737500</t>
  </si>
  <si>
    <t>712</t>
  </si>
  <si>
    <t>Povlakové krytiny</t>
  </si>
  <si>
    <t>712300921</t>
  </si>
  <si>
    <t>Oprava povlakové krytiny do 10° včetně správkových kus NAIP přitavením</t>
  </si>
  <si>
    <t>1633397098</t>
  </si>
  <si>
    <t xml:space="preserve">Poznámka k položce:_x000D_
JC, nad rámec ceníkového obsahu, také zahrnuje náklady na :_x000D_
-vyčištění+prořezání+odmaštění a odstranění prachu a nečistot_x000D_
-vyspravení poruch a defektů_x000D_
-vyrovnání povrchu - provedení do stavu, aby stávající střešní krytina plnila funkci parozábrany)_x000D_
--------------------------------------------------------------------------------------------------------------------_x000D_
-přetavení přířezy z oxidovaného asfaltového pásu tl. 4 mm s nenasákavou vložkou (oprava - předpoklad 25%)_x000D_
-vyrovnání větších prohlubní provést vrstvou z horkého asfaltu AOSI 85/25 se silikátovým plnivem </t>
  </si>
  <si>
    <t>"oprava střechy_vrátnice" (4,05*9,9)</t>
  </si>
  <si>
    <t>"oprava střech_kolárna + rampy/koridory" ((96,0)+(2,5*43,07)+(5,0*17,75)+(4,5*40,0))</t>
  </si>
  <si>
    <t>712340832</t>
  </si>
  <si>
    <t>Odstranění povlakové krytiny střech do 10° z pásů NAIP přitavených v plné ploše dvouvrstvé</t>
  </si>
  <si>
    <t>1282966017</t>
  </si>
  <si>
    <t>"oprava střechy_vrátnice" (4,05*9,9)*2</t>
  </si>
  <si>
    <t>712525R01</t>
  </si>
  <si>
    <t xml:space="preserve">Střešní povlaková krytina , mechanicky kotvená do nosného podkladu, PVC-P folie - kompletní, systémové provedení </t>
  </si>
  <si>
    <t>1043085907</t>
  </si>
  <si>
    <t>Poznámka k položce:_x000D_
-JC obsahuje kompletní systémové dodávky a provedení dle specifikace PD a TZ vč. všech souvisejících prací/činností a dodávek/doplňků/příslušenství/kotevních prvků_x000D_
JC obsahuje kompletní systémové řešení jednoho výrobce_x000D_
(lišty, doplňky, příslušenství, řešení detailů a ukončení)_x000D_
--------------------------------------------------------------------------_x000D_
Dopřesnění dodávky/součást JC:_x000D_
-střešní krytina je navržena rozměrově stálá střešní hydroizolační fólie z PVC-P tloušťky DLE ZADÁVACÍ DOKUMENTACE ; fólie vyztužena. _x000D_
Součásti dodávky střešní krytiny jsou veškeré přechodové a ukončovací profily z poplastovaného plechu (přechod krytiny na svislé konstrukce, ukončovací a přítlačné lišty apod.) _x000D_
-podkladní ochranná separační vrstva (např. geotextílie 300 g/m2). _x000D_
Součásti dodávky povlakové krytiny je dále ošetření prostupů střechou/terasou - budou využity typové doplňky ze sortimentu použité povlakové krytiny _x000D_
(tj. manžety s otvorem 2/3 průměru prostupu, doplňková fólie bude vytažena na prostupující potrubí do výšky min.150mm na úroveň střešní krytiny, fólie bude stažena systémovou plechovou objímkou a spoj zatmelen PU tmelem)_x000D_
Hydroizolace bude ukončena na prostupujících konstrukcích a u stěn min. 150 mm nad vnější povrch přiléhající střešní plochy, u atiky bude ukončena na koruně._x000D_
-----------------------------------------------------------------------------------------------------------------------------------------------------------------------------------------------</t>
  </si>
  <si>
    <t>KOMPLETNÍ SYSTÉMOVÉ ŘEŠENÍ ROVNÝCH STŘECH / TERAS</t>
  </si>
  <si>
    <t>-mechanické kotvení přes všechny vrstvy střešního pláště do nosné konstrukce</t>
  </si>
  <si>
    <t>v jednotkové ceně zahrnuty také náklady na veškeré systémové lišty, profily, doplňky, příslušenství, detaily</t>
  </si>
  <si>
    <t>v jednotkové ceně zahrnuty všechny prořezy a navýšení materiálů</t>
  </si>
  <si>
    <t>998712311</t>
  </si>
  <si>
    <t>Přesun hmot procentní pro krytiny povlakové ruční v objektech v do 6 m</t>
  </si>
  <si>
    <t>%</t>
  </si>
  <si>
    <t>-391224463</t>
  </si>
  <si>
    <t>713</t>
  </si>
  <si>
    <t>Izolace tepelné</t>
  </si>
  <si>
    <t>713141136</t>
  </si>
  <si>
    <t>Montáž izolace tepelné střech plochých lepené za studena nízkoexpanzní (PUR) pěnou 1 vrstva desek</t>
  </si>
  <si>
    <t>124392410</t>
  </si>
  <si>
    <t>28375914R</t>
  </si>
  <si>
    <t>deska EPS 150 pro konstrukce s vysokým zatížením tl 100mm</t>
  </si>
  <si>
    <t>-134491791</t>
  </si>
  <si>
    <t>40,095*1,1 'Přepočtené koeficientem množství</t>
  </si>
  <si>
    <t>998713121</t>
  </si>
  <si>
    <t>Přesun hmot tonážní pro izolace tepelné ruční v objektech v do 6 m</t>
  </si>
  <si>
    <t>145442057</t>
  </si>
  <si>
    <t>-653960396</t>
  </si>
  <si>
    <t>766</t>
  </si>
  <si>
    <t>Konstrukce truhlářské</t>
  </si>
  <si>
    <t>766430R01</t>
  </si>
  <si>
    <t xml:space="preserve">D+M _ vnitřní otevravé dveře včetně zárubně  </t>
  </si>
  <si>
    <t>ks</t>
  </si>
  <si>
    <t xml:space="preserve">Poznámka k položce:_x000D_
JC obsahuje : Kompletní provedení dle specifikace PD a TZ vč. všech přímo souvisejících prací/činností, dodávek, příslušenství, doplňků a komponentů dle konkrétního výpisu prvků a výrobků. V jednotkové ceně započítáno: systémová dodávka, výroba, montáž/osazení/kotvení (vč.kotvících prvků), povrchová úprava, přesuny. Kompletní specifikace/rozsah viz výpis prvků a výrobků._x000D_
----------------------------------------------------------------------_x000D_
Upřesnění specifikace :_x000D_
- CPL,  otvíravé, jednokřídlé_x000D_
- barva RAL 7035_x000D_
</t>
  </si>
  <si>
    <t>766430R02</t>
  </si>
  <si>
    <t>D+M _ plastové obvodové výplně otvorů</t>
  </si>
  <si>
    <t>836509940</t>
  </si>
  <si>
    <t xml:space="preserve">Poznámka k položce:_x000D_
JC obsahuje : Kompletní provedení dle specifikace PD a TZ vč. všech přímo souvisejících prací/činností, dodávek, příslušenství, doplňků a komponentů dle konkrétního výpisu prvků a výrobků. V jednotkové ceně započítáno: systémová dodávka, výroba, montáž/osazení/kotvení (vč.kotvících prvků), povrchová úprava, přesuny. Kompletní specifikace/rozsah viz výpis prvků a výrobků._x000D_
----------------------------------------------------------------------_x000D_
Upřesnění specifikace :_x000D_
výplně plastové, pevné popř. otvíravé jednokřídlé_x000D_
- Trojsklo _x000D_
- 6 komorový rám_x000D_
- Součinitel prostupu tepla okna uw= cca 0,8 W.m-2.K-1 _x000D_
- Součinitel prostupu tepla skla ug= cca 0,5 W.m-2.K-1_x000D_
- hloubka rámu cca 70-80mm_x000D_
- barva antracit_x000D_
</t>
  </si>
  <si>
    <t>998766311</t>
  </si>
  <si>
    <t>Přesun hmot procentní pro kce truhlářské ruční v objektech v do 6 m</t>
  </si>
  <si>
    <t>-157028411</t>
  </si>
  <si>
    <t>767</t>
  </si>
  <si>
    <t>Konstrukce zámečnické</t>
  </si>
  <si>
    <t>767431R01</t>
  </si>
  <si>
    <t>-1008558467</t>
  </si>
  <si>
    <t>Poznámka k položce:_x000D_
JC obsahuje : Kompletní provedení dle specifikace PD a TZ vč. všech přímo souvisejících prací/činností, dodávek, příslušenství, doplňků a komponentů dle konkrétního výpisu prvků a výrobků. V jednotkové ceně započítáno: systémová dodávka, výroba, montáž/osazení/kotvení (vč.kotvících prvků), povrchová úprava, přesuny. Kompletní specifikace/rozsah viz výpis prvků a výrobků.</t>
  </si>
  <si>
    <t>767431R02</t>
  </si>
  <si>
    <t xml:space="preserve">D+M _ ochranná mříž ke stromům </t>
  </si>
  <si>
    <t>-596400803</t>
  </si>
  <si>
    <t>767431R03</t>
  </si>
  <si>
    <t>D+M _ stojan na kola (dl. 3000 mm)</t>
  </si>
  <si>
    <t>-1367223349</t>
  </si>
  <si>
    <t>767431R04</t>
  </si>
  <si>
    <t>D+M _ venkovní žaluzie (C-lamela,antracit, Al) ovládání vnitřní klika alt. Pohon-tlačítko</t>
  </si>
  <si>
    <t>-1815957285</t>
  </si>
  <si>
    <t>(3,5*2,4)+(2,1*2,4)+(5,8*0,6)</t>
  </si>
  <si>
    <t>767431R05</t>
  </si>
  <si>
    <t xml:space="preserve">D+M _ AL venkovní / vstupní dveře (vrátnice) </t>
  </si>
  <si>
    <t>276099960</t>
  </si>
  <si>
    <t>Poznámka k položce:_x000D_
JC obsahuje : Kompletní provedení dle specifikace PD a TZ vč. všech přímo souvisejících prací/činností, dodávek, příslušenství, doplňků a komponentů dle konkrétního výpisu prvků a výrobků. V jednotkové ceně započítáno: systémová dodávka, výroba, montáž/osazení/kotvení (vč.kotvících prvků), povrchová úprava, přesuny. Kompletní specifikace/rozsah viz výpis prvků a výrobků._x000D_
-------------------------------------------------------------------_x000D_
Upřesnění specifikace:_x000D_
Dveře venkovní_x000D_
- Hliníkové, s plnou výplní,  otvíravé, jednokřídlé_x000D_
- Součinitel prostupu tepla dveří ud= cca 0,8 W.m-2.K-1_x000D_
- Součinitel prostupu tepla dveřní výplní uv= cca 0,5 W.m-2.K-1_x000D_
- oboustranně překryté křídlo_x000D_
- stavební hloubka cca 70-90mm_x000D_
- barva antracit_x000D_
---------------------</t>
  </si>
  <si>
    <t>1,0</t>
  </si>
  <si>
    <t>998767311</t>
  </si>
  <si>
    <t>Přesun hmot procentní pro zámečnické konstrukce ruční v objektech v do 6 m</t>
  </si>
  <si>
    <t>649269014</t>
  </si>
  <si>
    <t>771</t>
  </si>
  <si>
    <t>Podlahy z dlaždic</t>
  </si>
  <si>
    <t>771111011</t>
  </si>
  <si>
    <t>Vysátí podkladu před pokládkou dlažby</t>
  </si>
  <si>
    <t>1029791236</t>
  </si>
  <si>
    <t>771121011</t>
  </si>
  <si>
    <t>Nátěr penetrační na podlahu</t>
  </si>
  <si>
    <t>56738382</t>
  </si>
  <si>
    <t>771151012</t>
  </si>
  <si>
    <t>Samonivelační stěrka podlah pevnosti 20 MPa tl přes 3 do 5 mm</t>
  </si>
  <si>
    <t>-372188479</t>
  </si>
  <si>
    <t>771574476</t>
  </si>
  <si>
    <t>Montáž podlah keramických pro mechanické zatížení protiskluzných lepených cementovým flexibilním lepidlem přes 9 do 12 ks/m2</t>
  </si>
  <si>
    <t>-1846052406</t>
  </si>
  <si>
    <t>Poznámka k položce:_x000D_
V jednotkové ceně , nad rámec ceníkového obsahu, zahrnuty také náklady na montáž souvisejících obvodových systémových soklů + veškerých lišt a profilů</t>
  </si>
  <si>
    <t>59761R30</t>
  </si>
  <si>
    <t xml:space="preserve">dlaždice keramické protiskluzné 300/300/9 mm </t>
  </si>
  <si>
    <t>1626462660</t>
  </si>
  <si>
    <t xml:space="preserve">Poznámka k položce:_x000D_
-systémová dodávka + související systémové soklíky (viz PD a TZ)_x000D_
--------------------------------------------------------------------------------_x000D_
V jednotkové ceně zahrnuty náklady na veškeré doplňky a příslušenství dle PD a TZ._x000D_
(přechodové, dilatační a ukončovací lišty, ostatní doplňky)_x000D_
--------------------------------------------------------------------------------_x000D_
PŘESNÁ SPECIFIKACE _ VIZ PD A TZ </t>
  </si>
  <si>
    <t>7,68*1,15 'Přepočtené koeficientem množství</t>
  </si>
  <si>
    <t>771577R04</t>
  </si>
  <si>
    <t>Příplatek k vnitřním dlažbám za dodávku a montáž ukončovacích, rohových a koutových profilů</t>
  </si>
  <si>
    <t>384195661</t>
  </si>
  <si>
    <t>Poznámka k položce:_x000D_
Množství/rozsah - VZTAŽEN NA CELKOVOU PLOCHU vnitřních dlažeb._x000D_
(specifikace materiálů dle PD a TZ)_SPECIFIKACE A ROZSAH DLE TP KONKRÉTNĚ VYBRANÉHO DODAVATELE _x000D_
------------------------------------------------------------------------------------------------------------------------------------</t>
  </si>
  <si>
    <t>77159111R</t>
  </si>
  <si>
    <t>Hydroizolace pod dlažbu stěrkou ve dvou vrstvách</t>
  </si>
  <si>
    <t>-354833943</t>
  </si>
  <si>
    <t>Poznámka k položce:_x000D_
-kompletní systémová dodávka a provedení dle specifikace PD a TZ včetně všech přímo souvisejících prací/činností a dodávek/doplňků_x000D_
JC , také zahrnuje náklady na dodávku a montáž všech systémových rohových lišt a těsnících pásků_x000D_
(flexidbilní 2_složkový hydroizolační stěrkový systém)</t>
  </si>
  <si>
    <t>998771121</t>
  </si>
  <si>
    <t>Přesun hmot tonážní pro podlahy z dlaždic ruční v objektech v do 6 m</t>
  </si>
  <si>
    <t>-1149392699</t>
  </si>
  <si>
    <t>776</t>
  </si>
  <si>
    <t>Podlahy povlakové</t>
  </si>
  <si>
    <t>776111311</t>
  </si>
  <si>
    <t>Vysátí podkladu povlakových podlah</t>
  </si>
  <si>
    <t>547722603</t>
  </si>
  <si>
    <t>776121111</t>
  </si>
  <si>
    <t>Vodou ředitelná penetrace savého podkladu povlakových podlah</t>
  </si>
  <si>
    <t>-1752609410</t>
  </si>
  <si>
    <t>776141122</t>
  </si>
  <si>
    <t>Stěrka podlahová nivelační pro vyrovnání podkladu povlakových podlah pevnosti 30 MPa tl přes 3 do 5 mm</t>
  </si>
  <si>
    <t>1514735220</t>
  </si>
  <si>
    <t>776201811</t>
  </si>
  <si>
    <t>Demontáž lepených povlakových podlah bez podložky ručně</t>
  </si>
  <si>
    <t>-2124911766</t>
  </si>
  <si>
    <t>Poznámka k položce:_x000D_
V jednotkové ceně , nad rámec ceníkového obsahu, zahrnuty také náklady na demontáž souvisejících obvodových soklů.</t>
  </si>
  <si>
    <t>776221111</t>
  </si>
  <si>
    <t>Lepení pásů z PVC standardním lepidlem</t>
  </si>
  <si>
    <t>-523008853</t>
  </si>
  <si>
    <t>Poznámka k položce:_x000D_
V jednotkové ceně , nad rámec ceníkového obsahu, zahrnuty také náklady na montáž souvisejících obvodových systémových soklů + veškerých lišt a profilů + spoj podlahovin svařováním</t>
  </si>
  <si>
    <t>28411R00</t>
  </si>
  <si>
    <t>dodávka povlakové podlahové krytiny - PVC</t>
  </si>
  <si>
    <t>-1926075458</t>
  </si>
  <si>
    <t>22,67*1,1 'Přepočtené koeficientem množství</t>
  </si>
  <si>
    <t>776923R11</t>
  </si>
  <si>
    <t xml:space="preserve">Spoj povlakových podlahovin z PVC a vinylu svařováním </t>
  </si>
  <si>
    <t>1058305710</t>
  </si>
  <si>
    <t>Poznámka k položce:_x000D_
Kompletní systémová dodávka a provedení dle specifikace PD a TZ včetně všech přímo souvisejících prací/dodávek/doplňků a příslušenství_x000D_
------------------------------------------------------------------------------------------------------------------------------------------------------------------------_x000D_
(naceněno dle technologických postupů a pravidel konkrétně vybraného dodavatele systémového řešení)</t>
  </si>
  <si>
    <t>ROZSAH A MNOŽSTVÍ _ VZTAŽENO NA PLOCHU POVLAKOVÝCH PODLAHOVÝCH KRYTIN</t>
  </si>
  <si>
    <t>22,67</t>
  </si>
  <si>
    <t>998776121</t>
  </si>
  <si>
    <t>Přesun hmot tonážní pro podlahy povlakové ruční v objektech v do 6 m</t>
  </si>
  <si>
    <t>-119904006</t>
  </si>
  <si>
    <t>781</t>
  </si>
  <si>
    <t>Dokončovací práce - obklady</t>
  </si>
  <si>
    <t>781121011</t>
  </si>
  <si>
    <t>Nátěr penetrační na stěnu</t>
  </si>
  <si>
    <t>-1687931781</t>
  </si>
  <si>
    <t>781131264</t>
  </si>
  <si>
    <t>Izolace pod obklad těsnícími pásy mezi podlahou a stěnou</t>
  </si>
  <si>
    <t>-1255524226</t>
  </si>
  <si>
    <t>781474112</t>
  </si>
  <si>
    <t>Montáž obkladů vnitřních keramických hladkých přes 9 do 12 ks/m2 lepených flexibilním lepidlem</t>
  </si>
  <si>
    <t>-1990550095</t>
  </si>
  <si>
    <t>Poznámka k položce:_x000D_
V jednotkové ceně , nad rámec ceníkového obsahu, zahrnuty také náklady na montáž veškerých doplňků a příslušenství dle PD a TZ._x000D_
(listely, dekory - specifikované v PD) _x000D_
-------------------------------------------</t>
  </si>
  <si>
    <t>59761R01</t>
  </si>
  <si>
    <t>obklad keramický hladký 300/300 mm</t>
  </si>
  <si>
    <t>-736477966</t>
  </si>
  <si>
    <t>Poznámka k položce:_x000D_
V jednotkové ceně zahrnuty náklady na veškeré doplňky a příslušenství dle PD a TZ._x000D_
(listely, dekory - specifikované v PD) _x000D_
-------------------------------------------_x000D_
-přesná specifikace _ viz PD a TZ</t>
  </si>
  <si>
    <t>31*1,1 'Přepočtené koeficientem množství</t>
  </si>
  <si>
    <t>781477R00</t>
  </si>
  <si>
    <t>Příplatek k vnitřním obladům za dodávku a montáž ukončovacích, rohových a koutových profilů</t>
  </si>
  <si>
    <t>-1306341981</t>
  </si>
  <si>
    <t>Poznámka k položce:_x000D_
Množství/rozsah - VZTAŽEN NA CELKOVOU PLOCHU vnitřních obkladů._x000D_
(specifikace materiálů dle PD a TZ)_SPECIFIKACE A ROZSAH DLE TP KONKRÉTNĚ VYBRANÉHO DODAVATELE _x000D_
------------------------------------------------------------------------------------------------------------------------------------</t>
  </si>
  <si>
    <t>781495115</t>
  </si>
  <si>
    <t>Spárování vnitřních obkladů silikonem</t>
  </si>
  <si>
    <t>1422583874</t>
  </si>
  <si>
    <t>15,5*1,75 'Přepočtené koeficientem množství</t>
  </si>
  <si>
    <t>998781121</t>
  </si>
  <si>
    <t>Přesun hmot tonážní pro obklady keramické ruční v objektech v do 6 m</t>
  </si>
  <si>
    <t>169860828</t>
  </si>
  <si>
    <t>783</t>
  </si>
  <si>
    <t>Dokončovací práce - nátěry</t>
  </si>
  <si>
    <t>783306801</t>
  </si>
  <si>
    <t>Odstranění nátěru ze zámečnických konstrukcí obroušením</t>
  </si>
  <si>
    <t>-440024588</t>
  </si>
  <si>
    <t>783306809</t>
  </si>
  <si>
    <t>Odstranění nátěru ze zámečnických konstrukcí okartáčováním</t>
  </si>
  <si>
    <t>159017212</t>
  </si>
  <si>
    <t>783314201</t>
  </si>
  <si>
    <t>Základní antikorozní jednonásobný syntetický standardní nátěr zámečnických konstrukcí</t>
  </si>
  <si>
    <t>-2142068557</t>
  </si>
  <si>
    <t>783317101</t>
  </si>
  <si>
    <t>Krycí jednonásobný syntetický standardní nátěr zámečnických konstrukcí</t>
  </si>
  <si>
    <t>-1754767513</t>
  </si>
  <si>
    <t>783923171</t>
  </si>
  <si>
    <t>Penetrační akrylátový nátěr hrubých betonových podlah</t>
  </si>
  <si>
    <t>251900560</t>
  </si>
  <si>
    <t>784</t>
  </si>
  <si>
    <t>Dokončovací práce - malby a tapety</t>
  </si>
  <si>
    <t>784121001</t>
  </si>
  <si>
    <t>Oškrabání malby v mísnostech v do 3,80 m</t>
  </si>
  <si>
    <t>1488649886</t>
  </si>
  <si>
    <t>784181102</t>
  </si>
  <si>
    <t>Základní akrylátová jednonásobná pigmentovaná penetrace podkladu v místnostech v do 3,80 m</t>
  </si>
  <si>
    <t>-92475493</t>
  </si>
  <si>
    <t>784221101</t>
  </si>
  <si>
    <t>Dvojnásobné bílé malby ze směsí za sucha dobře otěruvzdorných v místnostech do 3,80 m</t>
  </si>
  <si>
    <t>210273375</t>
  </si>
  <si>
    <t>VRN</t>
  </si>
  <si>
    <t>VRN1</t>
  </si>
  <si>
    <t>Průzkumné, geodetické a projektové práce</t>
  </si>
  <si>
    <t>012203000</t>
  </si>
  <si>
    <t>Geodetické práce při provádění stavby</t>
  </si>
  <si>
    <t>1024</t>
  </si>
  <si>
    <t>64970357</t>
  </si>
  <si>
    <t>012303000</t>
  </si>
  <si>
    <t>Geodetické práce po výstavbě</t>
  </si>
  <si>
    <t>1352244192</t>
  </si>
  <si>
    <t>Poznámka k položce:_x000D_
-zaměření skutečného provedení stavby nebo jejich částí vč. vypracování geometrických plánů a ostatních příslušných protokolů_x000D_
(veškeré nové a upravované stavby/konstrukce , inženýrské a liniové stavby v rámci stavby)_x000D_
VEŠKERÉ FORMY A PŘEDÁNÍ SE ŘÍDÍ PODMÍNKAMI ZADÁVACÍ DOKUMENTACE STAVBY</t>
  </si>
  <si>
    <t>832025019</t>
  </si>
  <si>
    <t>013244000</t>
  </si>
  <si>
    <t>Dokumentace dílenská pro realizaci stavby</t>
  </si>
  <si>
    <t>-1384302916</t>
  </si>
  <si>
    <t>Poznámka k položce:_x000D_
V jednotkové ceně zahrnuty náklady na vypracování :_x000D_
-prováděcí / dílenské dokumentace pro provedení stavby vč. potřebných detailů_x000D_
(v JC jsou také zahrnuty náklady na provedení potřebných stavebních průzkumů)_x000D_
VEŠKERÉ FORMY A PŘEDÁNÍ SE ŘÍDÍ PODMÍNKAMI ZADÁVACÍ DOKUMENTACE STAVBY</t>
  </si>
  <si>
    <t>013254000</t>
  </si>
  <si>
    <t>Dokumentace skutečného provedení stavby</t>
  </si>
  <si>
    <t>-1563022463</t>
  </si>
  <si>
    <t>Poznámka k položce:_x000D_
VEŠKERÉ FORMY A PŘEDÁNÍ SE ŘÍDÍ PODMÍNKAMI ZADÁVACÍ DOKUMENTACE STAVBY</t>
  </si>
  <si>
    <t>VRN2</t>
  </si>
  <si>
    <t>Příprava staveniště</t>
  </si>
  <si>
    <t>020001000</t>
  </si>
  <si>
    <t xml:space="preserve">Příprava staveniště </t>
  </si>
  <si>
    <t>-1720836570</t>
  </si>
  <si>
    <t xml:space="preserve">Poznámka k položce:_x000D_
-Zřízení trvalé, dočasné deponie a mezideponie_x000D_
-zřízení příjezdů a přístupů na staveniště_x000D_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stavby)_x000D_
</t>
  </si>
  <si>
    <t>VRN3</t>
  </si>
  <si>
    <t>Zařízení staveniště</t>
  </si>
  <si>
    <t>030001000</t>
  </si>
  <si>
    <t xml:space="preserve">Zařízení staveniště </t>
  </si>
  <si>
    <t>-1940526463</t>
  </si>
  <si>
    <t xml:space="preserve">Poznámka k položce:_x000D_
Náklady na zřízení / nájem ZS:_x000D_
-kancelářské/skladovací/sociální objekty_x000D_
-oplocení stavby, ostraha staveniště_x000D_
-kompletní vnitrostaveništní rozvody všech potřebných energií a médií_x000D_
-poplatky spotřeby energií a médií _x000D_
(zajištění podružných měření spotřeby energií a médií)_x000D_
</t>
  </si>
  <si>
    <t>039002000</t>
  </si>
  <si>
    <t>Zrušení zařízení staveniště</t>
  </si>
  <si>
    <t>-175285866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</si>
  <si>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</si>
  <si>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</si>
  <si>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</si>
  <si>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043103000</t>
  </si>
  <si>
    <t>Zkoušky bez rozlišení</t>
  </si>
  <si>
    <t>-1397416070</t>
  </si>
  <si>
    <t xml:space="preserve">Poznámka k položce:_x000D_
Provedení všech zkoušek a revizí předepsaných projektovou a zadávací dokumentací, platnými normami, návodů k obsluze - (neuvedených v jednotlivých soupisech prací) </t>
  </si>
  <si>
    <t>045002000</t>
  </si>
  <si>
    <t xml:space="preserve">Kompletační a koordinační činnost </t>
  </si>
  <si>
    <t>2118678744</t>
  </si>
  <si>
    <t>Poznámka k položce:_x000D_
-příprava předávací dokumentace dle ZD_x000D_
-ostatní kompletační činnost</t>
  </si>
  <si>
    <t>VRN7</t>
  </si>
  <si>
    <t>Provozní vlivy</t>
  </si>
  <si>
    <t>071103000</t>
  </si>
  <si>
    <t>Provoz investora</t>
  </si>
  <si>
    <t>-1633282535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</si>
  <si>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areálu)_x000D_
(+ ochrana a zakrytí určených prvků a konstrukcí - ZABEZPEČENÍ PŘED POŠKOZENÍM STAVEBNÍ ČINNOSTÍ)</t>
  </si>
  <si>
    <t>VRN9</t>
  </si>
  <si>
    <t>Ostatní náklady</t>
  </si>
  <si>
    <t>090001000</t>
  </si>
  <si>
    <t>1887600392</t>
  </si>
  <si>
    <t>Poznámka k položce:_x000D_
V jednotkové ceně zahrnuty náklady :_x000D_
-------------------------------------------------_x000D_
-pravidelné čištění přilehlých / souvisejících komunikací a zpevněných ploch - po celou dobu stavby _x000D_
-uvedení všech dotčených ploch, konstrukcí a povrchů do původního, bezvadného stavu_x000D_
-vytyčení všech inženýrských sítí před zahájením prací + řádné zajištění (při realizaci stavby) . Zpětné protokolární předání všech inženýrských sítí jednotlivým správcům vč. uvedení dotčených ploch do bezvadného stavu._x000D_
----------------------------------------------------------------------------_x000D_
-ostatní, jinde neuvedené, náklady potřebné k provedení a předání díla objednateli _ dle PD a TZ</t>
  </si>
  <si>
    <t xml:space="preserve">"základ pro sloupky (návrh-předpoklad)" 17*0,6*0,6*1,2 </t>
  </si>
  <si>
    <t>"základ pro brány a turnikety (návrh-předpoklad)" 3*0,8*0,6*1,2+4*0,6*0,6*1,2</t>
  </si>
  <si>
    <t>"základ pro zámečnické OK+nabíječky (návrh-předpoklad)" 5*0,6*0,6*1,2+2*0,6*0,6*1,2</t>
  </si>
  <si>
    <t xml:space="preserve">"základy </t>
  </si>
  <si>
    <t>Vodorovné přemístění přes 500 do 1000 m výkopku/sypaniny z horniny třídy těžitelnosti I skupiny 1 až 3</t>
  </si>
  <si>
    <t>162351104</t>
  </si>
  <si>
    <t>39,874*10 'Přepočtené koeficientem množství</t>
  </si>
  <si>
    <t>"základy (návrh-předpoklad)"16,374*0,4</t>
  </si>
  <si>
    <t>6,55*1,8 'Přepočtené koeficientem množství</t>
  </si>
  <si>
    <t>"základ pro pylon (návrh-předpoklad)" 1,0*1,0*0,15</t>
  </si>
  <si>
    <t>"základ pro infopanel uvnitř (návrh-předpoklad)" 1,5*0,6*0,15</t>
  </si>
  <si>
    <t>"základ pro sloupky (návrh-předpoklad)" 17*0,6*0,6*0,15</t>
  </si>
  <si>
    <t>"základ pro brány a turnikety (návrh-předpoklad)" 3*0,8*0,6*0,15+4*0,6*0,6*0,15</t>
  </si>
  <si>
    <t>"základ pro zámečnické OK+nabíječky (návrh-předpoklad)" 5*0,6*0,6*0,15+2*0,6*0,6*0,15</t>
  </si>
  <si>
    <t>"základ pro pylon (návrh-předpoklad)" 1,0*1,0*0,9</t>
  </si>
  <si>
    <t>"základ pro infopanel uvnitř (návrh-předpoklad)" 1,5*0,6*0,9</t>
  </si>
  <si>
    <t>"základ pro sloupky (návrh-předpoklad)" 17*0,6*0,6*0,9</t>
  </si>
  <si>
    <t>"základ pro brány a turnikety (návrh-předpoklad)" 3*0,8*0,6*0,9+4*0,6*0,6*0,9</t>
  </si>
  <si>
    <t>"základ pro zámečnické OK+nabíječky (návrh-předpoklad)" 5*0,6*0,6*0,9+2*0,6*0,6*0,9</t>
  </si>
  <si>
    <t>"základ pro pylon (návrh-předpoklad)" 1,0*0,9*4</t>
  </si>
  <si>
    <t>"základ pro infopanel uvnitř (návrh-předpoklad)" 1,5*0,9*2+0,6*0,9*2</t>
  </si>
  <si>
    <t>"základ pro sloupky (návrh-předpoklad)" 17*0,6*0,9*4</t>
  </si>
  <si>
    <t>"základ pro brány a turnikety (návrh-předpoklad)" ((3*0,8*0,9*2)+(0,6*0,9*2))+(4*0,6*0,9*4)</t>
  </si>
  <si>
    <t>"základ pro zámečnické OK+nabíječky (návrh-předpoklad)" (5*0,6*0,9*4)+(2*0,6*0,9*4)</t>
  </si>
  <si>
    <t>"(návrh-předpoklad)" (12,078)*75/1000</t>
  </si>
  <si>
    <t>"základy (návrh-předpoklad)" 1*1+1,5*0,6+28*0,6*0,6+3*0,8*0,6</t>
  </si>
  <si>
    <r>
      <rPr>
        <sz val="8"/>
        <color rgb="FFFF0000"/>
        <rFont val="Arial CE"/>
        <family val="2"/>
        <charset val="238"/>
      </rPr>
      <t>79,90</t>
    </r>
    <r>
      <rPr>
        <sz val="8"/>
        <color rgb="FF505050"/>
        <rFont val="Arial CE"/>
        <family val="2"/>
        <charset val="238"/>
      </rPr>
      <t>*2 'Přepočtené koeficientem množství</t>
    </r>
  </si>
  <si>
    <t>113107323R</t>
  </si>
  <si>
    <t>Součástí položky je naložení a vyložení kameniva na skládku objednatele v rámci areálu</t>
  </si>
  <si>
    <t>Vodorovné přemístění do 1 km, z podkladu kameniva drceného tl. přes 200 do 300 mm strojně</t>
  </si>
  <si>
    <t>997013813</t>
  </si>
  <si>
    <t>k</t>
  </si>
  <si>
    <t>Poplatek za uložení na skládce (skládkovné) stavebního odpadu z plastických hmot kód odpadu 17 02 03</t>
  </si>
  <si>
    <t>997013814</t>
  </si>
  <si>
    <t>Poplatek za uložení na skládce (skládkovné) stavebního odpadu izolací kód odpadu 17 06 04</t>
  </si>
  <si>
    <t>navázáno na položku odstranění podkladu - materiál bude uložen na deponii v rámci areálu Dílny Martinov</t>
  </si>
  <si>
    <r>
      <t>"základ pro infopanel uvnitř (návrh-předpoklad)" 1,5*0,6*1,5</t>
    </r>
    <r>
      <rPr>
        <strike/>
        <sz val="8"/>
        <rFont val="Arial CE"/>
        <family val="2"/>
        <charset val="238"/>
      </rPr>
      <t xml:space="preserve"> </t>
    </r>
  </si>
  <si>
    <r>
      <t>"základ pro pylon (návrh-předpoklad)"</t>
    </r>
    <r>
      <rPr>
        <strike/>
        <sz val="8"/>
        <rFont val="Arial CE"/>
        <family val="2"/>
        <charset val="238"/>
      </rPr>
      <t xml:space="preserve"> </t>
    </r>
    <r>
      <rPr>
        <sz val="8"/>
        <rFont val="Arial CE"/>
        <family val="2"/>
        <charset val="238"/>
      </rPr>
      <t>1,0*1,0*1,2</t>
    </r>
  </si>
  <si>
    <t>typ dlažby např. MILANO přírodní  kombinace rozměrů 80/40,40/20,20/20 výrobce DITON nebo možno použít jiného dodavatele adekvátní totožných technických parametrů</t>
  </si>
  <si>
    <t>30,0*1,1 'Přepočtené koeficientem množství</t>
  </si>
  <si>
    <t>346,425*1,1 'Přepočtené koeficientem množství</t>
  </si>
  <si>
    <t>minerální izolace uvažována na podhledu v místě troleje - PBŘ</t>
  </si>
  <si>
    <r>
      <t>"obnova povrchů sloupů a pilířů" (2*3,14*0,25)*((4,0*17+0,7*4)+</t>
    </r>
    <r>
      <rPr>
        <strike/>
        <sz val="8"/>
        <rFont val="Arial CE"/>
        <family val="2"/>
        <charset val="238"/>
      </rPr>
      <t>(</t>
    </r>
    <r>
      <rPr>
        <sz val="8"/>
        <rFont val="Arial CE"/>
        <family val="2"/>
        <charset val="238"/>
      </rPr>
      <t>1,5*20</t>
    </r>
    <r>
      <rPr>
        <strike/>
        <sz val="8"/>
        <rFont val="Arial CE"/>
        <family val="2"/>
        <charset val="238"/>
      </rPr>
      <t>)</t>
    </r>
    <r>
      <rPr>
        <sz val="8"/>
        <rFont val="Arial CE"/>
        <family val="2"/>
        <charset val="238"/>
      </rPr>
      <t>)</t>
    </r>
  </si>
  <si>
    <t>"obnova povrchů sloupů a pilířů" (2*3,14*0,25)*((4,0*17+0,7*4)+(1,5*20))</t>
  </si>
  <si>
    <t>isover TOP V 100mm, λD = 0,040 (W·m-1·K-1),1000x333x100mm, pevnost v tahu TR 30kPa, Fasádní minerální izolace s kolmým vláknem.</t>
  </si>
  <si>
    <t xml:space="preserve">Poznámka k položce:_x000D_
JC obsahuje : kompletní systémové dodávky a provedení dle specifikace PD a TZ včetně všech přímo souvisejících prací/činností a dodávek/doplňků/příslušenstvíTechnické parametry:
Max. délka ramene 5 m
Napájení 230 V
Typ provozu intenzívní
Výrobce Kdy Automat ion
Čas otevření 5 s
Příkon 200 W
Pracovní teplota -20 +50 °C
Řídicí jednotka CT-10224
Typ motoru 24 V
Hmotnost 52.822 kg  1 automatická závora, vč. řídící jednotky a veškerého příslušenství, slouží pro vjezd i výjezd
 v prostoru závory pohybové čidlo, pokud závora při zavírání narazí na překážku nebo čidlo zaznamená pohyb, vrátí se závora zpět do pozice otevřeno
 závora se zavře bezprostředně po průjezdu každého vozidla
 při výpadku napájení se závora automaticky uvede do polohy otevřeno
 závoru možno ovládat ručním pohonem
 monitorovací kamera na vjezd s funkcí čtení RZ – kamera nepořizuje záznam
 kamera musí být funkční bez ohledu na světelné nebo povětrnostní podmínky
 při vjezdu automatické otvírání dle RZ vozidla (pokud není RZ v systému, závora se neotevře)
 při výjezdu automatické otvírání na fotobuňku
 datové spojení nutno zajistit přes GSM
 oprávnění pro vjezd lze nastavovat dálkově v obslužném SW v reálném čase (vkládání či odstraňování povolení vjezdu, dočasné povolení vjezdu, hromadné mazání oprávnění apod.) 
Ke zvážení:
Semafor, popř. jiná signalizace, regulující průjezd – při plném otevření závory signál volno, při zavřené závoře nebo jejím pohybu signál stůj
elektronická evidence průjezdů vozidel se záznamem snímku jednotlivých vozidel v režimu „příjezd/odjezd“ 
SW spravující oprávnění vjezdu 
vč. napojení do Dohledového centra, kde DPO disponuje grafickou nadstavbou výrobce C.G.C. a.s. a jejich softwarem SBI ver 6.1. a vyšší – možno využít jako základ pro kontrolu vjezdu pro všechny areály
</t>
  </si>
  <si>
    <r>
      <t>578,282*</t>
    </r>
    <r>
      <rPr>
        <sz val="8"/>
        <rFont val="Arial CE"/>
        <family val="2"/>
        <charset val="238"/>
      </rPr>
      <t>10</t>
    </r>
    <r>
      <rPr>
        <sz val="8"/>
        <color rgb="FF505050"/>
        <rFont val="Arial CE"/>
        <family val="2"/>
        <charset val="238"/>
      </rPr>
      <t xml:space="preserve"> 'Přepočtené koeficientem množství</t>
    </r>
  </si>
  <si>
    <t>D+M _ výměna závor 2x , turniket u vstupu, vč. potřebných přívodů)</t>
  </si>
  <si>
    <t xml:space="preserve">D+M _ závory vně areálu  + 35 mb kabelu vč. chráničky </t>
  </si>
  <si>
    <t>Poznámka k položce:_x000D_
JC obsahuje : kompletní systémové dodávky a provedení dle specifikace PD a TZ včetně všech přímo souvisejících prací/činností a dodávek/doplňků/příslušenství_x000D_
Technické parametry:_x000D_
Max. délka ramene	5 m_x000D_
Napájení	230 V_x000D_
Typ provozu	intenzívní_x000D_
Výrobce	Kdy Automat ion_x000D_
Čas otevření	5 s_x000D_
Příkon	200 W_x000D_
Pracovní teplota	-20 +50 °C_x000D_
Řídicí jednotka	CT-10224_x000D_
Typ motoru	24 V_x000D_
Hmotnost	52.822 kg_x000D_  1 automatická závora, vč. řídící jednotky a veškerého příslušenství, slouží pro vjezd i výjezd
 v prostoru závory pohybové čidlo, pokud závora při zavírání narazí na překážku nebo čidlo zaznamená pohyb, vrátí se závora zpět do pozice otevřeno
 závora se zavře bezprostředně po průjezdu každého vozidla
 při výpadku napájení se závora automaticky uvede do polohy otevřeno
 závoru možno ovládat ručním pohonem
 monitorovací kamera na vjezd s funkcí čtení RZ – kamera nepořizuje záznam
 kamera musí být funkční bez ohledu na světelné nebo povětrnostní podmínky
 při vjezdu automatické otvírání dle RZ vozidla (pokud není RZ v systému, závora se neotevře)
 při výjezdu automatické otvírání na fotobuňku
 datové spojení nutno zajistit přes GSM
 oprávnění pro vjezd lze nastavovat dálkově v obslužném SW v reálném čase (vkládání či odstraňování povolení vjezdu, dočasné povolení vjezdu, hromadné mazání oprávnění apod.) 
Ke zvážení:
Semafor, popř. jiná signalizace, regulující průjezd – při plném otevření závory signál volno, při zavřené závoře nebo jejím pohybu signál stůj
elektronická evidence průjezdů vozidel se záznamem snímku jednotlivých vozidel v režimu „příjezd/odjezd“ 
SW spravující oprávnění vjezdu 
vč. napojení do Dohledového centra, kde DPO disponuje grafickou nadstavbou výrobce C.G.C. a.s. a jejich softwarem SBI ver 6.1. a vyšší – možno využít jako základ pro kontrolu vjezdu pro všechny areály
-----------------------------------------_x000D_
Turniket:_x000D_
Hlavní funkce turniketu _x000D_
•Plně automatický_x000D_
•Tělo turniketu je vyrobeno z nerezu. _x000D_
•Obousměrný průchod (oba směry lze nastavit jako řízený režim nebo volný režim)_x000D_
•Funkce nouzového úniku - prostřední rameno se automaticky spustí dolů stisknutím nouzového tlačítka, které lze dálkově ovládat bez ohledu na to, zda je zapnuto napájení napájení zapnuto nebo ne_x000D_
•Při výpadku napájení se sklopí horní rameno, při obnovení se automaticky zvedne._x000D_
•Indikátor povolení a zamezení vstupu (červená x zelená)_x000D_
•Nastavení času průchodu - pokud v nastaveném čase osoba neprojde, průchod zůstane zavřený_x000D_
•Obsahuje rozhraní reléového spínače (suchý kontaktní signál nebo + 12V elektrický signál úrovně nebo DC12V pulzní signál šířky pulzu ≥ 100ms, budicí proud ≥ 10mA), kompatibilní s různými druhy přístupových systémů_x000D_
•Nastavení rychlosti otočení ramen_x000D_
•Možnost připojení RFID čteček pro průchod tam i zpět_x000D_
•Možnost připojení externího tlačítka např. z recepce_x000D_
------------------------------------------------------------------</t>
  </si>
  <si>
    <t>Uchazeč:</t>
  </si>
  <si>
    <t>vyplň údaj</t>
  </si>
  <si>
    <t>Z-01-Z-06 _ D+M oplocení z tahokovu vč. dveří - viz. příloha č.15 ZD výkaz zámečnických prvků</t>
  </si>
  <si>
    <t>Poplatek za uložení stavebního odpadu na recyklační skládce (skládkovné) z prostého betonu kód odpadu 17 01 01</t>
  </si>
  <si>
    <t>997013861</t>
  </si>
  <si>
    <t>Poplatek za uložení stavebního odpadu na recyklační skládce (skládkovné) asfaltového bez obsahu dehtu zatříděného do Katalogu odpadů pod kódem 17 03 02</t>
  </si>
  <si>
    <t>997013875</t>
  </si>
  <si>
    <t>Poplatek za uložení stavebního odpadu na recyklační skládce (skládkovné) ze směsí betonu, cihel a keramických výrobků kód odpadu 17 01 07</t>
  </si>
  <si>
    <t>997013869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</si>
</sst>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  <font>
      <sz val="9"/>
      <color rgb="FFFF0000"/>
      <name val="Arial CE"/>
      <family val="2"/>
      <charset val="238"/>
    </font>
    <font>
      <strike/>
      <sz val="9"/>
      <color rgb="FFFF0000"/>
      <name val="Arial CE"/>
      <family val="2"/>
      <charset val="238"/>
    </font>
    <font>
      <sz val="10"/>
      <name val="Arial CE"/>
      <family val="2"/>
      <charset val="238"/>
    </font>
    <font>
      <sz val="8"/>
      <color rgb="FFFF0000"/>
      <name val="Arial CE"/>
      <family val="2"/>
    </font>
    <font>
      <sz val="9"/>
      <color rgb="FFFF0000"/>
      <name val="Arial CE"/>
      <family val="2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8"/>
      <color rgb="FFFF0000"/>
      <name val="Arial CE"/>
      <family val="2"/>
      <charset val="238"/>
    </font>
    <font>
      <i/>
      <sz val="8"/>
      <color rgb="FFFF0000"/>
      <name val="Arial CE"/>
      <family val="2"/>
    </font>
    <font>
      <sz val="8"/>
      <color rgb="FFC00000"/>
      <name val="Arial CE"/>
      <family val="2"/>
    </font>
    <font>
      <sz val="9"/>
      <color rgb="FFC00000"/>
      <name val="Arial CE"/>
      <family val="2"/>
    </font>
    <font>
      <sz val="8"/>
      <color rgb="FFC00000"/>
      <name val="Arial CE"/>
      <family val="2"/>
      <charset val="238"/>
    </font>
    <font>
      <sz val="8"/>
      <name val="Arial CE"/>
      <family val="2"/>
      <charset val="238"/>
    </font>
    <font>
      <strike/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10"/>
      <color rgb="FF969696"/>
      <name val="Arial CE"/>
      <family val="2"/>
      <charset val="238"/>
    </font>
    <font>
      <sz val="8"/>
      <name val="Arial CE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FFFFCC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hair">
        <color rgb="FF969696"/>
      </top>
      <bottom style="hair">
        <color rgb="FF969696"/>
      </bottom>
      <diagonal/>
    </border>
    <border>
      <left/>
      <right style="thin">
        <color auto="1"/>
      </right>
      <top/>
      <bottom style="hair">
        <color rgb="FF969696"/>
      </bottom>
      <diagonal/>
    </border>
    <border>
      <left/>
      <right style="thin">
        <color auto="1"/>
      </right>
      <top style="hair">
        <color rgb="FF969696"/>
      </top>
      <bottom/>
      <diagonal/>
    </border>
    <border>
      <left/>
      <right style="thin">
        <color auto="1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36" fillId="0" borderId="0" applyNumberFormat="0" applyFill="0" applyBorder="0" applyAlignment="0" applyProtection="0"/>
    <xf numFmtId="0" fontId="56" fillId="6" borderId="29" applyNumberFormat="0" applyFont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7" fillId="0" borderId="22" xfId="0" applyFont="1" applyBorder="1" applyAlignment="1" applyProtection="1">
      <alignment horizontal="left" vertical="center" wrapText="1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41" fillId="0" borderId="3" xfId="0" applyFont="1" applyBorder="1" applyAlignment="1">
      <alignment vertical="center"/>
    </xf>
    <xf numFmtId="0" fontId="42" fillId="0" borderId="14" xfId="0" applyFont="1" applyBorder="1" applyAlignment="1">
      <alignment horizontal="left" vertical="center"/>
    </xf>
    <xf numFmtId="0" fontId="42" fillId="0" borderId="0" xfId="0" applyFont="1" applyBorder="1" applyAlignment="1">
      <alignment horizontal="center" vertical="center"/>
    </xf>
    <xf numFmtId="166" fontId="42" fillId="0" borderId="0" xfId="0" applyNumberFormat="1" applyFont="1" applyBorder="1" applyAlignment="1">
      <alignment vertical="center"/>
    </xf>
    <xf numFmtId="166" fontId="42" fillId="0" borderId="15" xfId="0" applyNumberFormat="1" applyFont="1" applyBorder="1" applyAlignment="1">
      <alignment vertical="center"/>
    </xf>
    <xf numFmtId="0" fontId="41" fillId="0" borderId="0" xfId="0" applyFont="1" applyAlignment="1">
      <alignment vertical="center"/>
    </xf>
    <xf numFmtId="0" fontId="41" fillId="0" borderId="14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1" fillId="0" borderId="15" xfId="0" applyFont="1" applyBorder="1" applyAlignment="1">
      <alignment vertical="center"/>
    </xf>
    <xf numFmtId="0" fontId="43" fillId="0" borderId="0" xfId="0" applyFont="1" applyAlignment="1">
      <alignment horizontal="left" vertical="center" wrapText="1"/>
    </xf>
    <xf numFmtId="0" fontId="45" fillId="0" borderId="3" xfId="0" applyFont="1" applyBorder="1" applyAlignment="1">
      <alignment vertical="center"/>
    </xf>
    <xf numFmtId="0" fontId="43" fillId="0" borderId="3" xfId="0" applyFont="1" applyBorder="1" applyAlignment="1">
      <alignment vertical="center"/>
    </xf>
    <xf numFmtId="0" fontId="44" fillId="0" borderId="0" xfId="0" applyFont="1" applyAlignment="1">
      <alignment horizontal="left" vertical="center" wrapText="1"/>
    </xf>
    <xf numFmtId="167" fontId="44" fillId="0" borderId="0" xfId="0" applyNumberFormat="1" applyFont="1" applyAlignment="1">
      <alignment vertical="center"/>
    </xf>
    <xf numFmtId="0" fontId="46" fillId="0" borderId="3" xfId="0" applyFont="1" applyBorder="1" applyAlignment="1">
      <alignment vertical="center"/>
    </xf>
    <xf numFmtId="0" fontId="21" fillId="0" borderId="22" xfId="0" applyFont="1" applyFill="1" applyBorder="1" applyAlignment="1" applyProtection="1">
      <alignment horizontal="center" vertical="center"/>
      <protection locked="0"/>
    </xf>
    <xf numFmtId="49" fontId="21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0" borderId="22" xfId="0" applyFont="1" applyFill="1" applyBorder="1" applyAlignment="1" applyProtection="1">
      <alignment horizontal="left" vertical="center" wrapText="1"/>
      <protection locked="0"/>
    </xf>
    <xf numFmtId="0" fontId="21" fillId="0" borderId="22" xfId="0" applyFont="1" applyFill="1" applyBorder="1" applyAlignment="1" applyProtection="1">
      <alignment horizontal="center" vertical="center" wrapText="1"/>
      <protection locked="0"/>
    </xf>
    <xf numFmtId="4" fontId="21" fillId="0" borderId="22" xfId="0" applyNumberFormat="1" applyFont="1" applyFill="1" applyBorder="1" applyAlignment="1" applyProtection="1">
      <alignment vertical="center"/>
      <protection locked="0"/>
    </xf>
    <xf numFmtId="0" fontId="41" fillId="0" borderId="3" xfId="0" applyFont="1" applyFill="1" applyBorder="1" applyAlignment="1">
      <alignment vertical="center"/>
    </xf>
    <xf numFmtId="0" fontId="22" fillId="0" borderId="14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" vertical="center"/>
    </xf>
    <xf numFmtId="166" fontId="22" fillId="0" borderId="0" xfId="0" applyNumberFormat="1" applyFont="1" applyFill="1" applyBorder="1" applyAlignment="1">
      <alignment vertical="center"/>
    </xf>
    <xf numFmtId="166" fontId="22" fillId="0" borderId="15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44" fillId="0" borderId="3" xfId="0" applyFont="1" applyBorder="1" applyAlignment="1">
      <alignment vertical="center"/>
    </xf>
    <xf numFmtId="0" fontId="44" fillId="0" borderId="3" xfId="0" applyFont="1" applyBorder="1" applyAlignment="1"/>
    <xf numFmtId="0" fontId="41" fillId="0" borderId="3" xfId="0" applyFont="1" applyBorder="1" applyAlignment="1"/>
    <xf numFmtId="0" fontId="8" fillId="0" borderId="0" xfId="0" applyFont="1" applyFill="1" applyAlignment="1"/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4" fontId="7" fillId="0" borderId="0" xfId="0" applyNumberFormat="1" applyFont="1" applyFill="1" applyAlignment="1"/>
    <xf numFmtId="0" fontId="8" fillId="0" borderId="3" xfId="0" applyFont="1" applyFill="1" applyBorder="1" applyAlignment="1"/>
    <xf numFmtId="0" fontId="8" fillId="0" borderId="14" xfId="0" applyFont="1" applyFill="1" applyBorder="1" applyAlignment="1"/>
    <xf numFmtId="0" fontId="8" fillId="0" borderId="0" xfId="0" applyFont="1" applyFill="1" applyBorder="1" applyAlignment="1"/>
    <xf numFmtId="166" fontId="8" fillId="0" borderId="0" xfId="0" applyNumberFormat="1" applyFont="1" applyFill="1" applyBorder="1" applyAlignment="1"/>
    <xf numFmtId="166" fontId="8" fillId="0" borderId="15" xfId="0" applyNumberFormat="1" applyFont="1" applyFill="1" applyBorder="1" applyAlignment="1"/>
    <xf numFmtId="0" fontId="41" fillId="0" borderId="3" xfId="0" applyFont="1" applyFill="1" applyBorder="1" applyAlignment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23" xfId="0" applyFont="1" applyBorder="1" applyAlignment="1">
      <alignment vertical="center"/>
    </xf>
    <xf numFmtId="0" fontId="47" fillId="0" borderId="3" xfId="0" applyFont="1" applyBorder="1" applyAlignment="1">
      <alignment vertical="center"/>
    </xf>
    <xf numFmtId="0" fontId="48" fillId="0" borderId="14" xfId="0" applyFont="1" applyBorder="1" applyAlignment="1">
      <alignment horizontal="left" vertical="center"/>
    </xf>
    <xf numFmtId="0" fontId="48" fillId="0" borderId="0" xfId="0" applyFont="1" applyBorder="1" applyAlignment="1">
      <alignment horizontal="center" vertical="center"/>
    </xf>
    <xf numFmtId="166" fontId="48" fillId="0" borderId="0" xfId="0" applyNumberFormat="1" applyFont="1" applyBorder="1" applyAlignment="1">
      <alignment vertical="center"/>
    </xf>
    <xf numFmtId="166" fontId="48" fillId="0" borderId="15" xfId="0" applyNumberFormat="1" applyFont="1" applyBorder="1" applyAlignment="1">
      <alignment vertical="center"/>
    </xf>
    <xf numFmtId="0" fontId="47" fillId="0" borderId="0" xfId="0" applyFont="1" applyAlignment="1">
      <alignment vertical="center"/>
    </xf>
    <xf numFmtId="0" fontId="49" fillId="0" borderId="3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21" fillId="5" borderId="22" xfId="0" applyFont="1" applyFill="1" applyBorder="1" applyAlignment="1" applyProtection="1">
      <alignment horizontal="center" vertical="center"/>
      <protection locked="0"/>
    </xf>
    <xf numFmtId="49" fontId="21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5" borderId="22" xfId="0" applyFont="1" applyFill="1" applyBorder="1" applyAlignment="1" applyProtection="1">
      <alignment horizontal="left" vertical="center" wrapText="1"/>
      <protection locked="0"/>
    </xf>
    <xf numFmtId="0" fontId="21" fillId="5" borderId="22" xfId="0" applyFont="1" applyFill="1" applyBorder="1" applyAlignment="1" applyProtection="1">
      <alignment horizontal="center" vertical="center" wrapText="1"/>
      <protection locked="0"/>
    </xf>
    <xf numFmtId="4" fontId="21" fillId="5" borderId="22" xfId="0" applyNumberFormat="1" applyFont="1" applyFill="1" applyBorder="1" applyAlignment="1" applyProtection="1">
      <alignment vertical="center"/>
      <protection locked="0"/>
    </xf>
    <xf numFmtId="49" fontId="37" fillId="0" borderId="22" xfId="0" applyNumberFormat="1" applyFont="1" applyFill="1" applyBorder="1" applyAlignment="1" applyProtection="1">
      <alignment horizontal="center" vertical="center"/>
      <protection locked="0"/>
    </xf>
    <xf numFmtId="167" fontId="21" fillId="0" borderId="22" xfId="0" applyNumberFormat="1" applyFont="1" applyFill="1" applyBorder="1" applyAlignment="1" applyProtection="1">
      <alignment vertical="center"/>
      <protection locked="0"/>
    </xf>
    <xf numFmtId="49" fontId="37" fillId="0" borderId="0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49" fontId="2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167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49" fontId="35" fillId="0" borderId="0" xfId="0" applyNumberFormat="1" applyFont="1" applyBorder="1" applyAlignment="1" applyProtection="1">
      <alignment horizontal="left" vertical="center" wrapText="1"/>
      <protection locked="0"/>
    </xf>
    <xf numFmtId="0" fontId="35" fillId="0" borderId="0" xfId="0" applyFont="1" applyBorder="1" applyAlignment="1" applyProtection="1">
      <alignment horizontal="left" vertical="center" wrapText="1"/>
      <protection locked="0"/>
    </xf>
    <xf numFmtId="0" fontId="35" fillId="0" borderId="0" xfId="0" applyFont="1" applyBorder="1" applyAlignment="1" applyProtection="1">
      <alignment horizontal="center" vertical="center" wrapText="1"/>
      <protection locked="0"/>
    </xf>
    <xf numFmtId="167" fontId="35" fillId="0" borderId="0" xfId="0" applyNumberFormat="1" applyFont="1" applyBorder="1" applyAlignment="1" applyProtection="1">
      <alignment vertical="center"/>
      <protection locked="0"/>
    </xf>
    <xf numFmtId="4" fontId="35" fillId="0" borderId="0" xfId="0" applyNumberFormat="1" applyFont="1" applyBorder="1" applyAlignment="1" applyProtection="1">
      <alignment vertical="center"/>
      <protection locked="0"/>
    </xf>
    <xf numFmtId="0" fontId="33" fillId="0" borderId="0" xfId="0" applyFont="1" applyFill="1" applyAlignment="1">
      <alignment horizontal="left" vertical="center"/>
    </xf>
    <xf numFmtId="0" fontId="34" fillId="0" borderId="0" xfId="0" applyFont="1" applyFill="1" applyAlignment="1">
      <alignment vertical="center" wrapText="1"/>
    </xf>
    <xf numFmtId="0" fontId="0" fillId="0" borderId="17" xfId="0" applyFont="1" applyFill="1" applyBorder="1" applyAlignment="1">
      <alignment vertical="center"/>
    </xf>
    <xf numFmtId="0" fontId="0" fillId="0" borderId="25" xfId="0" applyFont="1" applyFill="1" applyBorder="1" applyAlignment="1">
      <alignment vertical="center"/>
    </xf>
    <xf numFmtId="0" fontId="0" fillId="0" borderId="24" xfId="0" applyFont="1" applyFill="1" applyBorder="1" applyAlignment="1">
      <alignment vertical="center"/>
    </xf>
    <xf numFmtId="0" fontId="21" fillId="0" borderId="20" xfId="0" applyFont="1" applyFill="1" applyBorder="1" applyAlignment="1" applyProtection="1">
      <alignment horizontal="center" vertical="center"/>
      <protection locked="0"/>
    </xf>
    <xf numFmtId="49" fontId="21" fillId="0" borderId="20" xfId="0" applyNumberFormat="1" applyFont="1" applyFill="1" applyBorder="1" applyAlignment="1" applyProtection="1">
      <alignment horizontal="left" vertical="center" wrapText="1"/>
      <protection locked="0"/>
    </xf>
    <xf numFmtId="0" fontId="21" fillId="0" borderId="20" xfId="0" applyFont="1" applyFill="1" applyBorder="1" applyAlignment="1" applyProtection="1">
      <alignment horizontal="left" vertical="center" wrapText="1"/>
      <protection locked="0"/>
    </xf>
    <xf numFmtId="0" fontId="21" fillId="0" borderId="20" xfId="0" applyFont="1" applyFill="1" applyBorder="1" applyAlignment="1" applyProtection="1">
      <alignment horizontal="center" vertical="center" wrapText="1"/>
      <protection locked="0"/>
    </xf>
    <xf numFmtId="167" fontId="21" fillId="0" borderId="20" xfId="0" applyNumberFormat="1" applyFont="1" applyFill="1" applyBorder="1" applyAlignment="1" applyProtection="1">
      <alignment vertical="center"/>
      <protection locked="0"/>
    </xf>
    <xf numFmtId="4" fontId="21" fillId="0" borderId="20" xfId="0" applyNumberFormat="1" applyFont="1" applyFill="1" applyBorder="1" applyAlignment="1" applyProtection="1">
      <alignment vertical="center"/>
      <protection locked="0"/>
    </xf>
    <xf numFmtId="14" fontId="40" fillId="0" borderId="0" xfId="0" applyNumberFormat="1" applyFont="1" applyAlignment="1">
      <alignment horizontal="left" vertical="center"/>
    </xf>
    <xf numFmtId="0" fontId="50" fillId="0" borderId="0" xfId="0" applyFont="1" applyFill="1" applyBorder="1" applyAlignment="1" applyProtection="1">
      <alignment horizontal="left" vertical="center" wrapText="1"/>
      <protection locked="0"/>
    </xf>
    <xf numFmtId="0" fontId="50" fillId="0" borderId="0" xfId="0" applyFont="1" applyAlignment="1">
      <alignment horizontal="left" vertical="center" wrapText="1"/>
    </xf>
    <xf numFmtId="167" fontId="50" fillId="0" borderId="0" xfId="0" applyNumberFormat="1" applyFont="1" applyAlignment="1">
      <alignment vertical="center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167" fontId="37" fillId="0" borderId="22" xfId="0" applyNumberFormat="1" applyFont="1" applyFill="1" applyBorder="1" applyAlignment="1" applyProtection="1">
      <alignment vertical="center"/>
      <protection locked="0"/>
    </xf>
    <xf numFmtId="0" fontId="52" fillId="0" borderId="0" xfId="0" applyFont="1" applyBorder="1" applyAlignment="1" applyProtection="1">
      <alignment horizontal="left" vertical="center" wrapText="1"/>
      <protection locked="0"/>
    </xf>
    <xf numFmtId="0" fontId="53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Fill="1" applyBorder="1" applyAlignment="1" applyProtection="1">
      <alignment horizontal="center" vertical="center"/>
      <protection locked="0"/>
    </xf>
    <xf numFmtId="49" fontId="35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35" fillId="0" borderId="22" xfId="0" applyFont="1" applyFill="1" applyBorder="1" applyAlignment="1" applyProtection="1">
      <alignment horizontal="left" vertical="center" wrapText="1"/>
      <protection locked="0"/>
    </xf>
    <xf numFmtId="0" fontId="35" fillId="0" borderId="22" xfId="0" applyFont="1" applyFill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Fill="1" applyBorder="1" applyAlignment="1" applyProtection="1">
      <alignment vertical="center"/>
      <protection locked="0"/>
    </xf>
    <xf numFmtId="0" fontId="46" fillId="0" borderId="3" xfId="0" applyFont="1" applyFill="1" applyBorder="1" applyAlignment="1">
      <alignment vertical="center"/>
    </xf>
    <xf numFmtId="0" fontId="35" fillId="0" borderId="14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center" vertical="center"/>
    </xf>
    <xf numFmtId="0" fontId="53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0" fontId="39" fillId="0" borderId="20" xfId="0" applyFont="1" applyBorder="1" applyAlignment="1" applyProtection="1">
      <alignment horizontal="center" vertical="center"/>
      <protection locked="0"/>
    </xf>
    <xf numFmtId="49" fontId="39" fillId="0" borderId="20" xfId="0" applyNumberFormat="1" applyFont="1" applyBorder="1" applyAlignment="1" applyProtection="1">
      <alignment horizontal="left" vertical="center" wrapText="1"/>
      <protection locked="0"/>
    </xf>
    <xf numFmtId="0" fontId="39" fillId="0" borderId="20" xfId="0" applyFont="1" applyBorder="1" applyAlignment="1" applyProtection="1">
      <alignment horizontal="left" vertical="center" wrapText="1"/>
      <protection locked="0"/>
    </xf>
    <xf numFmtId="0" fontId="39" fillId="0" borderId="20" xfId="0" applyFont="1" applyBorder="1" applyAlignment="1" applyProtection="1">
      <alignment horizontal="center" vertical="center" wrapText="1"/>
      <protection locked="0"/>
    </xf>
    <xf numFmtId="167" fontId="39" fillId="0" borderId="20" xfId="0" applyNumberFormat="1" applyFont="1" applyBorder="1" applyAlignment="1" applyProtection="1">
      <alignment vertical="center"/>
      <protection locked="0"/>
    </xf>
    <xf numFmtId="4" fontId="39" fillId="0" borderId="20" xfId="0" applyNumberFormat="1" applyFont="1" applyBorder="1" applyAlignment="1" applyProtection="1">
      <alignment vertical="center"/>
      <protection locked="0"/>
    </xf>
    <xf numFmtId="0" fontId="39" fillId="0" borderId="26" xfId="0" applyFont="1" applyBorder="1" applyAlignment="1" applyProtection="1">
      <alignment horizontal="left" vertical="center" wrapText="1"/>
      <protection locked="0"/>
    </xf>
    <xf numFmtId="0" fontId="0" fillId="0" borderId="3" xfId="0" applyFont="1" applyFill="1" applyBorder="1" applyAlignment="1" applyProtection="1">
      <alignment vertical="center"/>
      <protection locked="0"/>
    </xf>
    <xf numFmtId="0" fontId="54" fillId="0" borderId="0" xfId="0" applyFont="1" applyAlignment="1">
      <alignment vertical="center" wrapText="1"/>
    </xf>
    <xf numFmtId="167" fontId="37" fillId="5" borderId="22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166" fontId="8" fillId="0" borderId="0" xfId="0" applyNumberFormat="1" applyFont="1" applyAlignment="1"/>
    <xf numFmtId="4" fontId="6" fillId="0" borderId="0" xfId="0" applyNumberFormat="1" applyFont="1" applyFill="1" applyAlignment="1"/>
    <xf numFmtId="0" fontId="0" fillId="0" borderId="27" xfId="0" applyFont="1" applyBorder="1" applyAlignment="1">
      <alignment vertical="center"/>
    </xf>
    <xf numFmtId="0" fontId="0" fillId="0" borderId="28" xfId="0" applyFont="1" applyBorder="1" applyAlignment="1">
      <alignment vertical="center"/>
    </xf>
    <xf numFmtId="0" fontId="0" fillId="0" borderId="9" xfId="0" applyBorder="1"/>
    <xf numFmtId="0" fontId="55" fillId="0" borderId="0" xfId="0" applyFont="1" applyAlignment="1">
      <alignment horizontal="left" vertical="center"/>
    </xf>
    <xf numFmtId="0" fontId="40" fillId="6" borderId="0" xfId="0" applyFont="1" applyFill="1" applyAlignment="1" applyProtection="1">
      <alignment horizontal="left" vertical="center"/>
      <protection locked="0"/>
    </xf>
    <xf numFmtId="4" fontId="21" fillId="7" borderId="22" xfId="0" applyNumberFormat="1" applyFont="1" applyFill="1" applyBorder="1" applyAlignment="1" applyProtection="1">
      <alignment vertical="center"/>
      <protection locked="0"/>
    </xf>
    <xf numFmtId="4" fontId="37" fillId="7" borderId="22" xfId="0" applyNumberFormat="1" applyFont="1" applyFill="1" applyBorder="1" applyAlignment="1" applyProtection="1">
      <alignment vertical="center"/>
      <protection locked="0"/>
    </xf>
    <xf numFmtId="4" fontId="35" fillId="7" borderId="22" xfId="0" applyNumberFormat="1" applyFont="1" applyFill="1" applyBorder="1" applyAlignment="1" applyProtection="1">
      <alignment vertical="center"/>
      <protection locked="0"/>
    </xf>
    <xf numFmtId="167" fontId="21" fillId="5" borderId="22" xfId="0" applyNumberFormat="1" applyFont="1" applyFill="1" applyBorder="1" applyAlignment="1" applyProtection="1">
      <alignment vertical="center"/>
      <protection locked="0"/>
    </xf>
    <xf numFmtId="0" fontId="0" fillId="5" borderId="3" xfId="0" applyFont="1" applyFill="1" applyBorder="1" applyAlignment="1">
      <alignment vertical="center"/>
    </xf>
    <xf numFmtId="4" fontId="21" fillId="6" borderId="29" xfId="2" applyNumberFormat="1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40" fillId="6" borderId="0" xfId="0" applyFont="1" applyFill="1" applyAlignment="1" applyProtection="1">
      <alignment horizontal="left" vertical="center"/>
      <protection locked="0"/>
    </xf>
    <xf numFmtId="0" fontId="4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3">
    <cellStyle name="Hypertextový odkaz" xfId="1" builtinId="8"/>
    <cellStyle name="Normální" xfId="0" builtinId="0" customBuiltin="1"/>
    <cellStyle name="Poznámka" xfId="2" builtinId="10"/>
  </cellStyles>
  <dxfs count="0"/>
  <tableStyles count="0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rohmanm\AppData\Local\Microsoft\Windows\INetCache\Content.Outlook\VFBKZSUA\P&#345;&#237;loha%20&#269;.%203%20%20Ocen&#283;n&#253;%20soupis%20prac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.1 - Stavebně technický ..."/>
    </sheetNames>
    <sheetDataSet>
      <sheetData sheetId="0"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AI19" sqref="AI19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" customHeight="1">
      <c r="AR2" s="342" t="s">
        <v>5</v>
      </c>
      <c r="AS2" s="325"/>
      <c r="AT2" s="325"/>
      <c r="AU2" s="325"/>
      <c r="AV2" s="325"/>
      <c r="AW2" s="325"/>
      <c r="AX2" s="325"/>
      <c r="AY2" s="325"/>
      <c r="AZ2" s="325"/>
      <c r="BA2" s="325"/>
      <c r="BB2" s="325"/>
      <c r="BC2" s="325"/>
      <c r="BD2" s="325"/>
      <c r="BE2" s="325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324" t="s">
        <v>13</v>
      </c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R5" s="21"/>
      <c r="BS5" s="18" t="s">
        <v>6</v>
      </c>
    </row>
    <row r="6" spans="1:74" s="1" customFormat="1" ht="36.9" customHeight="1">
      <c r="B6" s="21"/>
      <c r="D6" s="26" t="s">
        <v>14</v>
      </c>
      <c r="K6" s="326" t="s">
        <v>15</v>
      </c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76">
        <v>45595</v>
      </c>
      <c r="AR8" s="21"/>
      <c r="BS8" s="18" t="s">
        <v>6</v>
      </c>
    </row>
    <row r="9" spans="1:74" s="1" customFormat="1" ht="14.4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21</v>
      </c>
      <c r="AK10" s="27" t="s">
        <v>22</v>
      </c>
      <c r="AN10" s="25" t="s">
        <v>1</v>
      </c>
      <c r="AR10" s="21"/>
      <c r="BS10" s="18" t="s">
        <v>6</v>
      </c>
    </row>
    <row r="11" spans="1:74" s="1" customFormat="1" ht="18.45" customHeight="1">
      <c r="B11" s="21"/>
      <c r="E11" s="25" t="s">
        <v>23</v>
      </c>
      <c r="AK11" s="27" t="s">
        <v>24</v>
      </c>
      <c r="AN11" s="25" t="s">
        <v>1</v>
      </c>
      <c r="AR11" s="21"/>
      <c r="BS11" s="18" t="s">
        <v>6</v>
      </c>
    </row>
    <row r="12" spans="1:74" s="1" customFormat="1" ht="6.9" customHeight="1">
      <c r="B12" s="21"/>
      <c r="AR12" s="21"/>
      <c r="BS12" s="18" t="s">
        <v>6</v>
      </c>
    </row>
    <row r="13" spans="1:74" s="1" customFormat="1" ht="12" customHeight="1">
      <c r="B13" s="21"/>
      <c r="D13" s="316" t="s">
        <v>830</v>
      </c>
      <c r="E13" s="295"/>
      <c r="AK13" s="27" t="s">
        <v>22</v>
      </c>
      <c r="AN13" s="317" t="s">
        <v>831</v>
      </c>
      <c r="AR13" s="21"/>
      <c r="BS13" s="18" t="s">
        <v>6</v>
      </c>
    </row>
    <row r="14" spans="1:74" ht="13.2">
      <c r="B14" s="21"/>
      <c r="E14" s="331" t="s">
        <v>831</v>
      </c>
      <c r="F14" s="332"/>
      <c r="G14" s="332"/>
      <c r="H14" s="332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33"/>
      <c r="AC14" s="333"/>
      <c r="AD14" s="333"/>
      <c r="AE14" s="333"/>
      <c r="AF14" s="333"/>
      <c r="AG14" s="333"/>
      <c r="AH14" s="333"/>
      <c r="AI14" s="333"/>
      <c r="AJ14" s="333"/>
      <c r="AK14" s="27" t="s">
        <v>24</v>
      </c>
      <c r="AN14" s="317" t="s">
        <v>831</v>
      </c>
      <c r="AR14" s="21"/>
      <c r="BS14" s="18" t="s">
        <v>6</v>
      </c>
    </row>
    <row r="15" spans="1:74" s="1" customFormat="1" ht="6.9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26</v>
      </c>
      <c r="AK16" s="27" t="s">
        <v>22</v>
      </c>
      <c r="AN16" s="25" t="s">
        <v>1</v>
      </c>
      <c r="AR16" s="21"/>
      <c r="BS16" s="18" t="s">
        <v>3</v>
      </c>
    </row>
    <row r="17" spans="1:71" s="1" customFormat="1" ht="18.45" customHeight="1">
      <c r="B17" s="21"/>
      <c r="E17" s="25" t="s">
        <v>27</v>
      </c>
      <c r="AK17" s="27" t="s">
        <v>24</v>
      </c>
      <c r="AN17" s="25" t="s">
        <v>1</v>
      </c>
      <c r="AR17" s="21"/>
      <c r="BS17" s="18" t="s">
        <v>28</v>
      </c>
    </row>
    <row r="18" spans="1:71" s="1" customFormat="1" ht="6.9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29</v>
      </c>
      <c r="AK19" s="27" t="s">
        <v>22</v>
      </c>
      <c r="AN19" s="25" t="s">
        <v>1</v>
      </c>
      <c r="AR19" s="21"/>
      <c r="BS19" s="18" t="s">
        <v>6</v>
      </c>
    </row>
    <row r="20" spans="1:71" s="1" customFormat="1" ht="18.45" customHeight="1">
      <c r="B20" s="21"/>
      <c r="E20" s="25" t="s">
        <v>19</v>
      </c>
      <c r="AK20" s="27" t="s">
        <v>24</v>
      </c>
      <c r="AN20" s="25" t="s">
        <v>1</v>
      </c>
      <c r="AR20" s="21"/>
      <c r="BS20" s="18" t="s">
        <v>28</v>
      </c>
    </row>
    <row r="21" spans="1:71" s="1" customFormat="1" ht="6.9" customHeight="1">
      <c r="B21" s="21"/>
      <c r="AR21" s="21"/>
    </row>
    <row r="22" spans="1:71" s="1" customFormat="1" ht="12" customHeight="1">
      <c r="B22" s="21"/>
      <c r="D22" s="27" t="s">
        <v>30</v>
      </c>
      <c r="AR22" s="21"/>
    </row>
    <row r="23" spans="1:71" s="1" customFormat="1" ht="35.25" customHeight="1">
      <c r="B23" s="21"/>
      <c r="E23" s="327" t="s">
        <v>31</v>
      </c>
      <c r="F23" s="327"/>
      <c r="G23" s="327"/>
      <c r="H23" s="327"/>
      <c r="I23" s="327"/>
      <c r="J23" s="327"/>
      <c r="K23" s="327"/>
      <c r="L23" s="327"/>
      <c r="M23" s="327"/>
      <c r="N23" s="327"/>
      <c r="O23" s="327"/>
      <c r="P23" s="327"/>
      <c r="Q23" s="327"/>
      <c r="R23" s="327"/>
      <c r="S23" s="327"/>
      <c r="T23" s="327"/>
      <c r="U23" s="327"/>
      <c r="V23" s="327"/>
      <c r="W23" s="327"/>
      <c r="X23" s="327"/>
      <c r="Y23" s="327"/>
      <c r="Z23" s="327"/>
      <c r="AA23" s="327"/>
      <c r="AB23" s="327"/>
      <c r="AC23" s="327"/>
      <c r="AD23" s="327"/>
      <c r="AE23" s="327"/>
      <c r="AF23" s="327"/>
      <c r="AG23" s="327"/>
      <c r="AH23" s="327"/>
      <c r="AI23" s="327"/>
      <c r="AJ23" s="327"/>
      <c r="AK23" s="327"/>
      <c r="AL23" s="327"/>
      <c r="AM23" s="327"/>
      <c r="AN23" s="327"/>
      <c r="AR23" s="21"/>
    </row>
    <row r="24" spans="1:71" s="1" customFormat="1" ht="6.9" customHeight="1">
      <c r="B24" s="21"/>
      <c r="AR24" s="21"/>
    </row>
    <row r="25" spans="1:71" s="1" customFormat="1" ht="6.9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5" customHeight="1">
      <c r="A26" s="30"/>
      <c r="B26" s="31"/>
      <c r="C26" s="30"/>
      <c r="D26" s="32" t="s">
        <v>32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28">
        <f>ROUND(AG94,2)</f>
        <v>0</v>
      </c>
      <c r="AL26" s="329"/>
      <c r="AM26" s="329"/>
      <c r="AN26" s="329"/>
      <c r="AO26" s="329"/>
      <c r="AP26" s="30"/>
      <c r="AQ26" s="30"/>
      <c r="AR26" s="31"/>
      <c r="BE26" s="30"/>
    </row>
    <row r="27" spans="1:71" s="2" customFormat="1" ht="6.9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3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330" t="s">
        <v>33</v>
      </c>
      <c r="M28" s="330"/>
      <c r="N28" s="330"/>
      <c r="O28" s="330"/>
      <c r="P28" s="330"/>
      <c r="Q28" s="30"/>
      <c r="R28" s="30"/>
      <c r="S28" s="30"/>
      <c r="T28" s="30"/>
      <c r="U28" s="30"/>
      <c r="V28" s="30"/>
      <c r="W28" s="330" t="s">
        <v>34</v>
      </c>
      <c r="X28" s="330"/>
      <c r="Y28" s="330"/>
      <c r="Z28" s="330"/>
      <c r="AA28" s="330"/>
      <c r="AB28" s="330"/>
      <c r="AC28" s="330"/>
      <c r="AD28" s="330"/>
      <c r="AE28" s="330"/>
      <c r="AF28" s="30"/>
      <c r="AG28" s="30"/>
      <c r="AH28" s="30"/>
      <c r="AI28" s="30"/>
      <c r="AJ28" s="30"/>
      <c r="AK28" s="330" t="s">
        <v>35</v>
      </c>
      <c r="AL28" s="330"/>
      <c r="AM28" s="330"/>
      <c r="AN28" s="330"/>
      <c r="AO28" s="330"/>
      <c r="AP28" s="30"/>
      <c r="AQ28" s="30"/>
      <c r="AR28" s="31"/>
      <c r="BE28" s="30"/>
    </row>
    <row r="29" spans="1:71" s="3" customFormat="1" ht="14.4" customHeight="1">
      <c r="B29" s="35"/>
      <c r="D29" s="27" t="s">
        <v>36</v>
      </c>
      <c r="F29" s="27" t="s">
        <v>37</v>
      </c>
      <c r="L29" s="336">
        <v>0.21</v>
      </c>
      <c r="M29" s="335"/>
      <c r="N29" s="335"/>
      <c r="O29" s="335"/>
      <c r="P29" s="335"/>
      <c r="W29" s="334" t="e">
        <f>ROUND(AZ94, 2)</f>
        <v>#REF!</v>
      </c>
      <c r="X29" s="335"/>
      <c r="Y29" s="335"/>
      <c r="Z29" s="335"/>
      <c r="AA29" s="335"/>
      <c r="AB29" s="335"/>
      <c r="AC29" s="335"/>
      <c r="AD29" s="335"/>
      <c r="AE29" s="335"/>
      <c r="AK29" s="334" t="e">
        <f>ROUND(AV94, 2)</f>
        <v>#REF!</v>
      </c>
      <c r="AL29" s="335"/>
      <c r="AM29" s="335"/>
      <c r="AN29" s="335"/>
      <c r="AO29" s="335"/>
      <c r="AR29" s="35"/>
    </row>
    <row r="30" spans="1:71" s="3" customFormat="1" ht="14.4" customHeight="1">
      <c r="B30" s="35"/>
      <c r="F30" s="27" t="s">
        <v>38</v>
      </c>
      <c r="L30" s="336">
        <v>0.12</v>
      </c>
      <c r="M30" s="335"/>
      <c r="N30" s="335"/>
      <c r="O30" s="335"/>
      <c r="P30" s="335"/>
      <c r="W30" s="334">
        <f>ROUND(BA94, 2)</f>
        <v>0</v>
      </c>
      <c r="X30" s="335"/>
      <c r="Y30" s="335"/>
      <c r="Z30" s="335"/>
      <c r="AA30" s="335"/>
      <c r="AB30" s="335"/>
      <c r="AC30" s="335"/>
      <c r="AD30" s="335"/>
      <c r="AE30" s="335"/>
      <c r="AK30" s="334">
        <f>ROUND(AW94, 2)</f>
        <v>0</v>
      </c>
      <c r="AL30" s="335"/>
      <c r="AM30" s="335"/>
      <c r="AN30" s="335"/>
      <c r="AO30" s="335"/>
      <c r="AR30" s="35"/>
    </row>
    <row r="31" spans="1:71" s="3" customFormat="1" ht="14.4" hidden="1" customHeight="1">
      <c r="B31" s="35"/>
      <c r="F31" s="27" t="s">
        <v>39</v>
      </c>
      <c r="L31" s="336">
        <v>0.21</v>
      </c>
      <c r="M31" s="335"/>
      <c r="N31" s="335"/>
      <c r="O31" s="335"/>
      <c r="P31" s="335"/>
      <c r="W31" s="334">
        <f>ROUND(BB94, 2)</f>
        <v>0</v>
      </c>
      <c r="X31" s="335"/>
      <c r="Y31" s="335"/>
      <c r="Z31" s="335"/>
      <c r="AA31" s="335"/>
      <c r="AB31" s="335"/>
      <c r="AC31" s="335"/>
      <c r="AD31" s="335"/>
      <c r="AE31" s="335"/>
      <c r="AK31" s="334">
        <v>0</v>
      </c>
      <c r="AL31" s="335"/>
      <c r="AM31" s="335"/>
      <c r="AN31" s="335"/>
      <c r="AO31" s="335"/>
      <c r="AR31" s="35"/>
    </row>
    <row r="32" spans="1:71" s="3" customFormat="1" ht="14.4" hidden="1" customHeight="1">
      <c r="B32" s="35"/>
      <c r="F32" s="27" t="s">
        <v>40</v>
      </c>
      <c r="L32" s="336">
        <v>0.12</v>
      </c>
      <c r="M32" s="335"/>
      <c r="N32" s="335"/>
      <c r="O32" s="335"/>
      <c r="P32" s="335"/>
      <c r="W32" s="334">
        <f>ROUND(BC94, 2)</f>
        <v>0</v>
      </c>
      <c r="X32" s="335"/>
      <c r="Y32" s="335"/>
      <c r="Z32" s="335"/>
      <c r="AA32" s="335"/>
      <c r="AB32" s="335"/>
      <c r="AC32" s="335"/>
      <c r="AD32" s="335"/>
      <c r="AE32" s="335"/>
      <c r="AK32" s="334">
        <v>0</v>
      </c>
      <c r="AL32" s="335"/>
      <c r="AM32" s="335"/>
      <c r="AN32" s="335"/>
      <c r="AO32" s="335"/>
      <c r="AR32" s="35"/>
    </row>
    <row r="33" spans="1:57" s="3" customFormat="1" ht="14.4" hidden="1" customHeight="1">
      <c r="B33" s="35"/>
      <c r="F33" s="27" t="s">
        <v>41</v>
      </c>
      <c r="L33" s="336">
        <v>0</v>
      </c>
      <c r="M33" s="335"/>
      <c r="N33" s="335"/>
      <c r="O33" s="335"/>
      <c r="P33" s="335"/>
      <c r="W33" s="334">
        <f>ROUND(BD94, 2)</f>
        <v>0</v>
      </c>
      <c r="X33" s="335"/>
      <c r="Y33" s="335"/>
      <c r="Z33" s="335"/>
      <c r="AA33" s="335"/>
      <c r="AB33" s="335"/>
      <c r="AC33" s="335"/>
      <c r="AD33" s="335"/>
      <c r="AE33" s="335"/>
      <c r="AK33" s="334">
        <v>0</v>
      </c>
      <c r="AL33" s="335"/>
      <c r="AM33" s="335"/>
      <c r="AN33" s="335"/>
      <c r="AO33" s="335"/>
      <c r="AR33" s="35"/>
    </row>
    <row r="34" spans="1:57" s="2" customFormat="1" ht="6.9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5" customHeight="1">
      <c r="A35" s="30"/>
      <c r="B35" s="31"/>
      <c r="C35" s="36"/>
      <c r="D35" s="37" t="s">
        <v>42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43</v>
      </c>
      <c r="U35" s="38"/>
      <c r="V35" s="38"/>
      <c r="W35" s="38"/>
      <c r="X35" s="357" t="s">
        <v>44</v>
      </c>
      <c r="Y35" s="358"/>
      <c r="Z35" s="358"/>
      <c r="AA35" s="358"/>
      <c r="AB35" s="358"/>
      <c r="AC35" s="38"/>
      <c r="AD35" s="38"/>
      <c r="AE35" s="38"/>
      <c r="AF35" s="38"/>
      <c r="AG35" s="38"/>
      <c r="AH35" s="38"/>
      <c r="AI35" s="38"/>
      <c r="AJ35" s="38"/>
      <c r="AK35" s="359" t="e">
        <f>SUM(AK26:AK33)</f>
        <v>#REF!</v>
      </c>
      <c r="AL35" s="358"/>
      <c r="AM35" s="358"/>
      <c r="AN35" s="358"/>
      <c r="AO35" s="360"/>
      <c r="AP35" s="36"/>
      <c r="AQ35" s="36"/>
      <c r="AR35" s="31"/>
      <c r="BE35" s="30"/>
    </row>
    <row r="36" spans="1:57" s="2" customFormat="1" ht="6.9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" customHeight="1">
      <c r="B38" s="21"/>
      <c r="AR38" s="21"/>
    </row>
    <row r="39" spans="1:57" s="1" customFormat="1" ht="14.4" customHeight="1">
      <c r="B39" s="21"/>
      <c r="AR39" s="21"/>
    </row>
    <row r="40" spans="1:57" s="1" customFormat="1" ht="14.4" customHeight="1">
      <c r="B40" s="21"/>
      <c r="AR40" s="21"/>
    </row>
    <row r="41" spans="1:57" s="1" customFormat="1" ht="14.4" customHeight="1">
      <c r="B41" s="21"/>
      <c r="AR41" s="21"/>
    </row>
    <row r="42" spans="1:57" s="1" customFormat="1" ht="14.4" customHeight="1">
      <c r="B42" s="21"/>
      <c r="AR42" s="21"/>
    </row>
    <row r="43" spans="1:57" s="1" customFormat="1" ht="14.4" customHeight="1">
      <c r="B43" s="21"/>
      <c r="AR43" s="21"/>
    </row>
    <row r="44" spans="1:57" s="1" customFormat="1" ht="14.4" customHeight="1">
      <c r="B44" s="21"/>
      <c r="AR44" s="21"/>
    </row>
    <row r="45" spans="1:57" s="1" customFormat="1" ht="14.4" customHeight="1">
      <c r="B45" s="21"/>
      <c r="AR45" s="21"/>
    </row>
    <row r="46" spans="1:57" s="1" customFormat="1" ht="14.4" customHeight="1">
      <c r="B46" s="21"/>
      <c r="AR46" s="21"/>
    </row>
    <row r="47" spans="1:57" s="1" customFormat="1" ht="14.4" customHeight="1">
      <c r="B47" s="21"/>
      <c r="AR47" s="21"/>
    </row>
    <row r="48" spans="1:57" s="1" customFormat="1" ht="14.4" customHeight="1">
      <c r="B48" s="21"/>
      <c r="AR48" s="21"/>
    </row>
    <row r="49" spans="1:57" s="2" customFormat="1" ht="14.4" customHeight="1">
      <c r="B49" s="40"/>
      <c r="D49" s="41" t="s">
        <v>45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46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3.2">
      <c r="A60" s="30"/>
      <c r="B60" s="31"/>
      <c r="C60" s="30"/>
      <c r="D60" s="43" t="s">
        <v>47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48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47</v>
      </c>
      <c r="AI60" s="33"/>
      <c r="AJ60" s="33"/>
      <c r="AK60" s="33"/>
      <c r="AL60" s="33"/>
      <c r="AM60" s="43" t="s">
        <v>48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3.2">
      <c r="A64" s="30"/>
      <c r="B64" s="31"/>
      <c r="C64" s="30"/>
      <c r="D64" s="41" t="s">
        <v>49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50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3.2">
      <c r="A75" s="30"/>
      <c r="B75" s="31"/>
      <c r="C75" s="30"/>
      <c r="D75" s="43" t="s">
        <v>47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48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47</v>
      </c>
      <c r="AI75" s="33"/>
      <c r="AJ75" s="33"/>
      <c r="AK75" s="33"/>
      <c r="AL75" s="33"/>
      <c r="AM75" s="43" t="s">
        <v>48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" customHeight="1">
      <c r="A82" s="30"/>
      <c r="B82" s="31"/>
      <c r="C82" s="22" t="s">
        <v>51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N23-086_exp3</v>
      </c>
      <c r="AR84" s="49"/>
    </row>
    <row r="85" spans="1:91" s="5" customFormat="1" ht="36.9" customHeight="1">
      <c r="B85" s="50"/>
      <c r="C85" s="51" t="s">
        <v>14</v>
      </c>
      <c r="L85" s="348" t="str">
        <f>K6</f>
        <v>DPO MARTINOV - VRÁTNICE , VJEZD</v>
      </c>
      <c r="M85" s="349"/>
      <c r="N85" s="349"/>
      <c r="O85" s="349"/>
      <c r="P85" s="349"/>
      <c r="Q85" s="349"/>
      <c r="R85" s="349"/>
      <c r="S85" s="349"/>
      <c r="T85" s="349"/>
      <c r="U85" s="349"/>
      <c r="V85" s="349"/>
      <c r="W85" s="349"/>
      <c r="X85" s="349"/>
      <c r="Y85" s="349"/>
      <c r="Z85" s="349"/>
      <c r="AA85" s="349"/>
      <c r="AB85" s="349"/>
      <c r="AC85" s="349"/>
      <c r="AD85" s="349"/>
      <c r="AE85" s="349"/>
      <c r="AF85" s="349"/>
      <c r="AG85" s="349"/>
      <c r="AH85" s="349"/>
      <c r="AI85" s="349"/>
      <c r="AJ85" s="349"/>
      <c r="AK85" s="349"/>
      <c r="AL85" s="349"/>
      <c r="AM85" s="349"/>
      <c r="AN85" s="349"/>
      <c r="AO85" s="349"/>
      <c r="AR85" s="50"/>
    </row>
    <row r="86" spans="1:91" s="2" customFormat="1" ht="6.9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350">
        <f>IF(AN8= "","",AN8)</f>
        <v>45595</v>
      </c>
      <c r="AN87" s="350"/>
      <c r="AO87" s="30"/>
      <c r="AP87" s="30"/>
      <c r="AQ87" s="30"/>
      <c r="AR87" s="31"/>
      <c r="BE87" s="30"/>
    </row>
    <row r="88" spans="1:91" s="2" customFormat="1" ht="6.9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25.65" customHeight="1">
      <c r="A89" s="30"/>
      <c r="B89" s="31"/>
      <c r="C89" s="27" t="s">
        <v>21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DOPRAVNÍ PODNIK OSTRAVA a.s.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26</v>
      </c>
      <c r="AJ89" s="30"/>
      <c r="AK89" s="30"/>
      <c r="AL89" s="30"/>
      <c r="AM89" s="351" t="str">
        <f>IF(E17="","",E17)</f>
        <v>PROJEKTSTUDIO EUCZ s.r.o.</v>
      </c>
      <c r="AN89" s="352"/>
      <c r="AO89" s="352"/>
      <c r="AP89" s="352"/>
      <c r="AQ89" s="30"/>
      <c r="AR89" s="31"/>
      <c r="AS89" s="353" t="s">
        <v>52</v>
      </c>
      <c r="AT89" s="354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15" customHeight="1">
      <c r="A90" s="30"/>
      <c r="B90" s="31"/>
      <c r="C90" s="27" t="s">
        <v>25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>vyplň údaj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29</v>
      </c>
      <c r="AJ90" s="30"/>
      <c r="AK90" s="30"/>
      <c r="AL90" s="30"/>
      <c r="AM90" s="351" t="str">
        <f>IF(E20="","",E20)</f>
        <v xml:space="preserve"> </v>
      </c>
      <c r="AN90" s="352"/>
      <c r="AO90" s="352"/>
      <c r="AP90" s="352"/>
      <c r="AQ90" s="30"/>
      <c r="AR90" s="31"/>
      <c r="AS90" s="355"/>
      <c r="AT90" s="356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355"/>
      <c r="AT91" s="356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343" t="s">
        <v>53</v>
      </c>
      <c r="D92" s="344"/>
      <c r="E92" s="344"/>
      <c r="F92" s="344"/>
      <c r="G92" s="344"/>
      <c r="H92" s="58"/>
      <c r="I92" s="345" t="s">
        <v>54</v>
      </c>
      <c r="J92" s="344"/>
      <c r="K92" s="344"/>
      <c r="L92" s="344"/>
      <c r="M92" s="344"/>
      <c r="N92" s="344"/>
      <c r="O92" s="344"/>
      <c r="P92" s="344"/>
      <c r="Q92" s="344"/>
      <c r="R92" s="344"/>
      <c r="S92" s="344"/>
      <c r="T92" s="344"/>
      <c r="U92" s="344"/>
      <c r="V92" s="344"/>
      <c r="W92" s="344"/>
      <c r="X92" s="344"/>
      <c r="Y92" s="344"/>
      <c r="Z92" s="344"/>
      <c r="AA92" s="344"/>
      <c r="AB92" s="344"/>
      <c r="AC92" s="344"/>
      <c r="AD92" s="344"/>
      <c r="AE92" s="344"/>
      <c r="AF92" s="344"/>
      <c r="AG92" s="346" t="s">
        <v>55</v>
      </c>
      <c r="AH92" s="344"/>
      <c r="AI92" s="344"/>
      <c r="AJ92" s="344"/>
      <c r="AK92" s="344"/>
      <c r="AL92" s="344"/>
      <c r="AM92" s="344"/>
      <c r="AN92" s="345" t="s">
        <v>56</v>
      </c>
      <c r="AO92" s="344"/>
      <c r="AP92" s="347"/>
      <c r="AQ92" s="59" t="s">
        <v>57</v>
      </c>
      <c r="AR92" s="31"/>
      <c r="AS92" s="60" t="s">
        <v>58</v>
      </c>
      <c r="AT92" s="61" t="s">
        <v>59</v>
      </c>
      <c r="AU92" s="61" t="s">
        <v>60</v>
      </c>
      <c r="AV92" s="61" t="s">
        <v>61</v>
      </c>
      <c r="AW92" s="61" t="s">
        <v>62</v>
      </c>
      <c r="AX92" s="61" t="s">
        <v>63</v>
      </c>
      <c r="AY92" s="61" t="s">
        <v>64</v>
      </c>
      <c r="AZ92" s="61" t="s">
        <v>65</v>
      </c>
      <c r="BA92" s="61" t="s">
        <v>66</v>
      </c>
      <c r="BB92" s="61" t="s">
        <v>67</v>
      </c>
      <c r="BC92" s="61" t="s">
        <v>68</v>
      </c>
      <c r="BD92" s="62" t="s">
        <v>69</v>
      </c>
      <c r="BE92" s="30"/>
    </row>
    <row r="93" spans="1:91" s="2" customFormat="1" ht="10.9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" customHeight="1">
      <c r="B94" s="66"/>
      <c r="C94" s="67" t="s">
        <v>70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340">
        <f>ROUND(AG95,2)</f>
        <v>0</v>
      </c>
      <c r="AH94" s="340"/>
      <c r="AI94" s="340"/>
      <c r="AJ94" s="340"/>
      <c r="AK94" s="340"/>
      <c r="AL94" s="340"/>
      <c r="AM94" s="340"/>
      <c r="AN94" s="341">
        <f>AN95</f>
        <v>0</v>
      </c>
      <c r="AO94" s="341"/>
      <c r="AP94" s="341"/>
      <c r="AQ94" s="70" t="s">
        <v>1</v>
      </c>
      <c r="AR94" s="66"/>
      <c r="AS94" s="71">
        <f>ROUND(AS95,2)</f>
        <v>0</v>
      </c>
      <c r="AT94" s="72" t="e">
        <f>ROUND(SUM(AV94:AW94),2)</f>
        <v>#REF!</v>
      </c>
      <c r="AU94" s="73" t="e">
        <f>ROUND(AU95,5)</f>
        <v>#REF!</v>
      </c>
      <c r="AV94" s="72" t="e">
        <f>ROUND(AZ94*L29,2)</f>
        <v>#REF!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 t="e">
        <f>ROUND(AZ95,2)</f>
        <v>#REF!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71</v>
      </c>
      <c r="BT94" s="75" t="s">
        <v>72</v>
      </c>
      <c r="BU94" s="76" t="s">
        <v>73</v>
      </c>
      <c r="BV94" s="75" t="s">
        <v>74</v>
      </c>
      <c r="BW94" s="75" t="s">
        <v>4</v>
      </c>
      <c r="BX94" s="75" t="s">
        <v>75</v>
      </c>
      <c r="CL94" s="75" t="s">
        <v>1</v>
      </c>
    </row>
    <row r="95" spans="1:91" s="7" customFormat="1" ht="24.75" customHeight="1">
      <c r="A95" s="77" t="s">
        <v>76</v>
      </c>
      <c r="B95" s="78"/>
      <c r="C95" s="79"/>
      <c r="D95" s="339" t="s">
        <v>77</v>
      </c>
      <c r="E95" s="339"/>
      <c r="F95" s="339"/>
      <c r="G95" s="339"/>
      <c r="H95" s="339"/>
      <c r="I95" s="80"/>
      <c r="J95" s="339" t="s">
        <v>78</v>
      </c>
      <c r="K95" s="339"/>
      <c r="L95" s="339"/>
      <c r="M95" s="339"/>
      <c r="N95" s="339"/>
      <c r="O95" s="339"/>
      <c r="P95" s="339"/>
      <c r="Q95" s="339"/>
      <c r="R95" s="339"/>
      <c r="S95" s="339"/>
      <c r="T95" s="339"/>
      <c r="U95" s="339"/>
      <c r="V95" s="339"/>
      <c r="W95" s="339"/>
      <c r="X95" s="339"/>
      <c r="Y95" s="339"/>
      <c r="Z95" s="339"/>
      <c r="AA95" s="339"/>
      <c r="AB95" s="339"/>
      <c r="AC95" s="339"/>
      <c r="AD95" s="339"/>
      <c r="AE95" s="339"/>
      <c r="AF95" s="339"/>
      <c r="AG95" s="337">
        <f>'D.1 - Stavebně technický ...'!J30</f>
        <v>0</v>
      </c>
      <c r="AH95" s="338"/>
      <c r="AI95" s="338"/>
      <c r="AJ95" s="338"/>
      <c r="AK95" s="338"/>
      <c r="AL95" s="338"/>
      <c r="AM95" s="338"/>
      <c r="AN95" s="337">
        <f>SUM(AG95,AT95)</f>
        <v>0</v>
      </c>
      <c r="AO95" s="338"/>
      <c r="AP95" s="338"/>
      <c r="AQ95" s="81" t="s">
        <v>79</v>
      </c>
      <c r="AR95" s="78"/>
      <c r="AS95" s="82">
        <v>0</v>
      </c>
      <c r="AT95" s="83">
        <f>ROUND(SUM(AV95:AW95),2)</f>
        <v>0</v>
      </c>
      <c r="AU95" s="84" t="e">
        <f>'D.1 - Stavebně technický ...'!P146</f>
        <v>#REF!</v>
      </c>
      <c r="AV95" s="83">
        <f>'D.1 - Stavebně technický ...'!J33</f>
        <v>0</v>
      </c>
      <c r="AW95" s="83">
        <f>'D.1 - Stavebně technický ...'!J34</f>
        <v>0</v>
      </c>
      <c r="AX95" s="83">
        <f>'D.1 - Stavebně technický ...'!J35</f>
        <v>0</v>
      </c>
      <c r="AY95" s="83">
        <f>'D.1 - Stavebně technický ...'!J36</f>
        <v>0</v>
      </c>
      <c r="AZ95" s="83" t="e">
        <f>'D.1 - Stavebně technický ...'!F33</f>
        <v>#REF!</v>
      </c>
      <c r="BA95" s="83">
        <f>'D.1 - Stavebně technický ...'!F34</f>
        <v>0</v>
      </c>
      <c r="BB95" s="83">
        <f>'D.1 - Stavebně technický ...'!F35</f>
        <v>0</v>
      </c>
      <c r="BC95" s="83">
        <f>'D.1 - Stavebně technický ...'!F36</f>
        <v>0</v>
      </c>
      <c r="BD95" s="85">
        <f>'D.1 - Stavebně technický ...'!F37</f>
        <v>0</v>
      </c>
      <c r="BT95" s="86" t="s">
        <v>80</v>
      </c>
      <c r="BV95" s="86" t="s">
        <v>74</v>
      </c>
      <c r="BW95" s="86" t="s">
        <v>81</v>
      </c>
      <c r="BX95" s="86" t="s">
        <v>4</v>
      </c>
      <c r="CL95" s="86" t="s">
        <v>1</v>
      </c>
      <c r="CM95" s="86" t="s">
        <v>82</v>
      </c>
    </row>
    <row r="96" spans="1:91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1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  <mergeCell ref="E14:AJ14"/>
  </mergeCells>
  <hyperlinks>
    <hyperlink ref="A95" location="'D.1 - Stavebně technický 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610"/>
  <sheetViews>
    <sheetView showGridLines="0" topLeftCell="A494" zoomScale="85" zoomScaleNormal="85" workbookViewId="0">
      <selection activeCell="F496" sqref="F496"/>
    </sheetView>
  </sheetViews>
  <sheetFormatPr defaultRowHeight="10.199999999999999"/>
  <cols>
    <col min="1" max="1" width="8.28515625" style="1" customWidth="1"/>
    <col min="2" max="2" width="1.140625" style="1" customWidth="1"/>
    <col min="3" max="3" width="5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7"/>
    </row>
    <row r="2" spans="1:46" s="1" customFormat="1" ht="36.9" customHeight="1">
      <c r="L2" s="342" t="s">
        <v>5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18" t="s">
        <v>81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1:46" s="1" customFormat="1" ht="24.9" customHeight="1">
      <c r="B4" s="21"/>
      <c r="D4" s="22" t="s">
        <v>83</v>
      </c>
      <c r="L4" s="21"/>
      <c r="M4" s="88" t="s">
        <v>10</v>
      </c>
      <c r="AT4" s="18" t="s">
        <v>3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361" t="str">
        <f>'Rekapitulace stavby'!K6</f>
        <v>DPO MARTINOV - VRÁTNICE , VJEZD</v>
      </c>
      <c r="F7" s="362"/>
      <c r="G7" s="362"/>
      <c r="H7" s="362"/>
      <c r="L7" s="21"/>
    </row>
    <row r="8" spans="1:46" s="2" customFormat="1" ht="12" customHeight="1">
      <c r="A8" s="30"/>
      <c r="B8" s="31"/>
      <c r="C8" s="30"/>
      <c r="D8" s="27" t="s">
        <v>84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348" t="s">
        <v>85</v>
      </c>
      <c r="F9" s="363"/>
      <c r="G9" s="363"/>
      <c r="H9" s="363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>
        <f>'Rekapitulace stavby'!AN8</f>
        <v>45595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5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21</v>
      </c>
      <c r="E14" s="30"/>
      <c r="F14" s="30"/>
      <c r="G14" s="30"/>
      <c r="H14" s="30"/>
      <c r="I14" s="27" t="s">
        <v>22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23</v>
      </c>
      <c r="F15" s="30"/>
      <c r="G15" s="30"/>
      <c r="H15" s="30"/>
      <c r="I15" s="27" t="s">
        <v>24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316" t="s">
        <v>830</v>
      </c>
      <c r="E17" s="295"/>
      <c r="F17" s="295"/>
      <c r="G17" s="295"/>
      <c r="H17" s="295"/>
      <c r="I17" s="316" t="s">
        <v>22</v>
      </c>
      <c r="J17" s="317" t="str">
        <f>'[1]Rekapitulace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295"/>
      <c r="E18" s="331" t="str">
        <f>'[1]Rekapitulace stavby'!E14</f>
        <v>Vyplň údaj</v>
      </c>
      <c r="F18" s="332"/>
      <c r="G18" s="332"/>
      <c r="H18" s="332"/>
      <c r="I18" s="316" t="s">
        <v>24</v>
      </c>
      <c r="J18" s="317" t="str">
        <f>'[1]Rekapitulace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26</v>
      </c>
      <c r="E20" s="30"/>
      <c r="F20" s="30"/>
      <c r="G20" s="30"/>
      <c r="H20" s="30"/>
      <c r="I20" s="27" t="s">
        <v>22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24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29</v>
      </c>
      <c r="E23" s="30"/>
      <c r="F23" s="30"/>
      <c r="G23" s="30"/>
      <c r="H23" s="30"/>
      <c r="I23" s="27" t="s">
        <v>22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24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30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47.25" customHeight="1">
      <c r="A27" s="89"/>
      <c r="B27" s="90"/>
      <c r="C27" s="89"/>
      <c r="D27" s="89"/>
      <c r="E27" s="327" t="s">
        <v>86</v>
      </c>
      <c r="F27" s="327"/>
      <c r="G27" s="327"/>
      <c r="H27" s="327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2" t="s">
        <v>32</v>
      </c>
      <c r="E30" s="30"/>
      <c r="F30" s="30"/>
      <c r="G30" s="30"/>
      <c r="H30" s="30"/>
      <c r="I30" s="30"/>
      <c r="J30" s="69">
        <f>ROUND(J146,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" customHeight="1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" customHeight="1">
      <c r="A33" s="30"/>
      <c r="B33" s="31"/>
      <c r="C33" s="30"/>
      <c r="D33" s="93" t="s">
        <v>36</v>
      </c>
      <c r="E33" s="27" t="s">
        <v>37</v>
      </c>
      <c r="F33" s="94" t="e">
        <f>ROUND((SUM(BE146:BE607)),  2)</f>
        <v>#REF!</v>
      </c>
      <c r="G33" s="30"/>
      <c r="H33" s="30"/>
      <c r="I33" s="95">
        <v>0.21</v>
      </c>
      <c r="J33" s="94">
        <f>ROUND((J30*I33),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" customHeight="1">
      <c r="A34" s="30"/>
      <c r="B34" s="31"/>
      <c r="C34" s="30"/>
      <c r="D34" s="30"/>
      <c r="E34" s="27" t="s">
        <v>38</v>
      </c>
      <c r="F34" s="94">
        <f>ROUND((SUM(BF146:BF607)),  2)</f>
        <v>0</v>
      </c>
      <c r="G34" s="30"/>
      <c r="H34" s="30"/>
      <c r="I34" s="95">
        <v>0.12</v>
      </c>
      <c r="J34" s="94">
        <f>ROUND(((SUM(BF146:BF607))*I34),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" hidden="1" customHeight="1">
      <c r="A35" s="30"/>
      <c r="B35" s="31"/>
      <c r="C35" s="30"/>
      <c r="D35" s="30"/>
      <c r="E35" s="27" t="s">
        <v>39</v>
      </c>
      <c r="F35" s="94">
        <f>ROUND((SUM(BG146:BG607)),  2)</f>
        <v>0</v>
      </c>
      <c r="G35" s="30"/>
      <c r="H35" s="30"/>
      <c r="I35" s="95">
        <v>0.21</v>
      </c>
      <c r="J35" s="94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" hidden="1" customHeight="1">
      <c r="A36" s="30"/>
      <c r="B36" s="31"/>
      <c r="C36" s="30"/>
      <c r="D36" s="30"/>
      <c r="E36" s="27" t="s">
        <v>40</v>
      </c>
      <c r="F36" s="94">
        <f>ROUND((SUM(BH146:BH607)),  2)</f>
        <v>0</v>
      </c>
      <c r="G36" s="30"/>
      <c r="H36" s="30"/>
      <c r="I36" s="95">
        <v>0.12</v>
      </c>
      <c r="J36" s="94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" hidden="1" customHeight="1">
      <c r="A37" s="30"/>
      <c r="B37" s="31"/>
      <c r="C37" s="30"/>
      <c r="D37" s="30"/>
      <c r="E37" s="27" t="s">
        <v>41</v>
      </c>
      <c r="F37" s="94">
        <f>ROUND((SUM(BI146:BI607)),  2)</f>
        <v>0</v>
      </c>
      <c r="G37" s="30"/>
      <c r="H37" s="30"/>
      <c r="I37" s="95">
        <v>0</v>
      </c>
      <c r="J37" s="94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6"/>
      <c r="D39" s="97" t="s">
        <v>42</v>
      </c>
      <c r="E39" s="58"/>
      <c r="F39" s="58"/>
      <c r="G39" s="98" t="s">
        <v>43</v>
      </c>
      <c r="H39" s="99" t="s">
        <v>44</v>
      </c>
      <c r="I39" s="58"/>
      <c r="J39" s="100">
        <f>SUM(J30:J37)</f>
        <v>0</v>
      </c>
      <c r="K39" s="101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0"/>
      <c r="B61" s="31"/>
      <c r="C61" s="30"/>
      <c r="D61" s="43" t="s">
        <v>47</v>
      </c>
      <c r="E61" s="33"/>
      <c r="F61" s="102" t="s">
        <v>48</v>
      </c>
      <c r="G61" s="43" t="s">
        <v>47</v>
      </c>
      <c r="H61" s="33"/>
      <c r="I61" s="33"/>
      <c r="J61" s="103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0"/>
      <c r="B76" s="31"/>
      <c r="C76" s="30"/>
      <c r="D76" s="43" t="s">
        <v>47</v>
      </c>
      <c r="E76" s="33"/>
      <c r="F76" s="102" t="s">
        <v>48</v>
      </c>
      <c r="G76" s="43" t="s">
        <v>47</v>
      </c>
      <c r="H76" s="33"/>
      <c r="I76" s="33"/>
      <c r="J76" s="103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" customHeight="1">
      <c r="A82" s="30"/>
      <c r="B82" s="31"/>
      <c r="C82" s="22" t="s">
        <v>87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361" t="str">
        <f>E7</f>
        <v>DPO MARTINOV - VRÁTNICE , VJEZD</v>
      </c>
      <c r="F85" s="362"/>
      <c r="G85" s="362"/>
      <c r="H85" s="362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84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348" t="str">
        <f>E9</f>
        <v xml:space="preserve">D.1 - Stavebně technický propočet nákladů _ 1. ETAPA - vrátnice , vjezd </v>
      </c>
      <c r="F87" s="363"/>
      <c r="G87" s="363"/>
      <c r="H87" s="363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 xml:space="preserve"> </v>
      </c>
      <c r="G89" s="30"/>
      <c r="H89" s="30"/>
      <c r="I89" s="27" t="s">
        <v>20</v>
      </c>
      <c r="J89" s="53">
        <f>IF(J12="","",J12)</f>
        <v>45595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65" customHeight="1">
      <c r="A91" s="30"/>
      <c r="B91" s="31"/>
      <c r="C91" s="27" t="s">
        <v>21</v>
      </c>
      <c r="D91" s="30"/>
      <c r="E91" s="30"/>
      <c r="F91" s="25" t="str">
        <f>E15</f>
        <v>DOPRAVNÍ PODNIK OSTRAVA a.s.</v>
      </c>
      <c r="G91" s="30"/>
      <c r="H91" s="30"/>
      <c r="I91" s="27" t="s">
        <v>26</v>
      </c>
      <c r="J91" s="28" t="str">
        <f>E21</f>
        <v>PROJEKTSTUDIO EUCZ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15" customHeight="1">
      <c r="A92" s="30"/>
      <c r="B92" s="31"/>
      <c r="C92" s="27" t="s">
        <v>25</v>
      </c>
      <c r="D92" s="30"/>
      <c r="E92" s="30"/>
      <c r="F92" s="25" t="str">
        <f>IF(E18="","",E18)</f>
        <v>Vyplň údaj</v>
      </c>
      <c r="G92" s="30"/>
      <c r="H92" s="30"/>
      <c r="I92" s="27" t="s">
        <v>29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4" t="s">
        <v>88</v>
      </c>
      <c r="D94" s="96"/>
      <c r="E94" s="96"/>
      <c r="F94" s="96"/>
      <c r="G94" s="96"/>
      <c r="H94" s="96"/>
      <c r="I94" s="96"/>
      <c r="J94" s="105" t="s">
        <v>89</v>
      </c>
      <c r="K94" s="96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5" customHeight="1">
      <c r="A96" s="30"/>
      <c r="B96" s="31"/>
      <c r="C96" s="106" t="s">
        <v>90</v>
      </c>
      <c r="D96" s="30"/>
      <c r="E96" s="30"/>
      <c r="F96" s="30"/>
      <c r="G96" s="30"/>
      <c r="H96" s="30"/>
      <c r="I96" s="30"/>
      <c r="J96" s="69">
        <f>J146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91</v>
      </c>
    </row>
    <row r="97" spans="2:12" s="9" customFormat="1" ht="24.9" customHeight="1">
      <c r="B97" s="107"/>
      <c r="D97" s="108" t="s">
        <v>92</v>
      </c>
      <c r="E97" s="109"/>
      <c r="F97" s="109"/>
      <c r="G97" s="109"/>
      <c r="H97" s="109"/>
      <c r="I97" s="109"/>
      <c r="J97" s="110">
        <f>J147</f>
        <v>0</v>
      </c>
      <c r="L97" s="107"/>
    </row>
    <row r="98" spans="2:12" s="10" customFormat="1" ht="19.95" customHeight="1">
      <c r="B98" s="111"/>
      <c r="D98" s="112" t="s">
        <v>93</v>
      </c>
      <c r="E98" s="113"/>
      <c r="F98" s="113"/>
      <c r="G98" s="113"/>
      <c r="H98" s="113"/>
      <c r="I98" s="113"/>
      <c r="J98" s="114">
        <f>J148</f>
        <v>0</v>
      </c>
      <c r="L98" s="111"/>
    </row>
    <row r="99" spans="2:12" s="10" customFormat="1" ht="19.95" customHeight="1">
      <c r="B99" s="111"/>
      <c r="D99" s="112" t="s">
        <v>94</v>
      </c>
      <c r="E99" s="113"/>
      <c r="F99" s="113"/>
      <c r="G99" s="113"/>
      <c r="H99" s="113"/>
      <c r="I99" s="113"/>
      <c r="J99" s="114">
        <f>J192</f>
        <v>0</v>
      </c>
      <c r="L99" s="111"/>
    </row>
    <row r="100" spans="2:12" s="10" customFormat="1" ht="19.95" customHeight="1">
      <c r="B100" s="111"/>
      <c r="D100" s="112" t="s">
        <v>95</v>
      </c>
      <c r="E100" s="113"/>
      <c r="F100" s="113"/>
      <c r="G100" s="113"/>
      <c r="H100" s="113"/>
      <c r="I100" s="113"/>
      <c r="J100" s="114">
        <f>J218</f>
        <v>0</v>
      </c>
      <c r="L100" s="111"/>
    </row>
    <row r="101" spans="2:12" s="10" customFormat="1" ht="19.95" customHeight="1">
      <c r="B101" s="111"/>
      <c r="D101" s="112" t="s">
        <v>96</v>
      </c>
      <c r="E101" s="113"/>
      <c r="F101" s="113"/>
      <c r="G101" s="113"/>
      <c r="H101" s="113"/>
      <c r="I101" s="113"/>
      <c r="J101" s="114">
        <f>J228</f>
        <v>0</v>
      </c>
      <c r="L101" s="111"/>
    </row>
    <row r="102" spans="2:12" s="10" customFormat="1" ht="19.95" customHeight="1">
      <c r="B102" s="111"/>
      <c r="D102" s="112" t="s">
        <v>97</v>
      </c>
      <c r="E102" s="113"/>
      <c r="F102" s="113"/>
      <c r="G102" s="113"/>
      <c r="H102" s="113"/>
      <c r="I102" s="113"/>
      <c r="J102" s="114">
        <f>J232</f>
        <v>0</v>
      </c>
      <c r="L102" s="111"/>
    </row>
    <row r="103" spans="2:12" s="10" customFormat="1" ht="19.95" customHeight="1">
      <c r="B103" s="111"/>
      <c r="D103" s="112" t="s">
        <v>98</v>
      </c>
      <c r="E103" s="113"/>
      <c r="F103" s="113"/>
      <c r="G103" s="113"/>
      <c r="H103" s="113"/>
      <c r="I103" s="113"/>
      <c r="J103" s="114">
        <f>J255</f>
        <v>0</v>
      </c>
      <c r="L103" s="111"/>
    </row>
    <row r="104" spans="2:12" s="10" customFormat="1" ht="19.95" customHeight="1">
      <c r="B104" s="111"/>
      <c r="D104" s="112" t="s">
        <v>99</v>
      </c>
      <c r="E104" s="113"/>
      <c r="F104" s="113"/>
      <c r="G104" s="113"/>
      <c r="H104" s="113"/>
      <c r="I104" s="113"/>
      <c r="J104" s="114">
        <f>J342</f>
        <v>0</v>
      </c>
      <c r="L104" s="111"/>
    </row>
    <row r="105" spans="2:12" s="10" customFormat="1" ht="19.95" customHeight="1">
      <c r="B105" s="111"/>
      <c r="D105" s="112" t="s">
        <v>100</v>
      </c>
      <c r="E105" s="113"/>
      <c r="F105" s="113"/>
      <c r="G105" s="113"/>
      <c r="H105" s="113"/>
      <c r="I105" s="113"/>
      <c r="J105" s="114">
        <f>J347</f>
        <v>0</v>
      </c>
      <c r="L105" s="111"/>
    </row>
    <row r="106" spans="2:12" s="10" customFormat="1" ht="14.85" customHeight="1">
      <c r="B106" s="111"/>
      <c r="D106" s="112" t="s">
        <v>101</v>
      </c>
      <c r="E106" s="113"/>
      <c r="F106" s="113"/>
      <c r="G106" s="113"/>
      <c r="H106" s="113"/>
      <c r="I106" s="113"/>
      <c r="J106" s="114">
        <f>J431</f>
        <v>0</v>
      </c>
      <c r="L106" s="111"/>
    </row>
    <row r="107" spans="2:12" s="10" customFormat="1" ht="19.95" customHeight="1">
      <c r="B107" s="111"/>
      <c r="D107" s="112" t="s">
        <v>102</v>
      </c>
      <c r="E107" s="113"/>
      <c r="F107" s="113"/>
      <c r="G107" s="113"/>
      <c r="H107" s="113"/>
      <c r="I107" s="113"/>
      <c r="J107" s="114">
        <f>J444</f>
        <v>0</v>
      </c>
      <c r="L107" s="111"/>
    </row>
    <row r="108" spans="2:12" s="10" customFormat="1" ht="19.95" customHeight="1">
      <c r="B108" s="111"/>
      <c r="D108" s="112" t="s">
        <v>103</v>
      </c>
      <c r="E108" s="113"/>
      <c r="F108" s="113"/>
      <c r="G108" s="113"/>
      <c r="H108" s="113"/>
      <c r="I108" s="113"/>
      <c r="J108" s="114">
        <f>J460</f>
        <v>0</v>
      </c>
      <c r="L108" s="111"/>
    </row>
    <row r="109" spans="2:12" s="9" customFormat="1" ht="24.9" customHeight="1">
      <c r="B109" s="107"/>
      <c r="D109" s="108" t="s">
        <v>104</v>
      </c>
      <c r="E109" s="109"/>
      <c r="F109" s="109"/>
      <c r="G109" s="109"/>
      <c r="H109" s="109"/>
      <c r="I109" s="109"/>
      <c r="J109" s="110">
        <f>J463</f>
        <v>0</v>
      </c>
      <c r="L109" s="107"/>
    </row>
    <row r="110" spans="2:12" s="10" customFormat="1" ht="19.95" customHeight="1">
      <c r="B110" s="111"/>
      <c r="D110" s="112" t="s">
        <v>105</v>
      </c>
      <c r="E110" s="113"/>
      <c r="F110" s="113"/>
      <c r="G110" s="113"/>
      <c r="H110" s="113"/>
      <c r="I110" s="113"/>
      <c r="J110" s="114">
        <f>J464</f>
        <v>0</v>
      </c>
      <c r="L110" s="111"/>
    </row>
    <row r="111" spans="2:12" s="10" customFormat="1" ht="19.95" customHeight="1">
      <c r="B111" s="111"/>
      <c r="D111" s="112" t="s">
        <v>106</v>
      </c>
      <c r="E111" s="113"/>
      <c r="F111" s="113"/>
      <c r="G111" s="113"/>
      <c r="H111" s="113"/>
      <c r="I111" s="113"/>
      <c r="J111" s="114">
        <f>J468</f>
        <v>0</v>
      </c>
      <c r="L111" s="111"/>
    </row>
    <row r="112" spans="2:12" s="10" customFormat="1" ht="19.95" customHeight="1">
      <c r="B112" s="111"/>
      <c r="D112" s="112" t="s">
        <v>107</v>
      </c>
      <c r="E112" s="113"/>
      <c r="F112" s="113"/>
      <c r="G112" s="113"/>
      <c r="H112" s="113"/>
      <c r="I112" s="113"/>
      <c r="J112" s="114">
        <f>J487</f>
        <v>0</v>
      </c>
      <c r="L112" s="111"/>
    </row>
    <row r="113" spans="1:31" s="10" customFormat="1" ht="19.95" customHeight="1">
      <c r="B113" s="111"/>
      <c r="D113" s="112" t="s">
        <v>108</v>
      </c>
      <c r="E113" s="113"/>
      <c r="F113" s="113"/>
      <c r="G113" s="113"/>
      <c r="H113" s="113"/>
      <c r="I113" s="113"/>
      <c r="J113" s="114">
        <f>J494</f>
        <v>0</v>
      </c>
      <c r="L113" s="111"/>
    </row>
    <row r="114" spans="1:31" s="10" customFormat="1" ht="19.95" customHeight="1">
      <c r="B114" s="111"/>
      <c r="D114" s="112" t="s">
        <v>109</v>
      </c>
      <c r="E114" s="113"/>
      <c r="F114" s="113"/>
      <c r="G114" s="113"/>
      <c r="H114" s="113"/>
      <c r="I114" s="113"/>
      <c r="J114" s="114">
        <f>J500</f>
        <v>0</v>
      </c>
      <c r="L114" s="111"/>
    </row>
    <row r="115" spans="1:31" s="10" customFormat="1" ht="19.95" customHeight="1">
      <c r="B115" s="111"/>
      <c r="D115" s="112" t="s">
        <v>110</v>
      </c>
      <c r="E115" s="113"/>
      <c r="F115" s="113"/>
      <c r="G115" s="113"/>
      <c r="H115" s="113"/>
      <c r="I115" s="113"/>
      <c r="J115" s="114">
        <f>J516</f>
        <v>0</v>
      </c>
      <c r="L115" s="111"/>
    </row>
    <row r="116" spans="1:31" s="10" customFormat="1" ht="19.95" customHeight="1">
      <c r="B116" s="111"/>
      <c r="D116" s="112" t="s">
        <v>111</v>
      </c>
      <c r="E116" s="113"/>
      <c r="F116" s="113"/>
      <c r="G116" s="113"/>
      <c r="H116" s="113"/>
      <c r="I116" s="113"/>
      <c r="J116" s="114">
        <f>J530</f>
        <v>0</v>
      </c>
      <c r="L116" s="111"/>
    </row>
    <row r="117" spans="1:31" s="10" customFormat="1" ht="19.95" customHeight="1">
      <c r="B117" s="111"/>
      <c r="D117" s="112" t="s">
        <v>112</v>
      </c>
      <c r="E117" s="113"/>
      <c r="F117" s="113"/>
      <c r="G117" s="113"/>
      <c r="H117" s="113"/>
      <c r="I117" s="113"/>
      <c r="J117" s="114">
        <f>J547</f>
        <v>0</v>
      </c>
      <c r="L117" s="111"/>
    </row>
    <row r="118" spans="1:31" s="10" customFormat="1" ht="19.95" customHeight="1">
      <c r="B118" s="111"/>
      <c r="D118" s="112" t="s">
        <v>113</v>
      </c>
      <c r="E118" s="113"/>
      <c r="F118" s="113"/>
      <c r="G118" s="113"/>
      <c r="H118" s="113"/>
      <c r="I118" s="113"/>
      <c r="J118" s="114">
        <f>J560</f>
        <v>0</v>
      </c>
      <c r="L118" s="111"/>
    </row>
    <row r="119" spans="1:31" s="10" customFormat="1" ht="19.95" customHeight="1">
      <c r="B119" s="111"/>
      <c r="D119" s="112" t="s">
        <v>114</v>
      </c>
      <c r="E119" s="113"/>
      <c r="F119" s="113"/>
      <c r="G119" s="113"/>
      <c r="H119" s="113"/>
      <c r="I119" s="113"/>
      <c r="J119" s="114">
        <f>J573</f>
        <v>0</v>
      </c>
      <c r="L119" s="111"/>
    </row>
    <row r="120" spans="1:31" s="9" customFormat="1" ht="24.9" customHeight="1">
      <c r="B120" s="107"/>
      <c r="D120" s="108" t="s">
        <v>115</v>
      </c>
      <c r="E120" s="109"/>
      <c r="F120" s="109"/>
      <c r="G120" s="109"/>
      <c r="H120" s="109"/>
      <c r="I120" s="109"/>
      <c r="J120" s="110">
        <f>J581</f>
        <v>0</v>
      </c>
      <c r="L120" s="107"/>
    </row>
    <row r="121" spans="1:31" s="10" customFormat="1" ht="19.95" customHeight="1">
      <c r="B121" s="111"/>
      <c r="D121" s="112" t="s">
        <v>116</v>
      </c>
      <c r="E121" s="113"/>
      <c r="F121" s="113"/>
      <c r="G121" s="113"/>
      <c r="H121" s="113"/>
      <c r="I121" s="113"/>
      <c r="J121" s="114">
        <f>J582</f>
        <v>0</v>
      </c>
      <c r="L121" s="111"/>
    </row>
    <row r="122" spans="1:31" s="10" customFormat="1" ht="19.95" customHeight="1">
      <c r="B122" s="111"/>
      <c r="D122" s="112" t="s">
        <v>117</v>
      </c>
      <c r="E122" s="113"/>
      <c r="F122" s="113"/>
      <c r="G122" s="113"/>
      <c r="H122" s="113"/>
      <c r="I122" s="113"/>
      <c r="J122" s="114">
        <f>J591</f>
        <v>0</v>
      </c>
      <c r="L122" s="111"/>
    </row>
    <row r="123" spans="1:31" s="10" customFormat="1" ht="19.95" customHeight="1">
      <c r="B123" s="111"/>
      <c r="D123" s="112" t="s">
        <v>118</v>
      </c>
      <c r="E123" s="113"/>
      <c r="F123" s="113"/>
      <c r="G123" s="113"/>
      <c r="H123" s="113"/>
      <c r="I123" s="113"/>
      <c r="J123" s="114">
        <f>J594</f>
        <v>0</v>
      </c>
      <c r="L123" s="111"/>
    </row>
    <row r="124" spans="1:31" s="10" customFormat="1" ht="19.95" customHeight="1">
      <c r="B124" s="111"/>
      <c r="D124" s="112" t="s">
        <v>119</v>
      </c>
      <c r="E124" s="113"/>
      <c r="F124" s="113"/>
      <c r="G124" s="113"/>
      <c r="H124" s="113"/>
      <c r="I124" s="113"/>
      <c r="J124" s="114">
        <f>J599</f>
        <v>0</v>
      </c>
      <c r="L124" s="111"/>
    </row>
    <row r="125" spans="1:31" s="10" customFormat="1" ht="19.95" customHeight="1">
      <c r="B125" s="111"/>
      <c r="D125" s="112" t="s">
        <v>120</v>
      </c>
      <c r="E125" s="113"/>
      <c r="F125" s="113"/>
      <c r="G125" s="113"/>
      <c r="H125" s="113"/>
      <c r="I125" s="113"/>
      <c r="J125" s="114">
        <f>J604</f>
        <v>0</v>
      </c>
      <c r="L125" s="111"/>
    </row>
    <row r="126" spans="1:31" s="10" customFormat="1" ht="19.95" customHeight="1">
      <c r="B126" s="111"/>
      <c r="D126" s="112" t="s">
        <v>121</v>
      </c>
      <c r="E126" s="113"/>
      <c r="F126" s="113"/>
      <c r="G126" s="113"/>
      <c r="H126" s="113"/>
      <c r="I126" s="113"/>
      <c r="J126" s="114">
        <f>J607</f>
        <v>0</v>
      </c>
      <c r="L126" s="111"/>
    </row>
    <row r="127" spans="1:31" s="2" customFormat="1" ht="21.75" customHeight="1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6.9" customHeight="1">
      <c r="A128" s="30"/>
      <c r="B128" s="45"/>
      <c r="C128" s="46"/>
      <c r="D128" s="46"/>
      <c r="E128" s="46"/>
      <c r="F128" s="46"/>
      <c r="G128" s="46"/>
      <c r="H128" s="46"/>
      <c r="I128" s="46"/>
      <c r="J128" s="46"/>
      <c r="K128" s="46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32" spans="1:31" s="2" customFormat="1" ht="6.9" customHeight="1">
      <c r="A132" s="30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31" s="2" customFormat="1" ht="24.9" customHeight="1">
      <c r="A133" s="30"/>
      <c r="B133" s="31"/>
      <c r="C133" s="22" t="s">
        <v>122</v>
      </c>
      <c r="D133" s="30"/>
      <c r="E133" s="30"/>
      <c r="F133" s="30"/>
      <c r="G133" s="30"/>
      <c r="H133" s="30"/>
      <c r="I133" s="30"/>
      <c r="J133" s="30"/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31" s="2" customFormat="1" ht="6.9" customHeight="1">
      <c r="A134" s="30"/>
      <c r="B134" s="31"/>
      <c r="C134" s="30"/>
      <c r="D134" s="30"/>
      <c r="E134" s="30"/>
      <c r="F134" s="30"/>
      <c r="G134" s="30"/>
      <c r="H134" s="30"/>
      <c r="I134" s="30"/>
      <c r="J134" s="30"/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31" s="2" customFormat="1" ht="12" customHeight="1">
      <c r="A135" s="30"/>
      <c r="B135" s="31"/>
      <c r="C135" s="27" t="s">
        <v>14</v>
      </c>
      <c r="D135" s="30"/>
      <c r="E135" s="30"/>
      <c r="F135" s="30"/>
      <c r="G135" s="30"/>
      <c r="H135" s="30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31" s="2" customFormat="1" ht="16.5" customHeight="1">
      <c r="A136" s="30"/>
      <c r="B136" s="31"/>
      <c r="C136" s="30"/>
      <c r="D136" s="30"/>
      <c r="E136" s="361" t="str">
        <f>E7</f>
        <v>DPO MARTINOV - VRÁTNICE , VJEZD</v>
      </c>
      <c r="F136" s="362"/>
      <c r="G136" s="362"/>
      <c r="H136" s="362"/>
      <c r="I136" s="30"/>
      <c r="J136" s="30"/>
      <c r="K136" s="30"/>
      <c r="L136" s="4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31" s="2" customFormat="1" ht="12" customHeight="1">
      <c r="A137" s="30"/>
      <c r="B137" s="31"/>
      <c r="C137" s="27" t="s">
        <v>84</v>
      </c>
      <c r="D137" s="30"/>
      <c r="E137" s="30"/>
      <c r="F137" s="30"/>
      <c r="G137" s="30"/>
      <c r="H137" s="30"/>
      <c r="I137" s="30"/>
      <c r="J137" s="30"/>
      <c r="K137" s="30"/>
      <c r="L137" s="4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31" s="2" customFormat="1" ht="16.5" customHeight="1">
      <c r="A138" s="30"/>
      <c r="B138" s="31"/>
      <c r="C138" s="30"/>
      <c r="D138" s="30"/>
      <c r="E138" s="348" t="str">
        <f>E9</f>
        <v xml:space="preserve">D.1 - Stavebně technický propočet nákladů _ 1. ETAPA - vrátnice , vjezd </v>
      </c>
      <c r="F138" s="363"/>
      <c r="G138" s="363"/>
      <c r="H138" s="363"/>
      <c r="I138" s="30"/>
      <c r="J138" s="30"/>
      <c r="K138" s="30"/>
      <c r="L138" s="4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31" s="2" customFormat="1" ht="6.9" customHeight="1">
      <c r="A139" s="30"/>
      <c r="B139" s="31"/>
      <c r="C139" s="30"/>
      <c r="D139" s="30"/>
      <c r="E139" s="30"/>
      <c r="F139" s="30"/>
      <c r="G139" s="30"/>
      <c r="H139" s="30"/>
      <c r="I139" s="30"/>
      <c r="J139" s="30"/>
      <c r="K139" s="30"/>
      <c r="L139" s="4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31" s="2" customFormat="1" ht="12" customHeight="1">
      <c r="A140" s="30"/>
      <c r="B140" s="31"/>
      <c r="C140" s="27" t="s">
        <v>18</v>
      </c>
      <c r="D140" s="30"/>
      <c r="E140" s="30"/>
      <c r="F140" s="25" t="str">
        <f>F12</f>
        <v xml:space="preserve"> </v>
      </c>
      <c r="G140" s="30"/>
      <c r="H140" s="30"/>
      <c r="I140" s="27" t="s">
        <v>20</v>
      </c>
      <c r="J140" s="53">
        <f>IF(J12="","",J12)</f>
        <v>45595</v>
      </c>
      <c r="K140" s="30"/>
      <c r="L140" s="4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  <row r="141" spans="1:31" s="2" customFormat="1" ht="6.9" customHeight="1">
      <c r="A141" s="30"/>
      <c r="B141" s="31"/>
      <c r="C141" s="30"/>
      <c r="D141" s="30"/>
      <c r="E141" s="30"/>
      <c r="F141" s="30"/>
      <c r="G141" s="30"/>
      <c r="H141" s="30"/>
      <c r="I141" s="30"/>
      <c r="J141" s="30"/>
      <c r="K141" s="30"/>
      <c r="L141" s="4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31" s="2" customFormat="1" ht="25.65" customHeight="1">
      <c r="A142" s="30"/>
      <c r="B142" s="31"/>
      <c r="C142" s="27" t="s">
        <v>21</v>
      </c>
      <c r="D142" s="30"/>
      <c r="E142" s="30"/>
      <c r="F142" s="25" t="str">
        <f>E15</f>
        <v>DOPRAVNÍ PODNIK OSTRAVA a.s.</v>
      </c>
      <c r="G142" s="30"/>
      <c r="H142" s="30"/>
      <c r="I142" s="27" t="s">
        <v>26</v>
      </c>
      <c r="J142" s="28" t="str">
        <f>E21</f>
        <v>PROJEKTSTUDIO EUCZ s.r.o.</v>
      </c>
      <c r="K142" s="30"/>
      <c r="L142" s="4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</row>
    <row r="143" spans="1:31" s="2" customFormat="1" ht="15.15" customHeight="1">
      <c r="A143" s="30"/>
      <c r="B143" s="31"/>
      <c r="C143" s="27" t="s">
        <v>25</v>
      </c>
      <c r="D143" s="30"/>
      <c r="E143" s="30"/>
      <c r="F143" s="25" t="str">
        <f>IF(E18="","",E18)</f>
        <v>Vyplň údaj</v>
      </c>
      <c r="G143" s="30"/>
      <c r="H143" s="30"/>
      <c r="I143" s="27" t="s">
        <v>29</v>
      </c>
      <c r="J143" s="28" t="str">
        <f>E24</f>
        <v xml:space="preserve"> </v>
      </c>
      <c r="K143" s="30"/>
      <c r="L143" s="4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  <row r="144" spans="1:31" s="2" customFormat="1" ht="10.35" customHeight="1">
      <c r="A144" s="30"/>
      <c r="B144" s="31"/>
      <c r="C144" s="30"/>
      <c r="D144" s="30"/>
      <c r="E144" s="30"/>
      <c r="F144" s="30"/>
      <c r="G144" s="30"/>
      <c r="H144" s="30"/>
      <c r="I144" s="30"/>
      <c r="J144" s="30"/>
      <c r="K144" s="30"/>
      <c r="L144" s="4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  <row r="145" spans="1:65" s="11" customFormat="1" ht="29.25" customHeight="1">
      <c r="A145" s="115"/>
      <c r="B145" s="116"/>
      <c r="C145" s="117" t="s">
        <v>123</v>
      </c>
      <c r="D145" s="118" t="s">
        <v>57</v>
      </c>
      <c r="E145" s="118" t="s">
        <v>53</v>
      </c>
      <c r="F145" s="118" t="s">
        <v>54</v>
      </c>
      <c r="G145" s="118" t="s">
        <v>124</v>
      </c>
      <c r="H145" s="118" t="s">
        <v>125</v>
      </c>
      <c r="I145" s="118" t="s">
        <v>126</v>
      </c>
      <c r="J145" s="118" t="s">
        <v>89</v>
      </c>
      <c r="K145" s="119" t="s">
        <v>127</v>
      </c>
      <c r="L145" s="120"/>
      <c r="M145" s="60" t="s">
        <v>1</v>
      </c>
      <c r="N145" s="61" t="s">
        <v>36</v>
      </c>
      <c r="O145" s="61" t="s">
        <v>128</v>
      </c>
      <c r="P145" s="61" t="s">
        <v>129</v>
      </c>
      <c r="Q145" s="61" t="s">
        <v>130</v>
      </c>
      <c r="R145" s="61" t="s">
        <v>131</v>
      </c>
      <c r="S145" s="61" t="s">
        <v>132</v>
      </c>
      <c r="T145" s="62" t="s">
        <v>133</v>
      </c>
      <c r="U145" s="115"/>
      <c r="V145" s="115"/>
      <c r="W145" s="115"/>
      <c r="X145" s="115"/>
      <c r="Y145" s="115"/>
      <c r="Z145" s="115"/>
      <c r="AA145" s="115"/>
      <c r="AB145" s="115"/>
      <c r="AC145" s="115"/>
      <c r="AD145" s="115"/>
      <c r="AE145" s="115"/>
    </row>
    <row r="146" spans="1:65" s="2" customFormat="1" ht="22.95" customHeight="1">
      <c r="A146" s="30"/>
      <c r="B146" s="31"/>
      <c r="C146" s="67" t="s">
        <v>134</v>
      </c>
      <c r="D146" s="30"/>
      <c r="E146" s="30"/>
      <c r="F146" s="30"/>
      <c r="G146" s="30"/>
      <c r="H146" s="30"/>
      <c r="I146" s="30"/>
      <c r="J146" s="121">
        <f>J147+J463+J581</f>
        <v>0</v>
      </c>
      <c r="K146" s="30"/>
      <c r="L146" s="31"/>
      <c r="M146" s="63"/>
      <c r="N146" s="54"/>
      <c r="O146" s="64"/>
      <c r="P146" s="122" t="e">
        <f>P147+P461+P579</f>
        <v>#REF!</v>
      </c>
      <c r="Q146" s="64"/>
      <c r="R146" s="122" t="e">
        <f>R147+R461+R579</f>
        <v>#REF!</v>
      </c>
      <c r="S146" s="64"/>
      <c r="T146" s="123" t="e">
        <f>T147+T461+T579</f>
        <v>#REF!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T146" s="18" t="s">
        <v>71</v>
      </c>
      <c r="AU146" s="18" t="s">
        <v>91</v>
      </c>
      <c r="BK146" s="124" t="e">
        <f>BK147+BK461+BK579</f>
        <v>#REF!</v>
      </c>
    </row>
    <row r="147" spans="1:65" s="12" customFormat="1" ht="25.95" customHeight="1">
      <c r="B147" s="125"/>
      <c r="D147" s="126" t="s">
        <v>71</v>
      </c>
      <c r="E147" s="127" t="s">
        <v>135</v>
      </c>
      <c r="F147" s="127" t="s">
        <v>136</v>
      </c>
      <c r="J147" s="128">
        <f>J148+J192+J218+J228+J232+J255+J342+J347+J431+J444+J460</f>
        <v>0</v>
      </c>
      <c r="L147" s="125"/>
      <c r="M147" s="129"/>
      <c r="N147" s="130"/>
      <c r="O147" s="130"/>
      <c r="P147" s="131">
        <f>P148+P192+P218+P228+P232+P255+P342+P347+P444+P458</f>
        <v>3709.8794330000005</v>
      </c>
      <c r="Q147" s="130"/>
      <c r="R147" s="131">
        <f>R148+R192+R218+R228+R232+R255+R342+R347+R444+R458</f>
        <v>699.28857286000004</v>
      </c>
      <c r="S147" s="130"/>
      <c r="T147" s="132">
        <f>T148+T192+T218+T228+T232+T255+T342+T347+T444+T458</f>
        <v>553.36051799999996</v>
      </c>
      <c r="AR147" s="126" t="s">
        <v>80</v>
      </c>
      <c r="AT147" s="133" t="s">
        <v>71</v>
      </c>
      <c r="AU147" s="133" t="s">
        <v>72</v>
      </c>
      <c r="AY147" s="126" t="s">
        <v>137</v>
      </c>
      <c r="BK147" s="134">
        <f>BK148+BK192+BK218+BK228+BK232+BK255+BK342+BK347+BK444+BK458</f>
        <v>0</v>
      </c>
    </row>
    <row r="148" spans="1:65" s="12" customFormat="1" ht="22.95" customHeight="1">
      <c r="B148" s="125"/>
      <c r="D148" s="126" t="s">
        <v>71</v>
      </c>
      <c r="E148" s="135" t="s">
        <v>80</v>
      </c>
      <c r="F148" s="135" t="s">
        <v>138</v>
      </c>
      <c r="J148" s="136">
        <f>SUM(J149:J186)</f>
        <v>0</v>
      </c>
      <c r="L148" s="125"/>
      <c r="M148" s="129"/>
      <c r="N148" s="130"/>
      <c r="O148" s="130"/>
      <c r="P148" s="131">
        <f>SUM(P149:P191)</f>
        <v>513.13498199999992</v>
      </c>
      <c r="Q148" s="130"/>
      <c r="R148" s="131">
        <f>SUM(R149:R191)</f>
        <v>11.79</v>
      </c>
      <c r="S148" s="130"/>
      <c r="T148" s="132">
        <f>SUM(T149:T191)</f>
        <v>491.85425400000003</v>
      </c>
      <c r="AR148" s="126" t="s">
        <v>80</v>
      </c>
      <c r="AT148" s="133" t="s">
        <v>71</v>
      </c>
      <c r="AU148" s="133" t="s">
        <v>80</v>
      </c>
      <c r="AY148" s="126" t="s">
        <v>137</v>
      </c>
      <c r="BK148" s="134">
        <f>SUM(BK149:BK191)</f>
        <v>0</v>
      </c>
    </row>
    <row r="149" spans="1:65" s="2" customFormat="1" ht="16.5" customHeight="1">
      <c r="A149" s="30"/>
      <c r="B149" s="137"/>
      <c r="C149" s="138" t="s">
        <v>80</v>
      </c>
      <c r="D149" s="138" t="s">
        <v>139</v>
      </c>
      <c r="E149" s="139" t="s">
        <v>140</v>
      </c>
      <c r="F149" s="140" t="s">
        <v>141</v>
      </c>
      <c r="G149" s="141" t="s">
        <v>142</v>
      </c>
      <c r="H149" s="142">
        <v>720.13800000000003</v>
      </c>
      <c r="I149" s="318">
        <v>0</v>
      </c>
      <c r="J149" s="143">
        <f>ROUND(I149*H149,2)</f>
        <v>0</v>
      </c>
      <c r="K149" s="140" t="s">
        <v>143</v>
      </c>
      <c r="L149" s="195"/>
      <c r="M149" s="196" t="s">
        <v>1</v>
      </c>
      <c r="N149" s="197" t="s">
        <v>37</v>
      </c>
      <c r="O149" s="198">
        <v>0.185</v>
      </c>
      <c r="P149" s="198">
        <f>O149*H149</f>
        <v>133.22552999999999</v>
      </c>
      <c r="Q149" s="198">
        <v>0</v>
      </c>
      <c r="R149" s="198">
        <f>Q149*H149</f>
        <v>0</v>
      </c>
      <c r="S149" s="198">
        <v>0.44</v>
      </c>
      <c r="T149" s="199">
        <f>S149*H149</f>
        <v>316.86072000000001</v>
      </c>
      <c r="U149" s="200"/>
      <c r="V149" s="200"/>
      <c r="W149" s="200"/>
      <c r="X149" s="30"/>
      <c r="Y149" s="30"/>
      <c r="Z149" s="30"/>
      <c r="AA149" s="30"/>
      <c r="AB149" s="30"/>
      <c r="AC149" s="30"/>
      <c r="AD149" s="30"/>
      <c r="AE149" s="30"/>
      <c r="AR149" s="148" t="s">
        <v>144</v>
      </c>
      <c r="AT149" s="148" t="s">
        <v>139</v>
      </c>
      <c r="AU149" s="148" t="s">
        <v>82</v>
      </c>
      <c r="AY149" s="18" t="s">
        <v>137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8" t="s">
        <v>80</v>
      </c>
      <c r="BK149" s="149">
        <f>ROUND(I149*H149,2)</f>
        <v>0</v>
      </c>
      <c r="BL149" s="18" t="s">
        <v>144</v>
      </c>
      <c r="BM149" s="148" t="s">
        <v>145</v>
      </c>
    </row>
    <row r="150" spans="1:65" s="2" customFormat="1" ht="16.5" customHeight="1">
      <c r="A150" s="30"/>
      <c r="B150" s="137"/>
      <c r="C150" s="138" t="s">
        <v>82</v>
      </c>
      <c r="D150" s="138" t="s">
        <v>139</v>
      </c>
      <c r="E150" s="139" t="s">
        <v>146</v>
      </c>
      <c r="F150" s="140" t="s">
        <v>147</v>
      </c>
      <c r="G150" s="141" t="s">
        <v>142</v>
      </c>
      <c r="H150" s="142">
        <v>720.13800000000003</v>
      </c>
      <c r="I150" s="318">
        <v>0</v>
      </c>
      <c r="J150" s="143">
        <f>ROUND(I150*H150,2)</f>
        <v>0</v>
      </c>
      <c r="K150" s="140" t="s">
        <v>148</v>
      </c>
      <c r="L150" s="195"/>
      <c r="M150" s="196" t="s">
        <v>1</v>
      </c>
      <c r="N150" s="197" t="s">
        <v>37</v>
      </c>
      <c r="O150" s="198">
        <v>0.317</v>
      </c>
      <c r="P150" s="198">
        <f>O150*H150</f>
        <v>228.28374600000001</v>
      </c>
      <c r="Q150" s="198">
        <v>0</v>
      </c>
      <c r="R150" s="198">
        <f>Q150*H150</f>
        <v>0</v>
      </c>
      <c r="S150" s="198">
        <v>0.24299999999999999</v>
      </c>
      <c r="T150" s="199">
        <f>S150*H150</f>
        <v>174.99353400000001</v>
      </c>
      <c r="U150" s="200"/>
      <c r="V150" s="200"/>
      <c r="W150" s="200"/>
      <c r="X150" s="30"/>
      <c r="Y150" s="30"/>
      <c r="Z150" s="30"/>
      <c r="AA150" s="30"/>
      <c r="AB150" s="30"/>
      <c r="AC150" s="30"/>
      <c r="AD150" s="30"/>
      <c r="AE150" s="30"/>
      <c r="AR150" s="148" t="s">
        <v>144</v>
      </c>
      <c r="AT150" s="148" t="s">
        <v>139</v>
      </c>
      <c r="AU150" s="148" t="s">
        <v>82</v>
      </c>
      <c r="AY150" s="18" t="s">
        <v>137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8" t="s">
        <v>80</v>
      </c>
      <c r="BK150" s="149">
        <f>ROUND(I150*H150,2)</f>
        <v>0</v>
      </c>
      <c r="BL150" s="18" t="s">
        <v>144</v>
      </c>
      <c r="BM150" s="148" t="s">
        <v>149</v>
      </c>
    </row>
    <row r="151" spans="1:65" s="2" customFormat="1" ht="19.2">
      <c r="A151" s="30"/>
      <c r="B151" s="31"/>
      <c r="C151" s="30"/>
      <c r="D151" s="150" t="s">
        <v>150</v>
      </c>
      <c r="E151" s="30"/>
      <c r="F151" s="151" t="s">
        <v>151</v>
      </c>
      <c r="G151" s="30"/>
      <c r="H151" s="30"/>
      <c r="I151" s="30"/>
      <c r="J151" s="30"/>
      <c r="K151" s="30"/>
      <c r="L151" s="195"/>
      <c r="M151" s="201"/>
      <c r="N151" s="202"/>
      <c r="O151" s="202"/>
      <c r="P151" s="202"/>
      <c r="Q151" s="202"/>
      <c r="R151" s="202"/>
      <c r="S151" s="202"/>
      <c r="T151" s="203"/>
      <c r="U151" s="200"/>
      <c r="V151" s="200"/>
      <c r="W151" s="200"/>
      <c r="X151" s="30"/>
      <c r="Y151" s="30"/>
      <c r="Z151" s="30"/>
      <c r="AA151" s="30"/>
      <c r="AB151" s="30"/>
      <c r="AC151" s="30"/>
      <c r="AD151" s="30"/>
      <c r="AE151" s="30"/>
      <c r="AT151" s="18" t="s">
        <v>150</v>
      </c>
      <c r="AU151" s="18" t="s">
        <v>82</v>
      </c>
    </row>
    <row r="152" spans="1:65" s="13" customFormat="1">
      <c r="B152" s="154"/>
      <c r="D152" s="150" t="s">
        <v>152</v>
      </c>
      <c r="E152" s="155" t="s">
        <v>1</v>
      </c>
      <c r="F152" s="156" t="s">
        <v>153</v>
      </c>
      <c r="H152" s="155" t="s">
        <v>1</v>
      </c>
      <c r="L152" s="195"/>
      <c r="M152" s="201"/>
      <c r="N152" s="202"/>
      <c r="O152" s="202"/>
      <c r="P152" s="202"/>
      <c r="Q152" s="202"/>
      <c r="R152" s="202"/>
      <c r="S152" s="202"/>
      <c r="T152" s="203"/>
      <c r="U152" s="200"/>
      <c r="V152" s="200"/>
      <c r="W152" s="200"/>
      <c r="AT152" s="155" t="s">
        <v>152</v>
      </c>
      <c r="AU152" s="155" t="s">
        <v>82</v>
      </c>
      <c r="AV152" s="13" t="s">
        <v>80</v>
      </c>
      <c r="AW152" s="13" t="s">
        <v>28</v>
      </c>
      <c r="AX152" s="13" t="s">
        <v>72</v>
      </c>
      <c r="AY152" s="155" t="s">
        <v>137</v>
      </c>
    </row>
    <row r="153" spans="1:65" s="14" customFormat="1">
      <c r="B153" s="160"/>
      <c r="D153" s="150" t="s">
        <v>152</v>
      </c>
      <c r="E153" s="161" t="s">
        <v>1</v>
      </c>
      <c r="F153" s="162" t="s">
        <v>154</v>
      </c>
      <c r="H153" s="163">
        <v>337.01299999999998</v>
      </c>
      <c r="L153" s="195"/>
      <c r="M153" s="201"/>
      <c r="N153" s="202"/>
      <c r="O153" s="202"/>
      <c r="P153" s="202"/>
      <c r="Q153" s="202"/>
      <c r="R153" s="202"/>
      <c r="S153" s="202"/>
      <c r="T153" s="203"/>
      <c r="U153" s="200"/>
      <c r="V153" s="200"/>
      <c r="W153" s="200"/>
      <c r="AT153" s="161" t="s">
        <v>152</v>
      </c>
      <c r="AU153" s="161" t="s">
        <v>82</v>
      </c>
      <c r="AV153" s="14" t="s">
        <v>82</v>
      </c>
      <c r="AW153" s="14" t="s">
        <v>28</v>
      </c>
      <c r="AX153" s="14" t="s">
        <v>72</v>
      </c>
      <c r="AY153" s="161" t="s">
        <v>137</v>
      </c>
    </row>
    <row r="154" spans="1:65" s="14" customFormat="1">
      <c r="B154" s="160"/>
      <c r="D154" s="150" t="s">
        <v>152</v>
      </c>
      <c r="E154" s="161" t="s">
        <v>1</v>
      </c>
      <c r="F154" s="162" t="s">
        <v>155</v>
      </c>
      <c r="H154" s="163">
        <v>52.5</v>
      </c>
      <c r="L154" s="195"/>
      <c r="M154" s="201"/>
      <c r="N154" s="202"/>
      <c r="O154" s="202"/>
      <c r="P154" s="202"/>
      <c r="Q154" s="202"/>
      <c r="R154" s="202"/>
      <c r="S154" s="202"/>
      <c r="T154" s="203"/>
      <c r="U154" s="200"/>
      <c r="V154" s="200"/>
      <c r="W154" s="200"/>
      <c r="AT154" s="161" t="s">
        <v>152</v>
      </c>
      <c r="AU154" s="161" t="s">
        <v>82</v>
      </c>
      <c r="AV154" s="14" t="s">
        <v>82</v>
      </c>
      <c r="AW154" s="14" t="s">
        <v>28</v>
      </c>
      <c r="AX154" s="14" t="s">
        <v>72</v>
      </c>
      <c r="AY154" s="161" t="s">
        <v>137</v>
      </c>
    </row>
    <row r="155" spans="1:65" s="14" customFormat="1">
      <c r="B155" s="160"/>
      <c r="D155" s="150" t="s">
        <v>152</v>
      </c>
      <c r="E155" s="161" t="s">
        <v>1</v>
      </c>
      <c r="F155" s="162" t="s">
        <v>156</v>
      </c>
      <c r="H155" s="163">
        <v>330.625</v>
      </c>
      <c r="L155" s="195"/>
      <c r="M155" s="201"/>
      <c r="N155" s="202"/>
      <c r="O155" s="202"/>
      <c r="P155" s="202"/>
      <c r="Q155" s="202"/>
      <c r="R155" s="202"/>
      <c r="S155" s="202"/>
      <c r="T155" s="203"/>
      <c r="U155" s="200"/>
      <c r="V155" s="200"/>
      <c r="W155" s="200"/>
      <c r="AT155" s="161" t="s">
        <v>152</v>
      </c>
      <c r="AU155" s="161" t="s">
        <v>82</v>
      </c>
      <c r="AV155" s="14" t="s">
        <v>82</v>
      </c>
      <c r="AW155" s="14" t="s">
        <v>28</v>
      </c>
      <c r="AX155" s="14" t="s">
        <v>72</v>
      </c>
      <c r="AY155" s="161" t="s">
        <v>137</v>
      </c>
    </row>
    <row r="156" spans="1:65" s="15" customFormat="1">
      <c r="B156" s="167"/>
      <c r="D156" s="150" t="s">
        <v>152</v>
      </c>
      <c r="E156" s="168" t="s">
        <v>1</v>
      </c>
      <c r="F156" s="169" t="s">
        <v>157</v>
      </c>
      <c r="H156" s="170">
        <v>720.13800000000003</v>
      </c>
      <c r="L156" s="195"/>
      <c r="M156" s="201"/>
      <c r="N156" s="202"/>
      <c r="O156" s="202"/>
      <c r="P156" s="202"/>
      <c r="Q156" s="202"/>
      <c r="R156" s="202"/>
      <c r="S156" s="202"/>
      <c r="T156" s="203"/>
      <c r="U156" s="200"/>
      <c r="V156" s="200"/>
      <c r="W156" s="200"/>
      <c r="AT156" s="168" t="s">
        <v>152</v>
      </c>
      <c r="AU156" s="168" t="s">
        <v>82</v>
      </c>
      <c r="AV156" s="15" t="s">
        <v>144</v>
      </c>
      <c r="AW156" s="15" t="s">
        <v>28</v>
      </c>
      <c r="AX156" s="15" t="s">
        <v>80</v>
      </c>
      <c r="AY156" s="168" t="s">
        <v>137</v>
      </c>
    </row>
    <row r="157" spans="1:65" s="15" customFormat="1" ht="11.4">
      <c r="B157" s="167"/>
      <c r="C157" s="250" t="s">
        <v>158</v>
      </c>
      <c r="D157" s="210" t="s">
        <v>139</v>
      </c>
      <c r="E157" s="211" t="s">
        <v>807</v>
      </c>
      <c r="F157" s="212" t="s">
        <v>809</v>
      </c>
      <c r="G157" s="213" t="s">
        <v>187</v>
      </c>
      <c r="H157" s="251">
        <v>316.86</v>
      </c>
      <c r="I157" s="318">
        <v>0</v>
      </c>
      <c r="J157" s="214">
        <f>ROUND(I157*H157,2)</f>
        <v>0</v>
      </c>
      <c r="K157" s="212" t="s">
        <v>148</v>
      </c>
      <c r="L157" s="195"/>
      <c r="M157" s="201"/>
      <c r="N157" s="202"/>
      <c r="O157" s="202"/>
      <c r="P157" s="202"/>
      <c r="Q157" s="202"/>
      <c r="R157" s="202"/>
      <c r="S157" s="202"/>
      <c r="T157" s="203"/>
      <c r="U157" s="200"/>
      <c r="V157" s="200"/>
      <c r="W157" s="200"/>
      <c r="AT157" s="168"/>
      <c r="AU157" s="168"/>
      <c r="AY157" s="168"/>
    </row>
    <row r="158" spans="1:65" s="15" customFormat="1" ht="11.4">
      <c r="B158" s="167"/>
      <c r="C158" s="252"/>
      <c r="D158" s="253"/>
      <c r="E158" s="254"/>
      <c r="F158" s="277" t="s">
        <v>815</v>
      </c>
      <c r="G158" s="256"/>
      <c r="H158" s="257"/>
      <c r="I158" s="258"/>
      <c r="J158" s="258"/>
      <c r="K158" s="255"/>
      <c r="L158" s="195"/>
      <c r="M158" s="201"/>
      <c r="N158" s="202"/>
      <c r="O158" s="202"/>
      <c r="P158" s="202"/>
      <c r="Q158" s="202"/>
      <c r="R158" s="202"/>
      <c r="S158" s="202"/>
      <c r="T158" s="203"/>
      <c r="U158" s="200"/>
      <c r="V158" s="200"/>
      <c r="W158" s="200"/>
      <c r="AT158" s="168"/>
      <c r="AU158" s="168"/>
      <c r="AY158" s="168"/>
    </row>
    <row r="159" spans="1:65" s="15" customFormat="1">
      <c r="B159" s="167"/>
      <c r="D159" s="150"/>
      <c r="E159" s="168"/>
      <c r="F159" s="278" t="s">
        <v>808</v>
      </c>
      <c r="H159" s="170"/>
      <c r="L159" s="195"/>
      <c r="M159" s="201"/>
      <c r="N159" s="202"/>
      <c r="O159" s="202"/>
      <c r="P159" s="202"/>
      <c r="Q159" s="202"/>
      <c r="R159" s="202"/>
      <c r="S159" s="202"/>
      <c r="T159" s="203"/>
      <c r="U159" s="200"/>
      <c r="V159" s="200"/>
      <c r="W159" s="200"/>
      <c r="AT159" s="168"/>
      <c r="AU159" s="168"/>
      <c r="AY159" s="168"/>
    </row>
    <row r="160" spans="1:65" s="2" customFormat="1" ht="16.5" customHeight="1">
      <c r="A160" s="30"/>
      <c r="B160" s="137"/>
      <c r="C160" s="138">
        <v>4</v>
      </c>
      <c r="D160" s="138" t="s">
        <v>139</v>
      </c>
      <c r="E160" s="139" t="s">
        <v>159</v>
      </c>
      <c r="F160" s="140" t="s">
        <v>160</v>
      </c>
      <c r="G160" s="141" t="s">
        <v>161</v>
      </c>
      <c r="H160" s="280">
        <f>H166</f>
        <v>16.373999999999999</v>
      </c>
      <c r="I160" s="318">
        <v>0</v>
      </c>
      <c r="J160" s="143">
        <f>ROUND(I160*H160,2)</f>
        <v>0</v>
      </c>
      <c r="K160" s="140" t="s">
        <v>143</v>
      </c>
      <c r="L160" s="195"/>
      <c r="M160" s="196" t="s">
        <v>1</v>
      </c>
      <c r="N160" s="197" t="s">
        <v>37</v>
      </c>
      <c r="O160" s="198">
        <v>0.61</v>
      </c>
      <c r="P160" s="198">
        <f>O160*H160</f>
        <v>9.9881399999999996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200"/>
      <c r="V160" s="200"/>
      <c r="W160" s="200"/>
      <c r="X160" s="30"/>
      <c r="Y160" s="30"/>
      <c r="Z160" s="30"/>
      <c r="AA160" s="30"/>
      <c r="AB160" s="30"/>
      <c r="AC160" s="30"/>
      <c r="AD160" s="30"/>
      <c r="AE160" s="30"/>
      <c r="AR160" s="148" t="s">
        <v>144</v>
      </c>
      <c r="AT160" s="148" t="s">
        <v>139</v>
      </c>
      <c r="AU160" s="148" t="s">
        <v>82</v>
      </c>
      <c r="AY160" s="18" t="s">
        <v>137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8" t="s">
        <v>80</v>
      </c>
      <c r="BK160" s="149">
        <f>ROUND(I160*H160,2)</f>
        <v>0</v>
      </c>
      <c r="BL160" s="18" t="s">
        <v>144</v>
      </c>
      <c r="BM160" s="148" t="s">
        <v>162</v>
      </c>
    </row>
    <row r="161" spans="1:65" s="14" customFormat="1">
      <c r="B161" s="160"/>
      <c r="D161" s="150" t="s">
        <v>152</v>
      </c>
      <c r="E161" s="161" t="s">
        <v>1</v>
      </c>
      <c r="F161" s="204" t="s">
        <v>817</v>
      </c>
      <c r="H161" s="279">
        <v>1.2</v>
      </c>
      <c r="L161" s="206"/>
      <c r="M161" s="164"/>
      <c r="N161" s="165"/>
      <c r="O161" s="165"/>
      <c r="P161" s="165"/>
      <c r="Q161" s="165"/>
      <c r="R161" s="165"/>
      <c r="S161" s="165"/>
      <c r="T161" s="166"/>
      <c r="AT161" s="161" t="s">
        <v>152</v>
      </c>
      <c r="AU161" s="161" t="s">
        <v>82</v>
      </c>
      <c r="AV161" s="14" t="s">
        <v>82</v>
      </c>
      <c r="AW161" s="14" t="s">
        <v>28</v>
      </c>
      <c r="AX161" s="14" t="s">
        <v>72</v>
      </c>
      <c r="AY161" s="161" t="s">
        <v>137</v>
      </c>
    </row>
    <row r="162" spans="1:65" s="14" customFormat="1">
      <c r="B162" s="160"/>
      <c r="D162" s="150"/>
      <c r="E162" s="161"/>
      <c r="F162" s="278" t="s">
        <v>816</v>
      </c>
      <c r="H162" s="279">
        <f>1.5*0.6*1.5</f>
        <v>1.3499999999999999</v>
      </c>
      <c r="L162" s="206"/>
      <c r="M162" s="164"/>
      <c r="N162" s="165"/>
      <c r="O162" s="165"/>
      <c r="P162" s="165"/>
      <c r="Q162" s="165"/>
      <c r="R162" s="165"/>
      <c r="S162" s="165"/>
      <c r="T162" s="166"/>
      <c r="AT162" s="161"/>
      <c r="AU162" s="161"/>
      <c r="AY162" s="161"/>
    </row>
    <row r="163" spans="1:65" s="14" customFormat="1">
      <c r="B163" s="160"/>
      <c r="D163" s="150"/>
      <c r="E163" s="161"/>
      <c r="F163" s="278" t="s">
        <v>780</v>
      </c>
      <c r="H163" s="279">
        <f>17*0.6*0.6*1.2</f>
        <v>7.3439999999999985</v>
      </c>
      <c r="L163" s="206"/>
      <c r="M163" s="164"/>
      <c r="N163" s="165"/>
      <c r="O163" s="165"/>
      <c r="P163" s="165"/>
      <c r="Q163" s="165"/>
      <c r="R163" s="165"/>
      <c r="S163" s="165"/>
      <c r="T163" s="166"/>
      <c r="AT163" s="161"/>
      <c r="AU163" s="161"/>
      <c r="AY163" s="161"/>
    </row>
    <row r="164" spans="1:65" s="14" customFormat="1">
      <c r="B164" s="160"/>
      <c r="D164" s="150"/>
      <c r="E164" s="161"/>
      <c r="F164" s="278" t="s">
        <v>781</v>
      </c>
      <c r="H164" s="279">
        <f>(3*0.8*0.6*1.2)+(4*0.6*0.6*1.2)</f>
        <v>3.4560000000000004</v>
      </c>
      <c r="L164" s="206"/>
      <c r="M164" s="164"/>
      <c r="N164" s="165"/>
      <c r="O164" s="165"/>
      <c r="P164" s="165"/>
      <c r="Q164" s="165"/>
      <c r="R164" s="165"/>
      <c r="S164" s="165"/>
      <c r="T164" s="166"/>
      <c r="AT164" s="161"/>
      <c r="AU164" s="161"/>
      <c r="AY164" s="161"/>
    </row>
    <row r="165" spans="1:65" s="14" customFormat="1">
      <c r="B165" s="160"/>
      <c r="D165" s="150"/>
      <c r="E165" s="161"/>
      <c r="F165" s="278" t="s">
        <v>782</v>
      </c>
      <c r="H165" s="279">
        <f>(5*0.6*0.6*1.2)+(2*0.6*0.6*1.2)</f>
        <v>3.0239999999999996</v>
      </c>
      <c r="L165" s="206"/>
      <c r="M165" s="164"/>
      <c r="N165" s="165"/>
      <c r="O165" s="165"/>
      <c r="P165" s="165"/>
      <c r="Q165" s="165"/>
      <c r="R165" s="165"/>
      <c r="S165" s="165"/>
      <c r="T165" s="166"/>
      <c r="AT165" s="161"/>
      <c r="AU165" s="161"/>
      <c r="AY165" s="161"/>
    </row>
    <row r="166" spans="1:65" s="15" customFormat="1">
      <c r="B166" s="167"/>
      <c r="D166" s="150" t="s">
        <v>152</v>
      </c>
      <c r="E166" s="168" t="s">
        <v>1</v>
      </c>
      <c r="F166" s="169" t="s">
        <v>157</v>
      </c>
      <c r="H166" s="170">
        <f>SUM(H161:H165)</f>
        <v>16.373999999999999</v>
      </c>
      <c r="L166" s="167"/>
      <c r="M166" s="171"/>
      <c r="N166" s="172"/>
      <c r="O166" s="172"/>
      <c r="P166" s="172"/>
      <c r="Q166" s="172"/>
      <c r="R166" s="172"/>
      <c r="S166" s="172"/>
      <c r="T166" s="173"/>
      <c r="AT166" s="168" t="s">
        <v>152</v>
      </c>
      <c r="AU166" s="168" t="s">
        <v>82</v>
      </c>
      <c r="AV166" s="15" t="s">
        <v>144</v>
      </c>
      <c r="AW166" s="15" t="s">
        <v>28</v>
      </c>
      <c r="AX166" s="15" t="s">
        <v>80</v>
      </c>
      <c r="AY166" s="168" t="s">
        <v>137</v>
      </c>
    </row>
    <row r="167" spans="1:65" s="2" customFormat="1" ht="21.75" customHeight="1">
      <c r="A167" s="30"/>
      <c r="B167" s="137"/>
      <c r="C167" s="138">
        <v>5</v>
      </c>
      <c r="D167" s="138" t="s">
        <v>139</v>
      </c>
      <c r="E167" s="139" t="s">
        <v>163</v>
      </c>
      <c r="F167" s="140" t="s">
        <v>164</v>
      </c>
      <c r="G167" s="141" t="s">
        <v>161</v>
      </c>
      <c r="H167" s="142">
        <v>23.5</v>
      </c>
      <c r="I167" s="318">
        <v>0</v>
      </c>
      <c r="J167" s="143">
        <f>ROUND(I167*H167,2)</f>
        <v>0</v>
      </c>
      <c r="K167" s="140" t="s">
        <v>143</v>
      </c>
      <c r="L167" s="195"/>
      <c r="M167" s="144" t="s">
        <v>1</v>
      </c>
      <c r="N167" s="145" t="s">
        <v>37</v>
      </c>
      <c r="O167" s="146">
        <v>1.1220000000000001</v>
      </c>
      <c r="P167" s="146">
        <f>O167*H167</f>
        <v>26.367000000000001</v>
      </c>
      <c r="Q167" s="146">
        <v>0</v>
      </c>
      <c r="R167" s="146">
        <f>Q167*H167</f>
        <v>0</v>
      </c>
      <c r="S167" s="146">
        <v>0</v>
      </c>
      <c r="T167" s="147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48" t="s">
        <v>144</v>
      </c>
      <c r="AT167" s="148" t="s">
        <v>139</v>
      </c>
      <c r="AU167" s="148" t="s">
        <v>82</v>
      </c>
      <c r="AY167" s="18" t="s">
        <v>137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18" t="s">
        <v>80</v>
      </c>
      <c r="BK167" s="149">
        <f>ROUND(I167*H167,2)</f>
        <v>0</v>
      </c>
      <c r="BL167" s="18" t="s">
        <v>144</v>
      </c>
      <c r="BM167" s="148" t="s">
        <v>165</v>
      </c>
    </row>
    <row r="168" spans="1:65" s="14" customFormat="1">
      <c r="B168" s="160"/>
      <c r="D168" s="150" t="s">
        <v>152</v>
      </c>
      <c r="E168" s="161" t="s">
        <v>1</v>
      </c>
      <c r="F168" s="162" t="s">
        <v>166</v>
      </c>
      <c r="H168" s="163">
        <v>23.5</v>
      </c>
      <c r="L168" s="160"/>
      <c r="M168" s="164"/>
      <c r="N168" s="165"/>
      <c r="O168" s="165"/>
      <c r="P168" s="165"/>
      <c r="Q168" s="165"/>
      <c r="R168" s="165"/>
      <c r="S168" s="165"/>
      <c r="T168" s="166"/>
      <c r="AT168" s="161" t="s">
        <v>152</v>
      </c>
      <c r="AU168" s="161" t="s">
        <v>82</v>
      </c>
      <c r="AV168" s="14" t="s">
        <v>82</v>
      </c>
      <c r="AW168" s="14" t="s">
        <v>28</v>
      </c>
      <c r="AX168" s="14" t="s">
        <v>72</v>
      </c>
      <c r="AY168" s="161" t="s">
        <v>137</v>
      </c>
    </row>
    <row r="169" spans="1:65" s="15" customFormat="1">
      <c r="B169" s="167"/>
      <c r="D169" s="150" t="s">
        <v>152</v>
      </c>
      <c r="E169" s="168" t="s">
        <v>1</v>
      </c>
      <c r="F169" s="169" t="s">
        <v>157</v>
      </c>
      <c r="H169" s="170">
        <v>23.5</v>
      </c>
      <c r="L169" s="167"/>
      <c r="M169" s="171"/>
      <c r="N169" s="172"/>
      <c r="O169" s="172"/>
      <c r="P169" s="172"/>
      <c r="Q169" s="172"/>
      <c r="R169" s="172"/>
      <c r="S169" s="172"/>
      <c r="T169" s="173"/>
      <c r="AT169" s="168" t="s">
        <v>152</v>
      </c>
      <c r="AU169" s="168" t="s">
        <v>82</v>
      </c>
      <c r="AV169" s="15" t="s">
        <v>144</v>
      </c>
      <c r="AW169" s="15" t="s">
        <v>28</v>
      </c>
      <c r="AX169" s="15" t="s">
        <v>80</v>
      </c>
      <c r="AY169" s="168" t="s">
        <v>137</v>
      </c>
    </row>
    <row r="170" spans="1:65" s="2" customFormat="1" ht="21.75" customHeight="1">
      <c r="A170" s="30"/>
      <c r="B170" s="137"/>
      <c r="C170" s="138">
        <v>6</v>
      </c>
      <c r="D170" s="138" t="s">
        <v>139</v>
      </c>
      <c r="E170" s="194" t="s">
        <v>785</v>
      </c>
      <c r="F170" s="193" t="s">
        <v>784</v>
      </c>
      <c r="G170" s="141" t="s">
        <v>161</v>
      </c>
      <c r="H170" s="280">
        <f>H173</f>
        <v>39.873999999999995</v>
      </c>
      <c r="I170" s="319">
        <v>0</v>
      </c>
      <c r="J170" s="143">
        <f>ROUND(I170*H170,2)</f>
        <v>0</v>
      </c>
      <c r="K170" s="140" t="s">
        <v>143</v>
      </c>
      <c r="L170" s="195"/>
      <c r="M170" s="144" t="s">
        <v>1</v>
      </c>
      <c r="N170" s="145" t="s">
        <v>37</v>
      </c>
      <c r="O170" s="146">
        <v>8.6999999999999994E-2</v>
      </c>
      <c r="P170" s="146">
        <f>O170*H170</f>
        <v>3.4690379999999994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48" t="s">
        <v>144</v>
      </c>
      <c r="AT170" s="148" t="s">
        <v>139</v>
      </c>
      <c r="AU170" s="148" t="s">
        <v>82</v>
      </c>
      <c r="AY170" s="18" t="s">
        <v>137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8" t="s">
        <v>80</v>
      </c>
      <c r="BK170" s="149">
        <f>ROUND(I170*H170,2)</f>
        <v>0</v>
      </c>
      <c r="BL170" s="18" t="s">
        <v>144</v>
      </c>
      <c r="BM170" s="148" t="s">
        <v>168</v>
      </c>
    </row>
    <row r="171" spans="1:65" s="14" customFormat="1">
      <c r="B171" s="160"/>
      <c r="D171" s="150" t="s">
        <v>152</v>
      </c>
      <c r="E171" s="161" t="s">
        <v>1</v>
      </c>
      <c r="F171" s="204" t="s">
        <v>783</v>
      </c>
      <c r="H171" s="279">
        <f>H160</f>
        <v>16.373999999999999</v>
      </c>
      <c r="L171" s="160"/>
      <c r="M171" s="164"/>
      <c r="N171" s="165"/>
      <c r="O171" s="165"/>
      <c r="P171" s="165"/>
      <c r="Q171" s="165"/>
      <c r="R171" s="165"/>
      <c r="S171" s="165"/>
      <c r="T171" s="166"/>
      <c r="AT171" s="161" t="s">
        <v>152</v>
      </c>
      <c r="AU171" s="161" t="s">
        <v>82</v>
      </c>
      <c r="AV171" s="14" t="s">
        <v>82</v>
      </c>
      <c r="AW171" s="14" t="s">
        <v>28</v>
      </c>
      <c r="AX171" s="14" t="s">
        <v>72</v>
      </c>
      <c r="AY171" s="161" t="s">
        <v>137</v>
      </c>
    </row>
    <row r="172" spans="1:65" s="14" customFormat="1">
      <c r="B172" s="160"/>
      <c r="D172" s="150" t="s">
        <v>152</v>
      </c>
      <c r="E172" s="161" t="s">
        <v>1</v>
      </c>
      <c r="F172" s="162" t="s">
        <v>166</v>
      </c>
      <c r="H172" s="163">
        <v>23.5</v>
      </c>
      <c r="L172" s="160"/>
      <c r="M172" s="164"/>
      <c r="N172" s="165"/>
      <c r="O172" s="165"/>
      <c r="P172" s="165"/>
      <c r="Q172" s="165"/>
      <c r="R172" s="165"/>
      <c r="S172" s="165"/>
      <c r="T172" s="166"/>
      <c r="AT172" s="161" t="s">
        <v>152</v>
      </c>
      <c r="AU172" s="161" t="s">
        <v>82</v>
      </c>
      <c r="AV172" s="14" t="s">
        <v>82</v>
      </c>
      <c r="AW172" s="14" t="s">
        <v>28</v>
      </c>
      <c r="AX172" s="14" t="s">
        <v>72</v>
      </c>
      <c r="AY172" s="161" t="s">
        <v>137</v>
      </c>
    </row>
    <row r="173" spans="1:65" s="15" customFormat="1">
      <c r="B173" s="167"/>
      <c r="D173" s="150" t="s">
        <v>152</v>
      </c>
      <c r="E173" s="168" t="s">
        <v>1</v>
      </c>
      <c r="F173" s="169" t="s">
        <v>157</v>
      </c>
      <c r="H173" s="170">
        <f>SUM(H171:H172)</f>
        <v>39.873999999999995</v>
      </c>
      <c r="L173" s="167"/>
      <c r="M173" s="171"/>
      <c r="N173" s="172"/>
      <c r="O173" s="172"/>
      <c r="P173" s="172"/>
      <c r="Q173" s="172"/>
      <c r="R173" s="172"/>
      <c r="S173" s="172"/>
      <c r="T173" s="173"/>
      <c r="AT173" s="168" t="s">
        <v>152</v>
      </c>
      <c r="AU173" s="168" t="s">
        <v>82</v>
      </c>
      <c r="AV173" s="15" t="s">
        <v>144</v>
      </c>
      <c r="AW173" s="15" t="s">
        <v>28</v>
      </c>
      <c r="AX173" s="15" t="s">
        <v>80</v>
      </c>
      <c r="AY173" s="168" t="s">
        <v>137</v>
      </c>
    </row>
    <row r="174" spans="1:65" s="2" customFormat="1" ht="24.15" customHeight="1">
      <c r="A174" s="30"/>
      <c r="B174" s="137"/>
      <c r="C174" s="138">
        <v>7</v>
      </c>
      <c r="D174" s="138" t="s">
        <v>139</v>
      </c>
      <c r="E174" s="139" t="s">
        <v>170</v>
      </c>
      <c r="F174" s="193" t="s">
        <v>171</v>
      </c>
      <c r="G174" s="141" t="s">
        <v>161</v>
      </c>
      <c r="H174" s="280">
        <f>H175</f>
        <v>398.74</v>
      </c>
      <c r="I174" s="318">
        <v>0</v>
      </c>
      <c r="J174" s="143">
        <f>ROUND(I174*H174,2)</f>
        <v>0</v>
      </c>
      <c r="K174" s="140" t="s">
        <v>143</v>
      </c>
      <c r="L174" s="195"/>
      <c r="M174" s="196" t="s">
        <v>1</v>
      </c>
      <c r="N174" s="197" t="s">
        <v>37</v>
      </c>
      <c r="O174" s="198">
        <v>5.0000000000000001E-3</v>
      </c>
      <c r="P174" s="198">
        <f>O174*H174</f>
        <v>1.9937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200"/>
      <c r="V174" s="200"/>
      <c r="W174" s="30"/>
      <c r="X174" s="30"/>
      <c r="Y174" s="30"/>
      <c r="Z174" s="30"/>
      <c r="AA174" s="30"/>
      <c r="AB174" s="30"/>
      <c r="AC174" s="30"/>
      <c r="AD174" s="30"/>
      <c r="AE174" s="30"/>
      <c r="AR174" s="148" t="s">
        <v>144</v>
      </c>
      <c r="AT174" s="148" t="s">
        <v>139</v>
      </c>
      <c r="AU174" s="148" t="s">
        <v>82</v>
      </c>
      <c r="AY174" s="18" t="s">
        <v>137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8" t="s">
        <v>80</v>
      </c>
      <c r="BK174" s="149">
        <f>ROUND(I174*H174,2)</f>
        <v>0</v>
      </c>
      <c r="BL174" s="18" t="s">
        <v>144</v>
      </c>
      <c r="BM174" s="148" t="s">
        <v>172</v>
      </c>
    </row>
    <row r="175" spans="1:65" s="14" customFormat="1">
      <c r="B175" s="160"/>
      <c r="D175" s="150" t="s">
        <v>152</v>
      </c>
      <c r="F175" s="278" t="s">
        <v>786</v>
      </c>
      <c r="H175" s="208">
        <f>39.874*10</f>
        <v>398.74</v>
      </c>
      <c r="L175" s="195"/>
      <c r="M175" s="201"/>
      <c r="N175" s="202"/>
      <c r="O175" s="202"/>
      <c r="P175" s="202"/>
      <c r="Q175" s="202"/>
      <c r="R175" s="202"/>
      <c r="S175" s="202"/>
      <c r="T175" s="203"/>
      <c r="U175" s="200"/>
      <c r="V175" s="200"/>
      <c r="AT175" s="161" t="s">
        <v>152</v>
      </c>
      <c r="AU175" s="161" t="s">
        <v>82</v>
      </c>
      <c r="AV175" s="14" t="s">
        <v>82</v>
      </c>
      <c r="AW175" s="14" t="s">
        <v>3</v>
      </c>
      <c r="AX175" s="14" t="s">
        <v>80</v>
      </c>
      <c r="AY175" s="161" t="s">
        <v>137</v>
      </c>
    </row>
    <row r="176" spans="1:65" s="2" customFormat="1" ht="16.5" customHeight="1">
      <c r="A176" s="30"/>
      <c r="B176" s="137"/>
      <c r="C176" s="138">
        <v>8</v>
      </c>
      <c r="D176" s="138" t="s">
        <v>139</v>
      </c>
      <c r="E176" s="139" t="s">
        <v>173</v>
      </c>
      <c r="F176" s="140" t="s">
        <v>174</v>
      </c>
      <c r="G176" s="141" t="s">
        <v>161</v>
      </c>
      <c r="H176" s="280">
        <f>H170</f>
        <v>39.873999999999995</v>
      </c>
      <c r="I176" s="318">
        <v>0</v>
      </c>
      <c r="J176" s="143">
        <f>ROUND(I176*H176,2)</f>
        <v>0</v>
      </c>
      <c r="K176" s="140" t="s">
        <v>148</v>
      </c>
      <c r="L176" s="195"/>
      <c r="M176" s="196" t="s">
        <v>1</v>
      </c>
      <c r="N176" s="197" t="s">
        <v>37</v>
      </c>
      <c r="O176" s="198">
        <v>0</v>
      </c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200"/>
      <c r="V176" s="200"/>
      <c r="W176" s="30"/>
      <c r="X176" s="30"/>
      <c r="Y176" s="30"/>
      <c r="Z176" s="30"/>
      <c r="AA176" s="30"/>
      <c r="AB176" s="30"/>
      <c r="AC176" s="30"/>
      <c r="AD176" s="30"/>
      <c r="AE176" s="30"/>
      <c r="AR176" s="148" t="s">
        <v>144</v>
      </c>
      <c r="AT176" s="148" t="s">
        <v>139</v>
      </c>
      <c r="AU176" s="148" t="s">
        <v>82</v>
      </c>
      <c r="AY176" s="18" t="s">
        <v>137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8" t="s">
        <v>80</v>
      </c>
      <c r="BK176" s="149">
        <f>ROUND(I176*H176,2)</f>
        <v>0</v>
      </c>
      <c r="BL176" s="18" t="s">
        <v>144</v>
      </c>
      <c r="BM176" s="148" t="s">
        <v>175</v>
      </c>
    </row>
    <row r="177" spans="1:65" s="2" customFormat="1" ht="16.5" customHeight="1">
      <c r="A177" s="30"/>
      <c r="B177" s="137"/>
      <c r="C177" s="138">
        <v>9</v>
      </c>
      <c r="D177" s="138" t="s">
        <v>139</v>
      </c>
      <c r="E177" s="139" t="s">
        <v>177</v>
      </c>
      <c r="F177" s="140" t="s">
        <v>178</v>
      </c>
      <c r="G177" s="141" t="s">
        <v>161</v>
      </c>
      <c r="H177" s="280">
        <f>H180</f>
        <v>39.873999999999995</v>
      </c>
      <c r="I177" s="318">
        <v>0</v>
      </c>
      <c r="J177" s="143">
        <f>ROUND(I177*H177,2)</f>
        <v>0</v>
      </c>
      <c r="K177" s="140" t="s">
        <v>143</v>
      </c>
      <c r="L177" s="195"/>
      <c r="M177" s="196" t="s">
        <v>1</v>
      </c>
      <c r="N177" s="197" t="s">
        <v>37</v>
      </c>
      <c r="O177" s="198">
        <v>8.9999999999999993E-3</v>
      </c>
      <c r="P177" s="198">
        <f>O177*H177</f>
        <v>0.35886599999999991</v>
      </c>
      <c r="Q177" s="198">
        <v>0</v>
      </c>
      <c r="R177" s="198">
        <f>Q177*H177</f>
        <v>0</v>
      </c>
      <c r="S177" s="198">
        <v>0</v>
      </c>
      <c r="T177" s="199">
        <f>S177*H177</f>
        <v>0</v>
      </c>
      <c r="U177" s="200"/>
      <c r="V177" s="200"/>
      <c r="W177" s="30"/>
      <c r="X177" s="30"/>
      <c r="Y177" s="30"/>
      <c r="Z177" s="30"/>
      <c r="AA177" s="30"/>
      <c r="AB177" s="30"/>
      <c r="AC177" s="30"/>
      <c r="AD177" s="30"/>
      <c r="AE177" s="30"/>
      <c r="AR177" s="148" t="s">
        <v>144</v>
      </c>
      <c r="AT177" s="148" t="s">
        <v>139</v>
      </c>
      <c r="AU177" s="148" t="s">
        <v>82</v>
      </c>
      <c r="AY177" s="18" t="s">
        <v>137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8" t="s">
        <v>80</v>
      </c>
      <c r="BK177" s="149">
        <f>ROUND(I177*H177,2)</f>
        <v>0</v>
      </c>
      <c r="BL177" s="18" t="s">
        <v>144</v>
      </c>
      <c r="BM177" s="148" t="s">
        <v>179</v>
      </c>
    </row>
    <row r="178" spans="1:65" s="14" customFormat="1">
      <c r="B178" s="160"/>
      <c r="D178" s="150" t="s">
        <v>152</v>
      </c>
      <c r="E178" s="161" t="s">
        <v>1</v>
      </c>
      <c r="F178" s="207" t="s">
        <v>783</v>
      </c>
      <c r="H178" s="208">
        <f>H166</f>
        <v>16.373999999999999</v>
      </c>
      <c r="L178" s="160"/>
      <c r="M178" s="164"/>
      <c r="N178" s="165"/>
      <c r="O178" s="165"/>
      <c r="P178" s="165"/>
      <c r="Q178" s="165"/>
      <c r="R178" s="165"/>
      <c r="S178" s="165"/>
      <c r="T178" s="166"/>
      <c r="AT178" s="161" t="s">
        <v>152</v>
      </c>
      <c r="AU178" s="161" t="s">
        <v>82</v>
      </c>
      <c r="AV178" s="14" t="s">
        <v>82</v>
      </c>
      <c r="AW178" s="14" t="s">
        <v>28</v>
      </c>
      <c r="AX178" s="14" t="s">
        <v>72</v>
      </c>
      <c r="AY178" s="161" t="s">
        <v>137</v>
      </c>
    </row>
    <row r="179" spans="1:65" s="14" customFormat="1">
      <c r="B179" s="160"/>
      <c r="D179" s="150" t="s">
        <v>152</v>
      </c>
      <c r="E179" s="161" t="s">
        <v>1</v>
      </c>
      <c r="F179" s="162" t="s">
        <v>166</v>
      </c>
      <c r="H179" s="163">
        <v>23.5</v>
      </c>
      <c r="L179" s="160"/>
      <c r="M179" s="164"/>
      <c r="N179" s="165"/>
      <c r="O179" s="165"/>
      <c r="P179" s="165"/>
      <c r="Q179" s="165"/>
      <c r="R179" s="165"/>
      <c r="S179" s="165"/>
      <c r="T179" s="166"/>
      <c r="AT179" s="161" t="s">
        <v>152</v>
      </c>
      <c r="AU179" s="161" t="s">
        <v>82</v>
      </c>
      <c r="AV179" s="14" t="s">
        <v>82</v>
      </c>
      <c r="AW179" s="14" t="s">
        <v>28</v>
      </c>
      <c r="AX179" s="14" t="s">
        <v>72</v>
      </c>
      <c r="AY179" s="161" t="s">
        <v>137</v>
      </c>
    </row>
    <row r="180" spans="1:65" s="15" customFormat="1">
      <c r="B180" s="167"/>
      <c r="D180" s="150" t="s">
        <v>152</v>
      </c>
      <c r="E180" s="168" t="s">
        <v>1</v>
      </c>
      <c r="F180" s="169" t="s">
        <v>157</v>
      </c>
      <c r="H180" s="170">
        <f>SUM(H178:H179)</f>
        <v>39.873999999999995</v>
      </c>
      <c r="L180" s="167"/>
      <c r="M180" s="171"/>
      <c r="N180" s="172"/>
      <c r="O180" s="172"/>
      <c r="P180" s="172"/>
      <c r="Q180" s="172"/>
      <c r="R180" s="172"/>
      <c r="S180" s="172"/>
      <c r="T180" s="173"/>
      <c r="AT180" s="168" t="s">
        <v>152</v>
      </c>
      <c r="AU180" s="168" t="s">
        <v>82</v>
      </c>
      <c r="AV180" s="15" t="s">
        <v>144</v>
      </c>
      <c r="AW180" s="15" t="s">
        <v>28</v>
      </c>
      <c r="AX180" s="15" t="s">
        <v>80</v>
      </c>
      <c r="AY180" s="168" t="s">
        <v>137</v>
      </c>
    </row>
    <row r="181" spans="1:65" s="2" customFormat="1" ht="16.5" customHeight="1">
      <c r="A181" s="30"/>
      <c r="B181" s="137"/>
      <c r="C181" s="210">
        <v>10</v>
      </c>
      <c r="D181" s="210" t="s">
        <v>139</v>
      </c>
      <c r="E181" s="211" t="s">
        <v>181</v>
      </c>
      <c r="F181" s="212" t="s">
        <v>182</v>
      </c>
      <c r="G181" s="213" t="s">
        <v>161</v>
      </c>
      <c r="H181" s="282">
        <v>6.55</v>
      </c>
      <c r="I181" s="318">
        <v>0</v>
      </c>
      <c r="J181" s="214">
        <f>ROUND(I181*H181,2)</f>
        <v>0</v>
      </c>
      <c r="K181" s="212" t="s">
        <v>143</v>
      </c>
      <c r="L181" s="215"/>
      <c r="M181" s="216" t="s">
        <v>1</v>
      </c>
      <c r="N181" s="217" t="s">
        <v>37</v>
      </c>
      <c r="O181" s="218">
        <v>0.32800000000000001</v>
      </c>
      <c r="P181" s="218">
        <f>O181*H181</f>
        <v>2.1484000000000001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220"/>
      <c r="V181" s="220"/>
      <c r="W181" s="220"/>
      <c r="X181" s="220"/>
      <c r="Y181" s="30"/>
      <c r="Z181" s="30"/>
      <c r="AA181" s="30"/>
      <c r="AB181" s="30"/>
      <c r="AC181" s="30"/>
      <c r="AD181" s="30"/>
      <c r="AE181" s="30"/>
      <c r="AR181" s="148" t="s">
        <v>144</v>
      </c>
      <c r="AT181" s="148" t="s">
        <v>139</v>
      </c>
      <c r="AU181" s="148" t="s">
        <v>82</v>
      </c>
      <c r="AY181" s="18" t="s">
        <v>137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8" t="s">
        <v>80</v>
      </c>
      <c r="BK181" s="149">
        <f>ROUND(I181*H181,2)</f>
        <v>0</v>
      </c>
      <c r="BL181" s="18" t="s">
        <v>144</v>
      </c>
      <c r="BM181" s="148" t="s">
        <v>183</v>
      </c>
    </row>
    <row r="182" spans="1:65" s="14" customFormat="1">
      <c r="B182" s="160"/>
      <c r="D182" s="150" t="s">
        <v>152</v>
      </c>
      <c r="E182" s="161" t="s">
        <v>1</v>
      </c>
      <c r="F182" s="204" t="s">
        <v>787</v>
      </c>
      <c r="H182" s="163">
        <f>16.374*0.4</f>
        <v>6.5495999999999999</v>
      </c>
      <c r="L182" s="195"/>
      <c r="M182" s="164"/>
      <c r="N182" s="165"/>
      <c r="O182" s="165"/>
      <c r="P182" s="165"/>
      <c r="Q182" s="165"/>
      <c r="R182" s="165"/>
      <c r="S182" s="165"/>
      <c r="T182" s="166"/>
      <c r="AT182" s="161" t="s">
        <v>152</v>
      </c>
      <c r="AU182" s="161" t="s">
        <v>82</v>
      </c>
      <c r="AV182" s="14" t="s">
        <v>82</v>
      </c>
      <c r="AW182" s="14" t="s">
        <v>28</v>
      </c>
      <c r="AX182" s="14" t="s">
        <v>72</v>
      </c>
      <c r="AY182" s="161" t="s">
        <v>137</v>
      </c>
    </row>
    <row r="183" spans="1:65" s="15" customFormat="1">
      <c r="B183" s="167"/>
      <c r="D183" s="150" t="s">
        <v>152</v>
      </c>
      <c r="E183" s="168" t="s">
        <v>1</v>
      </c>
      <c r="F183" s="169" t="s">
        <v>157</v>
      </c>
      <c r="H183" s="170">
        <v>6.55</v>
      </c>
      <c r="L183" s="195"/>
      <c r="M183" s="171"/>
      <c r="N183" s="172"/>
      <c r="O183" s="172"/>
      <c r="P183" s="172"/>
      <c r="Q183" s="172"/>
      <c r="R183" s="172"/>
      <c r="S183" s="172"/>
      <c r="T183" s="173"/>
      <c r="AT183" s="168" t="s">
        <v>152</v>
      </c>
      <c r="AU183" s="168" t="s">
        <v>82</v>
      </c>
      <c r="AV183" s="15" t="s">
        <v>144</v>
      </c>
      <c r="AW183" s="15" t="s">
        <v>28</v>
      </c>
      <c r="AX183" s="15" t="s">
        <v>80</v>
      </c>
      <c r="AY183" s="168" t="s">
        <v>137</v>
      </c>
    </row>
    <row r="184" spans="1:65" s="2" customFormat="1" ht="16.5" customHeight="1">
      <c r="A184" s="30"/>
      <c r="B184" s="137"/>
      <c r="C184" s="174">
        <v>11</v>
      </c>
      <c r="D184" s="174" t="s">
        <v>184</v>
      </c>
      <c r="E184" s="175" t="s">
        <v>185</v>
      </c>
      <c r="F184" s="176" t="s">
        <v>186</v>
      </c>
      <c r="G184" s="177" t="s">
        <v>187</v>
      </c>
      <c r="H184" s="178">
        <f>H185</f>
        <v>11.79</v>
      </c>
      <c r="I184" s="320">
        <v>0</v>
      </c>
      <c r="J184" s="179">
        <f>ROUND(I184*H184,2)</f>
        <v>0</v>
      </c>
      <c r="K184" s="176" t="s">
        <v>148</v>
      </c>
      <c r="L184" s="209"/>
      <c r="M184" s="180" t="s">
        <v>1</v>
      </c>
      <c r="N184" s="181" t="s">
        <v>37</v>
      </c>
      <c r="O184" s="146">
        <v>0</v>
      </c>
      <c r="P184" s="146">
        <f>O184*H184</f>
        <v>0</v>
      </c>
      <c r="Q184" s="146">
        <v>1</v>
      </c>
      <c r="R184" s="146">
        <f>Q184*H184</f>
        <v>11.79</v>
      </c>
      <c r="S184" s="146">
        <v>0</v>
      </c>
      <c r="T184" s="147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48" t="s">
        <v>176</v>
      </c>
      <c r="AT184" s="148" t="s">
        <v>184</v>
      </c>
      <c r="AU184" s="148" t="s">
        <v>82</v>
      </c>
      <c r="AY184" s="18" t="s">
        <v>137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8" t="s">
        <v>80</v>
      </c>
      <c r="BK184" s="149">
        <f>ROUND(I184*H184,2)</f>
        <v>0</v>
      </c>
      <c r="BL184" s="18" t="s">
        <v>144</v>
      </c>
      <c r="BM184" s="148" t="s">
        <v>188</v>
      </c>
    </row>
    <row r="185" spans="1:65" s="14" customFormat="1">
      <c r="B185" s="160"/>
      <c r="D185" s="150" t="s">
        <v>152</v>
      </c>
      <c r="F185" s="278" t="s">
        <v>788</v>
      </c>
      <c r="H185" s="208">
        <f>6.55*1.8</f>
        <v>11.79</v>
      </c>
      <c r="L185" s="195"/>
      <c r="M185" s="164"/>
      <c r="N185" s="165"/>
      <c r="O185" s="165"/>
      <c r="P185" s="165"/>
      <c r="Q185" s="165"/>
      <c r="R185" s="165"/>
      <c r="S185" s="165"/>
      <c r="T185" s="166"/>
      <c r="AT185" s="161" t="s">
        <v>152</v>
      </c>
      <c r="AU185" s="161" t="s">
        <v>82</v>
      </c>
      <c r="AV185" s="14" t="s">
        <v>82</v>
      </c>
      <c r="AW185" s="14" t="s">
        <v>3</v>
      </c>
      <c r="AX185" s="14" t="s">
        <v>80</v>
      </c>
      <c r="AY185" s="161" t="s">
        <v>137</v>
      </c>
    </row>
    <row r="186" spans="1:65" s="2" customFormat="1" ht="16.5" customHeight="1">
      <c r="A186" s="30"/>
      <c r="B186" s="137"/>
      <c r="C186" s="138">
        <v>12</v>
      </c>
      <c r="D186" s="138" t="s">
        <v>139</v>
      </c>
      <c r="E186" s="139" t="s">
        <v>189</v>
      </c>
      <c r="F186" s="140" t="s">
        <v>190</v>
      </c>
      <c r="G186" s="141" t="s">
        <v>142</v>
      </c>
      <c r="H186" s="142">
        <v>720.13800000000003</v>
      </c>
      <c r="I186" s="318">
        <v>0</v>
      </c>
      <c r="J186" s="143">
        <f>ROUND(I186*H186,2)</f>
        <v>0</v>
      </c>
      <c r="K186" s="140" t="s">
        <v>143</v>
      </c>
      <c r="L186" s="195"/>
      <c r="M186" s="144" t="s">
        <v>1</v>
      </c>
      <c r="N186" s="145" t="s">
        <v>37</v>
      </c>
      <c r="O186" s="146">
        <v>0.14899999999999999</v>
      </c>
      <c r="P186" s="146">
        <f>O186*H186</f>
        <v>107.300562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48" t="s">
        <v>144</v>
      </c>
      <c r="AT186" s="148" t="s">
        <v>139</v>
      </c>
      <c r="AU186" s="148" t="s">
        <v>82</v>
      </c>
      <c r="AY186" s="18" t="s">
        <v>137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8" t="s">
        <v>80</v>
      </c>
      <c r="BK186" s="149">
        <f>ROUND(I186*H186,2)</f>
        <v>0</v>
      </c>
      <c r="BL186" s="18" t="s">
        <v>144</v>
      </c>
      <c r="BM186" s="148" t="s">
        <v>191</v>
      </c>
    </row>
    <row r="187" spans="1:65" s="13" customFormat="1">
      <c r="B187" s="154"/>
      <c r="D187" s="150" t="s">
        <v>152</v>
      </c>
      <c r="E187" s="155" t="s">
        <v>1</v>
      </c>
      <c r="F187" s="156" t="s">
        <v>153</v>
      </c>
      <c r="H187" s="155" t="s">
        <v>1</v>
      </c>
      <c r="L187" s="154"/>
      <c r="M187" s="157"/>
      <c r="N187" s="158"/>
      <c r="O187" s="158"/>
      <c r="P187" s="158"/>
      <c r="Q187" s="158"/>
      <c r="R187" s="158"/>
      <c r="S187" s="158"/>
      <c r="T187" s="159"/>
      <c r="AT187" s="155" t="s">
        <v>152</v>
      </c>
      <c r="AU187" s="155" t="s">
        <v>82</v>
      </c>
      <c r="AV187" s="13" t="s">
        <v>80</v>
      </c>
      <c r="AW187" s="13" t="s">
        <v>28</v>
      </c>
      <c r="AX187" s="13" t="s">
        <v>72</v>
      </c>
      <c r="AY187" s="155" t="s">
        <v>137</v>
      </c>
    </row>
    <row r="188" spans="1:65" s="14" customFormat="1">
      <c r="B188" s="160"/>
      <c r="D188" s="150" t="s">
        <v>152</v>
      </c>
      <c r="E188" s="161" t="s">
        <v>1</v>
      </c>
      <c r="F188" s="162" t="s">
        <v>154</v>
      </c>
      <c r="H188" s="163">
        <v>337.01299999999998</v>
      </c>
      <c r="L188" s="160"/>
      <c r="M188" s="164"/>
      <c r="N188" s="165"/>
      <c r="O188" s="165"/>
      <c r="P188" s="165"/>
      <c r="Q188" s="165"/>
      <c r="R188" s="165"/>
      <c r="S188" s="165"/>
      <c r="T188" s="166"/>
      <c r="AT188" s="161" t="s">
        <v>152</v>
      </c>
      <c r="AU188" s="161" t="s">
        <v>82</v>
      </c>
      <c r="AV188" s="14" t="s">
        <v>82</v>
      </c>
      <c r="AW188" s="14" t="s">
        <v>28</v>
      </c>
      <c r="AX188" s="14" t="s">
        <v>72</v>
      </c>
      <c r="AY188" s="161" t="s">
        <v>137</v>
      </c>
    </row>
    <row r="189" spans="1:65" s="14" customFormat="1">
      <c r="B189" s="160"/>
      <c r="D189" s="150" t="s">
        <v>152</v>
      </c>
      <c r="E189" s="161" t="s">
        <v>1</v>
      </c>
      <c r="F189" s="162" t="s">
        <v>155</v>
      </c>
      <c r="H189" s="163">
        <v>52.5</v>
      </c>
      <c r="L189" s="160"/>
      <c r="M189" s="164"/>
      <c r="N189" s="165"/>
      <c r="O189" s="165"/>
      <c r="P189" s="165"/>
      <c r="Q189" s="165"/>
      <c r="R189" s="165"/>
      <c r="S189" s="165"/>
      <c r="T189" s="166"/>
      <c r="AT189" s="161" t="s">
        <v>152</v>
      </c>
      <c r="AU189" s="161" t="s">
        <v>82</v>
      </c>
      <c r="AV189" s="14" t="s">
        <v>82</v>
      </c>
      <c r="AW189" s="14" t="s">
        <v>28</v>
      </c>
      <c r="AX189" s="14" t="s">
        <v>72</v>
      </c>
      <c r="AY189" s="161" t="s">
        <v>137</v>
      </c>
    </row>
    <row r="190" spans="1:65" s="14" customFormat="1">
      <c r="B190" s="160"/>
      <c r="D190" s="150" t="s">
        <v>152</v>
      </c>
      <c r="E190" s="161" t="s">
        <v>1</v>
      </c>
      <c r="F190" s="162" t="s">
        <v>156</v>
      </c>
      <c r="H190" s="163">
        <v>330.625</v>
      </c>
      <c r="L190" s="160"/>
      <c r="M190" s="164"/>
      <c r="N190" s="165"/>
      <c r="O190" s="165"/>
      <c r="P190" s="165"/>
      <c r="Q190" s="165"/>
      <c r="R190" s="165"/>
      <c r="S190" s="165"/>
      <c r="T190" s="166"/>
      <c r="AT190" s="161" t="s">
        <v>152</v>
      </c>
      <c r="AU190" s="161" t="s">
        <v>82</v>
      </c>
      <c r="AV190" s="14" t="s">
        <v>82</v>
      </c>
      <c r="AW190" s="14" t="s">
        <v>28</v>
      </c>
      <c r="AX190" s="14" t="s">
        <v>72</v>
      </c>
      <c r="AY190" s="161" t="s">
        <v>137</v>
      </c>
    </row>
    <row r="191" spans="1:65" s="15" customFormat="1">
      <c r="B191" s="167"/>
      <c r="D191" s="150" t="s">
        <v>152</v>
      </c>
      <c r="E191" s="168" t="s">
        <v>1</v>
      </c>
      <c r="F191" s="169" t="s">
        <v>157</v>
      </c>
      <c r="H191" s="170">
        <v>720.13800000000003</v>
      </c>
      <c r="L191" s="167"/>
      <c r="M191" s="171"/>
      <c r="N191" s="172"/>
      <c r="O191" s="172"/>
      <c r="P191" s="172"/>
      <c r="Q191" s="172"/>
      <c r="R191" s="172"/>
      <c r="S191" s="172"/>
      <c r="T191" s="173"/>
      <c r="AT191" s="168" t="s">
        <v>152</v>
      </c>
      <c r="AU191" s="168" t="s">
        <v>82</v>
      </c>
      <c r="AV191" s="15" t="s">
        <v>144</v>
      </c>
      <c r="AW191" s="15" t="s">
        <v>28</v>
      </c>
      <c r="AX191" s="15" t="s">
        <v>80</v>
      </c>
      <c r="AY191" s="168" t="s">
        <v>137</v>
      </c>
    </row>
    <row r="192" spans="1:65" s="12" customFormat="1" ht="22.95" customHeight="1">
      <c r="B192" s="125"/>
      <c r="D192" s="126" t="s">
        <v>71</v>
      </c>
      <c r="E192" s="135" t="s">
        <v>82</v>
      </c>
      <c r="F192" s="135" t="s">
        <v>192</v>
      </c>
      <c r="J192" s="227">
        <f>SUM(J193:J215)</f>
        <v>0</v>
      </c>
      <c r="L192" s="125"/>
      <c r="M192" s="129"/>
      <c r="N192" s="130"/>
      <c r="O192" s="130"/>
      <c r="P192" s="131">
        <f>SUM(P193:P217)</f>
        <v>9.7811669999999999</v>
      </c>
      <c r="Q192" s="130"/>
      <c r="R192" s="131">
        <f>SUM(R193:R217)</f>
        <v>34.565665859999996</v>
      </c>
      <c r="S192" s="130"/>
      <c r="T192" s="132">
        <f>SUM(T193:T217)</f>
        <v>0</v>
      </c>
      <c r="AR192" s="126" t="s">
        <v>80</v>
      </c>
      <c r="AT192" s="133" t="s">
        <v>71</v>
      </c>
      <c r="AU192" s="133" t="s">
        <v>80</v>
      </c>
      <c r="AY192" s="126" t="s">
        <v>137</v>
      </c>
      <c r="BK192" s="134">
        <f>SUM(BK193:BK217)</f>
        <v>0</v>
      </c>
    </row>
    <row r="193" spans="1:65" s="2" customFormat="1" ht="16.5" customHeight="1">
      <c r="A193" s="30"/>
      <c r="B193" s="137"/>
      <c r="C193" s="138">
        <v>13</v>
      </c>
      <c r="D193" s="138" t="s">
        <v>139</v>
      </c>
      <c r="E193" s="139" t="s">
        <v>193</v>
      </c>
      <c r="F193" s="140" t="s">
        <v>194</v>
      </c>
      <c r="G193" s="141" t="s">
        <v>161</v>
      </c>
      <c r="H193" s="280">
        <f>H199</f>
        <v>2.0129999999999999</v>
      </c>
      <c r="I193" s="318">
        <v>0</v>
      </c>
      <c r="J193" s="143">
        <f>ROUND(I193*H193,2)</f>
        <v>0</v>
      </c>
      <c r="K193" s="140" t="s">
        <v>143</v>
      </c>
      <c r="L193" s="195"/>
      <c r="M193" s="144" t="s">
        <v>1</v>
      </c>
      <c r="N193" s="145" t="s">
        <v>37</v>
      </c>
      <c r="O193" s="146">
        <v>1.085</v>
      </c>
      <c r="P193" s="146">
        <f>O193*H193</f>
        <v>2.1841049999999997</v>
      </c>
      <c r="Q193" s="146">
        <v>2.16</v>
      </c>
      <c r="R193" s="146">
        <f>Q193*H193</f>
        <v>4.3480800000000004</v>
      </c>
      <c r="S193" s="146">
        <v>0</v>
      </c>
      <c r="T193" s="147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48" t="s">
        <v>144</v>
      </c>
      <c r="AT193" s="148" t="s">
        <v>139</v>
      </c>
      <c r="AU193" s="148" t="s">
        <v>82</v>
      </c>
      <c r="AY193" s="18" t="s">
        <v>137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8" t="s">
        <v>80</v>
      </c>
      <c r="BK193" s="149">
        <f>ROUND(I193*H193,2)</f>
        <v>0</v>
      </c>
      <c r="BL193" s="18" t="s">
        <v>144</v>
      </c>
      <c r="BM193" s="148" t="s">
        <v>195</v>
      </c>
    </row>
    <row r="194" spans="1:65" s="14" customFormat="1">
      <c r="B194" s="160"/>
      <c r="D194" s="150" t="s">
        <v>152</v>
      </c>
      <c r="E194" s="161" t="s">
        <v>1</v>
      </c>
      <c r="F194" s="278" t="s">
        <v>789</v>
      </c>
      <c r="H194" s="163">
        <f>1*1*0.15</f>
        <v>0.15</v>
      </c>
      <c r="L194" s="160"/>
      <c r="M194" s="164"/>
      <c r="N194" s="165"/>
      <c r="O194" s="165"/>
      <c r="P194" s="165"/>
      <c r="Q194" s="165"/>
      <c r="R194" s="165"/>
      <c r="S194" s="165"/>
      <c r="T194" s="166"/>
      <c r="AT194" s="161" t="s">
        <v>152</v>
      </c>
      <c r="AU194" s="161" t="s">
        <v>82</v>
      </c>
      <c r="AV194" s="14" t="s">
        <v>82</v>
      </c>
      <c r="AW194" s="14" t="s">
        <v>28</v>
      </c>
      <c r="AX194" s="14" t="s">
        <v>72</v>
      </c>
      <c r="AY194" s="161" t="s">
        <v>137</v>
      </c>
    </row>
    <row r="195" spans="1:65" s="14" customFormat="1">
      <c r="B195" s="160"/>
      <c r="D195" s="150"/>
      <c r="E195" s="161"/>
      <c r="F195" s="278" t="s">
        <v>790</v>
      </c>
      <c r="H195" s="163">
        <f>1.5*0.6*0.15</f>
        <v>0.13499999999999998</v>
      </c>
      <c r="L195" s="160"/>
      <c r="M195" s="164"/>
      <c r="N195" s="165"/>
      <c r="O195" s="165"/>
      <c r="P195" s="165"/>
      <c r="Q195" s="165"/>
      <c r="R195" s="165"/>
      <c r="S195" s="165"/>
      <c r="T195" s="166"/>
      <c r="AT195" s="161"/>
      <c r="AU195" s="161"/>
      <c r="AY195" s="161"/>
    </row>
    <row r="196" spans="1:65" s="14" customFormat="1">
      <c r="B196" s="160"/>
      <c r="D196" s="150"/>
      <c r="E196" s="161"/>
      <c r="F196" s="278" t="s">
        <v>791</v>
      </c>
      <c r="H196" s="163">
        <f>17*0.6*0.6*0.15</f>
        <v>0.91799999999999982</v>
      </c>
      <c r="L196" s="160"/>
      <c r="M196" s="164"/>
      <c r="N196" s="165"/>
      <c r="O196" s="165"/>
      <c r="P196" s="165"/>
      <c r="Q196" s="165"/>
      <c r="R196" s="165"/>
      <c r="S196" s="165"/>
      <c r="T196" s="166"/>
      <c r="AT196" s="161"/>
      <c r="AU196" s="161"/>
      <c r="AY196" s="161"/>
    </row>
    <row r="197" spans="1:65" s="14" customFormat="1">
      <c r="B197" s="160"/>
      <c r="D197" s="150"/>
      <c r="E197" s="161"/>
      <c r="F197" s="278" t="s">
        <v>792</v>
      </c>
      <c r="H197" s="163">
        <f>(3*0.8*0.6*0.15)+(4*0.6*0.6*0.15)</f>
        <v>0.43200000000000005</v>
      </c>
      <c r="L197" s="160"/>
      <c r="M197" s="164"/>
      <c r="N197" s="165"/>
      <c r="O197" s="165"/>
      <c r="P197" s="165"/>
      <c r="Q197" s="165"/>
      <c r="R197" s="165"/>
      <c r="S197" s="165"/>
      <c r="T197" s="166"/>
      <c r="AT197" s="161"/>
      <c r="AU197" s="161"/>
      <c r="AY197" s="161"/>
    </row>
    <row r="198" spans="1:65" s="14" customFormat="1">
      <c r="B198" s="160"/>
      <c r="D198" s="150"/>
      <c r="E198" s="161"/>
      <c r="F198" s="278" t="s">
        <v>793</v>
      </c>
      <c r="H198" s="163">
        <f>(5*0.6*0.6*0.15)+(2*0.6*0.6*0.15)</f>
        <v>0.37799999999999995</v>
      </c>
      <c r="L198" s="160"/>
      <c r="M198" s="164"/>
      <c r="N198" s="165"/>
      <c r="O198" s="165"/>
      <c r="P198" s="165"/>
      <c r="Q198" s="165"/>
      <c r="R198" s="165"/>
      <c r="S198" s="165"/>
      <c r="T198" s="166"/>
      <c r="AT198" s="161"/>
      <c r="AU198" s="161"/>
      <c r="AY198" s="161"/>
    </row>
    <row r="199" spans="1:65" s="15" customFormat="1">
      <c r="B199" s="167"/>
      <c r="D199" s="150" t="s">
        <v>152</v>
      </c>
      <c r="E199" s="168" t="s">
        <v>1</v>
      </c>
      <c r="F199" s="169" t="s">
        <v>157</v>
      </c>
      <c r="H199" s="170">
        <f>SUM(H194:H198)</f>
        <v>2.0129999999999999</v>
      </c>
      <c r="L199" s="167"/>
      <c r="M199" s="171"/>
      <c r="N199" s="172"/>
      <c r="O199" s="172"/>
      <c r="P199" s="172"/>
      <c r="Q199" s="172"/>
      <c r="R199" s="172"/>
      <c r="S199" s="172"/>
      <c r="T199" s="173"/>
      <c r="AT199" s="168" t="s">
        <v>152</v>
      </c>
      <c r="AU199" s="168" t="s">
        <v>82</v>
      </c>
      <c r="AV199" s="15" t="s">
        <v>144</v>
      </c>
      <c r="AW199" s="15" t="s">
        <v>28</v>
      </c>
      <c r="AX199" s="15" t="s">
        <v>80</v>
      </c>
      <c r="AY199" s="168" t="s">
        <v>137</v>
      </c>
    </row>
    <row r="200" spans="1:65" s="2" customFormat="1" ht="16.5" customHeight="1">
      <c r="A200" s="30"/>
      <c r="B200" s="137"/>
      <c r="C200" s="138">
        <v>14</v>
      </c>
      <c r="D200" s="138" t="s">
        <v>139</v>
      </c>
      <c r="E200" s="139" t="s">
        <v>196</v>
      </c>
      <c r="F200" s="140" t="s">
        <v>197</v>
      </c>
      <c r="G200" s="141" t="s">
        <v>161</v>
      </c>
      <c r="H200" s="280">
        <f>H206</f>
        <v>12.077999999999999</v>
      </c>
      <c r="I200" s="318">
        <v>0</v>
      </c>
      <c r="J200" s="143">
        <f>ROUND(I200*H200,2)</f>
        <v>0</v>
      </c>
      <c r="K200" s="140" t="s">
        <v>143</v>
      </c>
      <c r="L200" s="195"/>
      <c r="M200" s="144" t="s">
        <v>1</v>
      </c>
      <c r="N200" s="145" t="s">
        <v>37</v>
      </c>
      <c r="O200" s="146">
        <v>0.629</v>
      </c>
      <c r="P200" s="146">
        <f>O200*H200</f>
        <v>7.5970619999999993</v>
      </c>
      <c r="Q200" s="146">
        <v>2.5018699999999998</v>
      </c>
      <c r="R200" s="146">
        <f>Q200*H200</f>
        <v>30.217585859999996</v>
      </c>
      <c r="S200" s="146">
        <v>0</v>
      </c>
      <c r="T200" s="147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48" t="s">
        <v>144</v>
      </c>
      <c r="AT200" s="148" t="s">
        <v>139</v>
      </c>
      <c r="AU200" s="148" t="s">
        <v>82</v>
      </c>
      <c r="AY200" s="18" t="s">
        <v>137</v>
      </c>
      <c r="BE200" s="149">
        <f>IF(N200="základní",J200,0)</f>
        <v>0</v>
      </c>
      <c r="BF200" s="149">
        <f>IF(N200="snížená",J200,0)</f>
        <v>0</v>
      </c>
      <c r="BG200" s="149">
        <f>IF(N200="zákl. přenesená",J200,0)</f>
        <v>0</v>
      </c>
      <c r="BH200" s="149">
        <f>IF(N200="sníž. přenesená",J200,0)</f>
        <v>0</v>
      </c>
      <c r="BI200" s="149">
        <f>IF(N200="nulová",J200,0)</f>
        <v>0</v>
      </c>
      <c r="BJ200" s="18" t="s">
        <v>80</v>
      </c>
      <c r="BK200" s="149">
        <f>ROUND(I200*H200,2)</f>
        <v>0</v>
      </c>
      <c r="BL200" s="18" t="s">
        <v>144</v>
      </c>
      <c r="BM200" s="148" t="s">
        <v>198</v>
      </c>
    </row>
    <row r="201" spans="1:65" s="14" customFormat="1">
      <c r="B201" s="160"/>
      <c r="D201" s="150" t="s">
        <v>152</v>
      </c>
      <c r="E201" s="161" t="s">
        <v>1</v>
      </c>
      <c r="F201" s="278" t="s">
        <v>794</v>
      </c>
      <c r="H201" s="208">
        <f>1*1*0.9</f>
        <v>0.9</v>
      </c>
      <c r="L201" s="160"/>
      <c r="M201" s="164"/>
      <c r="N201" s="165"/>
      <c r="O201" s="165"/>
      <c r="P201" s="165"/>
      <c r="Q201" s="165"/>
      <c r="R201" s="165"/>
      <c r="S201" s="165"/>
      <c r="T201" s="166"/>
      <c r="AT201" s="161" t="s">
        <v>152</v>
      </c>
      <c r="AU201" s="161" t="s">
        <v>82</v>
      </c>
      <c r="AV201" s="14" t="s">
        <v>82</v>
      </c>
      <c r="AW201" s="14" t="s">
        <v>28</v>
      </c>
      <c r="AX201" s="14" t="s">
        <v>72</v>
      </c>
      <c r="AY201" s="161" t="s">
        <v>137</v>
      </c>
    </row>
    <row r="202" spans="1:65" s="14" customFormat="1">
      <c r="B202" s="160"/>
      <c r="D202" s="150"/>
      <c r="E202" s="161"/>
      <c r="F202" s="278" t="s">
        <v>795</v>
      </c>
      <c r="H202" s="163">
        <f>1.5*0.6*0.9</f>
        <v>0.80999999999999994</v>
      </c>
      <c r="L202" s="160"/>
      <c r="M202" s="164"/>
      <c r="N202" s="165"/>
      <c r="O202" s="165"/>
      <c r="P202" s="165"/>
      <c r="Q202" s="165"/>
      <c r="R202" s="165"/>
      <c r="S202" s="165"/>
      <c r="T202" s="166"/>
      <c r="AT202" s="161"/>
      <c r="AU202" s="161"/>
      <c r="AY202" s="161"/>
    </row>
    <row r="203" spans="1:65" s="14" customFormat="1">
      <c r="B203" s="160"/>
      <c r="D203" s="150"/>
      <c r="E203" s="161"/>
      <c r="F203" s="278" t="s">
        <v>796</v>
      </c>
      <c r="H203" s="163">
        <f>17*0.6*0.6*0.9</f>
        <v>5.5079999999999991</v>
      </c>
      <c r="L203" s="160"/>
      <c r="M203" s="164"/>
      <c r="N203" s="165"/>
      <c r="O203" s="165"/>
      <c r="P203" s="165"/>
      <c r="Q203" s="165"/>
      <c r="R203" s="165"/>
      <c r="S203" s="165"/>
      <c r="T203" s="166"/>
      <c r="AT203" s="161"/>
      <c r="AU203" s="161"/>
      <c r="AY203" s="161"/>
    </row>
    <row r="204" spans="1:65" s="14" customFormat="1">
      <c r="B204" s="160"/>
      <c r="D204" s="150"/>
      <c r="E204" s="161"/>
      <c r="F204" s="278" t="s">
        <v>797</v>
      </c>
      <c r="H204" s="163">
        <f>(3*0.8*0.6*0.9)+(4*0.6*0.6*0.9)</f>
        <v>2.5920000000000005</v>
      </c>
      <c r="L204" s="160"/>
      <c r="M204" s="164"/>
      <c r="N204" s="165"/>
      <c r="O204" s="165"/>
      <c r="P204" s="165"/>
      <c r="Q204" s="165"/>
      <c r="R204" s="165"/>
      <c r="S204" s="165"/>
      <c r="T204" s="166"/>
      <c r="AT204" s="161"/>
      <c r="AU204" s="161"/>
      <c r="AY204" s="161"/>
    </row>
    <row r="205" spans="1:65" s="14" customFormat="1">
      <c r="B205" s="160"/>
      <c r="D205" s="150" t="s">
        <v>152</v>
      </c>
      <c r="E205" s="161" t="s">
        <v>1</v>
      </c>
      <c r="F205" s="278" t="s">
        <v>798</v>
      </c>
      <c r="H205" s="163">
        <f>(5*0.6*0.6*0.9)+(2*0.6*0.6*0.9)</f>
        <v>2.2679999999999998</v>
      </c>
      <c r="L205" s="160"/>
      <c r="M205" s="164"/>
      <c r="N205" s="165"/>
      <c r="O205" s="165"/>
      <c r="P205" s="165"/>
      <c r="Q205" s="165"/>
      <c r="R205" s="165"/>
      <c r="S205" s="165"/>
      <c r="T205" s="166"/>
      <c r="AT205" s="161" t="s">
        <v>152</v>
      </c>
      <c r="AU205" s="161" t="s">
        <v>82</v>
      </c>
      <c r="AV205" s="14" t="s">
        <v>82</v>
      </c>
      <c r="AW205" s="14" t="s">
        <v>28</v>
      </c>
      <c r="AX205" s="14" t="s">
        <v>72</v>
      </c>
      <c r="AY205" s="161" t="s">
        <v>137</v>
      </c>
    </row>
    <row r="206" spans="1:65" s="15" customFormat="1">
      <c r="B206" s="167"/>
      <c r="D206" s="150" t="s">
        <v>152</v>
      </c>
      <c r="E206" s="168" t="s">
        <v>1</v>
      </c>
      <c r="F206" s="169" t="s">
        <v>157</v>
      </c>
      <c r="H206" s="170">
        <f>SUM(H201:H205)</f>
        <v>12.077999999999999</v>
      </c>
      <c r="L206" s="167"/>
      <c r="M206" s="171"/>
      <c r="N206" s="172"/>
      <c r="O206" s="172"/>
      <c r="P206" s="172"/>
      <c r="Q206" s="172"/>
      <c r="R206" s="172"/>
      <c r="S206" s="172"/>
      <c r="T206" s="173"/>
      <c r="AT206" s="168" t="s">
        <v>152</v>
      </c>
      <c r="AU206" s="168" t="s">
        <v>82</v>
      </c>
      <c r="AV206" s="15" t="s">
        <v>144</v>
      </c>
      <c r="AW206" s="15" t="s">
        <v>28</v>
      </c>
      <c r="AX206" s="15" t="s">
        <v>80</v>
      </c>
      <c r="AY206" s="168" t="s">
        <v>137</v>
      </c>
    </row>
    <row r="207" spans="1:65" s="2" customFormat="1" ht="16.5" customHeight="1">
      <c r="A207" s="30"/>
      <c r="B207" s="137"/>
      <c r="C207" s="138">
        <v>15</v>
      </c>
      <c r="D207" s="138" t="s">
        <v>139</v>
      </c>
      <c r="E207" s="139" t="s">
        <v>199</v>
      </c>
      <c r="F207" s="140" t="s">
        <v>200</v>
      </c>
      <c r="G207" s="141" t="s">
        <v>142</v>
      </c>
      <c r="H207" s="280">
        <f>H213</f>
        <v>73.260000000000005</v>
      </c>
      <c r="I207" s="318">
        <v>0</v>
      </c>
      <c r="J207" s="143">
        <f>ROUND(I207*H207,2)</f>
        <v>0</v>
      </c>
      <c r="K207" s="140" t="s">
        <v>143</v>
      </c>
      <c r="L207" s="195"/>
      <c r="M207" s="144"/>
      <c r="N207" s="145"/>
      <c r="O207" s="146"/>
      <c r="P207" s="146"/>
      <c r="Q207" s="146"/>
      <c r="R207" s="146"/>
      <c r="S207" s="146"/>
      <c r="T207" s="147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48" t="s">
        <v>144</v>
      </c>
      <c r="AT207" s="148" t="s">
        <v>139</v>
      </c>
      <c r="AU207" s="148" t="s">
        <v>82</v>
      </c>
      <c r="AY207" s="18" t="s">
        <v>137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8" t="s">
        <v>80</v>
      </c>
      <c r="BK207" s="149">
        <f>ROUND(I207*H207,2)</f>
        <v>0</v>
      </c>
      <c r="BL207" s="18" t="s">
        <v>144</v>
      </c>
      <c r="BM207" s="148" t="s">
        <v>201</v>
      </c>
    </row>
    <row r="208" spans="1:65" s="14" customFormat="1">
      <c r="B208" s="160"/>
      <c r="D208" s="150" t="s">
        <v>152</v>
      </c>
      <c r="E208" s="161" t="s">
        <v>1</v>
      </c>
      <c r="F208" s="278" t="s">
        <v>799</v>
      </c>
      <c r="H208" s="208">
        <f>1*0.9*4</f>
        <v>3.6</v>
      </c>
      <c r="L208" s="160"/>
      <c r="M208" s="164"/>
      <c r="N208" s="165"/>
      <c r="O208" s="165"/>
      <c r="P208" s="165"/>
      <c r="Q208" s="165"/>
      <c r="R208" s="165"/>
      <c r="S208" s="165"/>
      <c r="T208" s="166"/>
      <c r="AT208" s="161" t="s">
        <v>152</v>
      </c>
      <c r="AU208" s="161" t="s">
        <v>82</v>
      </c>
      <c r="AV208" s="14" t="s">
        <v>82</v>
      </c>
      <c r="AW208" s="14" t="s">
        <v>28</v>
      </c>
      <c r="AX208" s="14" t="s">
        <v>72</v>
      </c>
      <c r="AY208" s="161" t="s">
        <v>137</v>
      </c>
    </row>
    <row r="209" spans="1:65" s="14" customFormat="1">
      <c r="B209" s="160"/>
      <c r="D209" s="150"/>
      <c r="E209" s="161"/>
      <c r="F209" s="278" t="s">
        <v>800</v>
      </c>
      <c r="H209" s="208">
        <f>(1.5*0.9*2)+(0.6*0.9*2)</f>
        <v>3.7800000000000002</v>
      </c>
      <c r="L209" s="160"/>
      <c r="M209" s="164"/>
      <c r="N209" s="165"/>
      <c r="O209" s="165"/>
      <c r="P209" s="165"/>
      <c r="Q209" s="165"/>
      <c r="R209" s="165"/>
      <c r="S209" s="165"/>
      <c r="T209" s="166"/>
      <c r="AT209" s="161"/>
      <c r="AU209" s="161"/>
      <c r="AY209" s="161"/>
    </row>
    <row r="210" spans="1:65" s="14" customFormat="1">
      <c r="B210" s="160"/>
      <c r="D210" s="150"/>
      <c r="E210" s="161"/>
      <c r="F210" s="278" t="s">
        <v>801</v>
      </c>
      <c r="H210" s="208">
        <f>17*0.6*0.9*4</f>
        <v>36.72</v>
      </c>
      <c r="L210" s="160"/>
      <c r="M210" s="164"/>
      <c r="N210" s="165"/>
      <c r="O210" s="165"/>
      <c r="P210" s="165"/>
      <c r="Q210" s="165"/>
      <c r="R210" s="165"/>
      <c r="S210" s="165"/>
      <c r="T210" s="166"/>
      <c r="AT210" s="161"/>
      <c r="AU210" s="161"/>
      <c r="AY210" s="161"/>
    </row>
    <row r="211" spans="1:65" s="14" customFormat="1">
      <c r="B211" s="160"/>
      <c r="D211" s="150"/>
      <c r="E211" s="161"/>
      <c r="F211" s="278" t="s">
        <v>802</v>
      </c>
      <c r="H211" s="208">
        <f>((3*0.8*0.9*2)+(0.6*0.9*2))+(4*0.6*0.9*4)</f>
        <v>14.040000000000003</v>
      </c>
      <c r="L211" s="160"/>
      <c r="M211" s="164"/>
      <c r="N211" s="165"/>
      <c r="O211" s="165"/>
      <c r="P211" s="165"/>
      <c r="Q211" s="165"/>
      <c r="R211" s="165"/>
      <c r="S211" s="165"/>
      <c r="T211" s="166"/>
      <c r="AT211" s="161"/>
      <c r="AU211" s="161"/>
      <c r="AY211" s="161"/>
    </row>
    <row r="212" spans="1:65" s="14" customFormat="1">
      <c r="B212" s="160"/>
      <c r="D212" s="150" t="s">
        <v>152</v>
      </c>
      <c r="E212" s="161" t="s">
        <v>1</v>
      </c>
      <c r="F212" s="278" t="s">
        <v>803</v>
      </c>
      <c r="H212" s="208">
        <f>(5*0.6*0.9*4)+(2*0.6*0.9*4)</f>
        <v>15.120000000000001</v>
      </c>
      <c r="L212" s="160"/>
      <c r="M212" s="164"/>
      <c r="N212" s="165"/>
      <c r="O212" s="165"/>
      <c r="P212" s="165"/>
      <c r="Q212" s="165"/>
      <c r="R212" s="165"/>
      <c r="S212" s="165"/>
      <c r="T212" s="166"/>
      <c r="AT212" s="161" t="s">
        <v>152</v>
      </c>
      <c r="AU212" s="161" t="s">
        <v>82</v>
      </c>
      <c r="AV212" s="14" t="s">
        <v>82</v>
      </c>
      <c r="AW212" s="14" t="s">
        <v>28</v>
      </c>
      <c r="AX212" s="14" t="s">
        <v>72</v>
      </c>
      <c r="AY212" s="161" t="s">
        <v>137</v>
      </c>
    </row>
    <row r="213" spans="1:65" s="15" customFormat="1">
      <c r="B213" s="167"/>
      <c r="D213" s="150" t="s">
        <v>152</v>
      </c>
      <c r="E213" s="168" t="s">
        <v>1</v>
      </c>
      <c r="F213" s="169" t="s">
        <v>157</v>
      </c>
      <c r="H213" s="170">
        <f>SUM(H208:H212)</f>
        <v>73.260000000000005</v>
      </c>
      <c r="L213" s="167"/>
      <c r="M213" s="171"/>
      <c r="N213" s="172"/>
      <c r="O213" s="172"/>
      <c r="P213" s="172"/>
      <c r="Q213" s="172"/>
      <c r="R213" s="172"/>
      <c r="S213" s="172"/>
      <c r="T213" s="173"/>
      <c r="AT213" s="168" t="s">
        <v>152</v>
      </c>
      <c r="AU213" s="168" t="s">
        <v>82</v>
      </c>
      <c r="AV213" s="15" t="s">
        <v>144</v>
      </c>
      <c r="AW213" s="15" t="s">
        <v>28</v>
      </c>
      <c r="AX213" s="15" t="s">
        <v>80</v>
      </c>
      <c r="AY213" s="168" t="s">
        <v>137</v>
      </c>
    </row>
    <row r="214" spans="1:65" s="2" customFormat="1" ht="16.5" customHeight="1">
      <c r="A214" s="30"/>
      <c r="B214" s="137"/>
      <c r="C214" s="138">
        <v>16</v>
      </c>
      <c r="D214" s="138" t="s">
        <v>139</v>
      </c>
      <c r="E214" s="139" t="s">
        <v>202</v>
      </c>
      <c r="F214" s="140" t="s">
        <v>203</v>
      </c>
      <c r="G214" s="141" t="s">
        <v>142</v>
      </c>
      <c r="H214" s="280">
        <f>H207</f>
        <v>73.260000000000005</v>
      </c>
      <c r="I214" s="318">
        <v>0</v>
      </c>
      <c r="J214" s="143">
        <f>ROUND(I214*H214,2)</f>
        <v>0</v>
      </c>
      <c r="K214" s="140" t="s">
        <v>143</v>
      </c>
      <c r="L214" s="195"/>
      <c r="M214" s="144"/>
      <c r="N214" s="145"/>
      <c r="O214" s="146"/>
      <c r="P214" s="146"/>
      <c r="Q214" s="146"/>
      <c r="R214" s="146"/>
      <c r="S214" s="146"/>
      <c r="T214" s="147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48" t="s">
        <v>144</v>
      </c>
      <c r="AT214" s="148" t="s">
        <v>139</v>
      </c>
      <c r="AU214" s="148" t="s">
        <v>82</v>
      </c>
      <c r="AY214" s="18" t="s">
        <v>137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8" t="s">
        <v>80</v>
      </c>
      <c r="BK214" s="149">
        <f>ROUND(I214*H214,2)</f>
        <v>0</v>
      </c>
      <c r="BL214" s="18" t="s">
        <v>144</v>
      </c>
      <c r="BM214" s="148" t="s">
        <v>204</v>
      </c>
    </row>
    <row r="215" spans="1:65" s="2" customFormat="1" ht="16.5" customHeight="1">
      <c r="A215" s="30"/>
      <c r="B215" s="137"/>
      <c r="C215" s="138">
        <v>17</v>
      </c>
      <c r="D215" s="138" t="s">
        <v>139</v>
      </c>
      <c r="E215" s="139" t="s">
        <v>206</v>
      </c>
      <c r="F215" s="140" t="s">
        <v>207</v>
      </c>
      <c r="G215" s="141" t="s">
        <v>187</v>
      </c>
      <c r="H215" s="280">
        <f>H217</f>
        <v>0.90584999999999993</v>
      </c>
      <c r="I215" s="318">
        <v>0</v>
      </c>
      <c r="J215" s="143">
        <f>ROUND(I215*H215,2)</f>
        <v>0</v>
      </c>
      <c r="K215" s="140" t="s">
        <v>143</v>
      </c>
      <c r="L215" s="195"/>
      <c r="M215" s="144"/>
      <c r="N215" s="145"/>
      <c r="O215" s="146"/>
      <c r="P215" s="146"/>
      <c r="Q215" s="146"/>
      <c r="R215" s="146"/>
      <c r="S215" s="146"/>
      <c r="T215" s="147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48" t="s">
        <v>144</v>
      </c>
      <c r="AT215" s="148" t="s">
        <v>139</v>
      </c>
      <c r="AU215" s="148" t="s">
        <v>82</v>
      </c>
      <c r="AY215" s="18" t="s">
        <v>137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8" t="s">
        <v>80</v>
      </c>
      <c r="BK215" s="149">
        <f>ROUND(I215*H215,2)</f>
        <v>0</v>
      </c>
      <c r="BL215" s="18" t="s">
        <v>144</v>
      </c>
      <c r="BM215" s="148" t="s">
        <v>208</v>
      </c>
    </row>
    <row r="216" spans="1:65" s="14" customFormat="1">
      <c r="B216" s="160"/>
      <c r="D216" s="150" t="s">
        <v>152</v>
      </c>
      <c r="E216" s="161" t="s">
        <v>1</v>
      </c>
      <c r="F216" s="278" t="s">
        <v>804</v>
      </c>
      <c r="H216" s="163">
        <f>12.078*75/1000</f>
        <v>0.90584999999999993</v>
      </c>
      <c r="L216" s="160"/>
      <c r="M216" s="164"/>
      <c r="N216" s="165"/>
      <c r="O216" s="165"/>
      <c r="P216" s="165"/>
      <c r="Q216" s="165"/>
      <c r="R216" s="165"/>
      <c r="S216" s="165"/>
      <c r="T216" s="166"/>
      <c r="AT216" s="161" t="s">
        <v>152</v>
      </c>
      <c r="AU216" s="161" t="s">
        <v>82</v>
      </c>
      <c r="AV216" s="14" t="s">
        <v>82</v>
      </c>
      <c r="AW216" s="14" t="s">
        <v>28</v>
      </c>
      <c r="AX216" s="14" t="s">
        <v>72</v>
      </c>
      <c r="AY216" s="161" t="s">
        <v>137</v>
      </c>
    </row>
    <row r="217" spans="1:65" s="15" customFormat="1">
      <c r="B217" s="167"/>
      <c r="D217" s="150" t="s">
        <v>152</v>
      </c>
      <c r="E217" s="168" t="s">
        <v>1</v>
      </c>
      <c r="F217" s="169" t="s">
        <v>157</v>
      </c>
      <c r="H217" s="170">
        <f>H216</f>
        <v>0.90584999999999993</v>
      </c>
      <c r="L217" s="167"/>
      <c r="M217" s="171"/>
      <c r="N217" s="172"/>
      <c r="O217" s="172"/>
      <c r="P217" s="172"/>
      <c r="Q217" s="172"/>
      <c r="R217" s="172"/>
      <c r="S217" s="172"/>
      <c r="T217" s="173"/>
      <c r="AT217" s="168" t="s">
        <v>152</v>
      </c>
      <c r="AU217" s="168" t="s">
        <v>82</v>
      </c>
      <c r="AV217" s="15" t="s">
        <v>144</v>
      </c>
      <c r="AW217" s="15" t="s">
        <v>28</v>
      </c>
      <c r="AX217" s="15" t="s">
        <v>80</v>
      </c>
      <c r="AY217" s="168" t="s">
        <v>137</v>
      </c>
    </row>
    <row r="218" spans="1:65" s="12" customFormat="1" ht="22.95" customHeight="1">
      <c r="A218" s="224"/>
      <c r="B218" s="228"/>
      <c r="C218" s="224"/>
      <c r="D218" s="225" t="s">
        <v>71</v>
      </c>
      <c r="E218" s="226" t="s">
        <v>158</v>
      </c>
      <c r="F218" s="226" t="s">
        <v>209</v>
      </c>
      <c r="G218" s="224"/>
      <c r="H218" s="224"/>
      <c r="I218" s="224"/>
      <c r="J218" s="227">
        <f>SUM(J219:J225)</f>
        <v>0</v>
      </c>
      <c r="K218" s="224"/>
      <c r="L218" s="228"/>
      <c r="M218" s="229"/>
      <c r="N218" s="230"/>
      <c r="O218" s="230"/>
      <c r="P218" s="231">
        <f>SUM(P219:P227)</f>
        <v>23.075679999999998</v>
      </c>
      <c r="Q218" s="230"/>
      <c r="R218" s="231">
        <f>SUM(R219:R227)</f>
        <v>4.6542639000000001</v>
      </c>
      <c r="S218" s="230"/>
      <c r="T218" s="232">
        <f>SUM(T219:T227)</f>
        <v>0</v>
      </c>
      <c r="U218" s="224"/>
      <c r="V218" s="224"/>
      <c r="AR218" s="126" t="s">
        <v>80</v>
      </c>
      <c r="AT218" s="133" t="s">
        <v>71</v>
      </c>
      <c r="AU218" s="133" t="s">
        <v>80</v>
      </c>
      <c r="AY218" s="126" t="s">
        <v>137</v>
      </c>
      <c r="BK218" s="134">
        <f>SUM(BK219:BK227)</f>
        <v>0</v>
      </c>
    </row>
    <row r="219" spans="1:65" s="2" customFormat="1" ht="21.75" customHeight="1">
      <c r="A219" s="30"/>
      <c r="B219" s="137"/>
      <c r="C219" s="138">
        <v>18</v>
      </c>
      <c r="D219" s="138" t="s">
        <v>139</v>
      </c>
      <c r="E219" s="139" t="s">
        <v>210</v>
      </c>
      <c r="F219" s="140" t="s">
        <v>211</v>
      </c>
      <c r="G219" s="141" t="s">
        <v>142</v>
      </c>
      <c r="H219" s="142">
        <v>21.62</v>
      </c>
      <c r="I219" s="318">
        <v>0</v>
      </c>
      <c r="J219" s="143">
        <f>ROUND(I219*H219,2)</f>
        <v>0</v>
      </c>
      <c r="K219" s="140" t="s">
        <v>143</v>
      </c>
      <c r="L219" s="195"/>
      <c r="M219" s="144" t="s">
        <v>1</v>
      </c>
      <c r="N219" s="145" t="s">
        <v>37</v>
      </c>
      <c r="O219" s="146">
        <v>0.68899999999999995</v>
      </c>
      <c r="P219" s="146">
        <f>O219*H219</f>
        <v>14.896179999999999</v>
      </c>
      <c r="Q219" s="146">
        <v>0.17111999999999999</v>
      </c>
      <c r="R219" s="146">
        <f>Q219*H219</f>
        <v>3.6996144000000002</v>
      </c>
      <c r="S219" s="146">
        <v>0</v>
      </c>
      <c r="T219" s="147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48" t="s">
        <v>144</v>
      </c>
      <c r="AT219" s="148" t="s">
        <v>139</v>
      </c>
      <c r="AU219" s="148" t="s">
        <v>82</v>
      </c>
      <c r="AY219" s="18" t="s">
        <v>137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8" t="s">
        <v>80</v>
      </c>
      <c r="BK219" s="149">
        <f>ROUND(I219*H219,2)</f>
        <v>0</v>
      </c>
      <c r="BL219" s="18" t="s">
        <v>144</v>
      </c>
      <c r="BM219" s="148" t="s">
        <v>212</v>
      </c>
    </row>
    <row r="220" spans="1:65" s="14" customFormat="1">
      <c r="B220" s="160"/>
      <c r="D220" s="150" t="s">
        <v>152</v>
      </c>
      <c r="E220" s="161" t="s">
        <v>1</v>
      </c>
      <c r="F220" s="162" t="s">
        <v>213</v>
      </c>
      <c r="H220" s="163">
        <v>21.62</v>
      </c>
      <c r="L220" s="195"/>
      <c r="M220" s="164"/>
      <c r="N220" s="165"/>
      <c r="O220" s="165"/>
      <c r="P220" s="165"/>
      <c r="Q220" s="165"/>
      <c r="R220" s="165"/>
      <c r="S220" s="165"/>
      <c r="T220" s="166"/>
      <c r="AT220" s="161" t="s">
        <v>152</v>
      </c>
      <c r="AU220" s="161" t="s">
        <v>82</v>
      </c>
      <c r="AV220" s="14" t="s">
        <v>82</v>
      </c>
      <c r="AW220" s="14" t="s">
        <v>28</v>
      </c>
      <c r="AX220" s="14" t="s">
        <v>72</v>
      </c>
      <c r="AY220" s="161" t="s">
        <v>137</v>
      </c>
    </row>
    <row r="221" spans="1:65" s="15" customFormat="1">
      <c r="B221" s="167"/>
      <c r="D221" s="150" t="s">
        <v>152</v>
      </c>
      <c r="E221" s="168" t="s">
        <v>1</v>
      </c>
      <c r="F221" s="169" t="s">
        <v>157</v>
      </c>
      <c r="H221" s="170">
        <v>21.62</v>
      </c>
      <c r="L221" s="195"/>
      <c r="M221" s="171"/>
      <c r="N221" s="172"/>
      <c r="O221" s="172"/>
      <c r="P221" s="172"/>
      <c r="Q221" s="172"/>
      <c r="R221" s="172"/>
      <c r="S221" s="172"/>
      <c r="T221" s="173"/>
      <c r="AT221" s="168" t="s">
        <v>152</v>
      </c>
      <c r="AU221" s="168" t="s">
        <v>82</v>
      </c>
      <c r="AV221" s="15" t="s">
        <v>144</v>
      </c>
      <c r="AW221" s="15" t="s">
        <v>28</v>
      </c>
      <c r="AX221" s="15" t="s">
        <v>80</v>
      </c>
      <c r="AY221" s="168" t="s">
        <v>137</v>
      </c>
    </row>
    <row r="222" spans="1:65" s="2" customFormat="1" ht="16.5" customHeight="1">
      <c r="A222" s="30"/>
      <c r="B222" s="137"/>
      <c r="C222" s="138">
        <v>19</v>
      </c>
      <c r="D222" s="138" t="s">
        <v>139</v>
      </c>
      <c r="E222" s="139" t="s">
        <v>214</v>
      </c>
      <c r="F222" s="140" t="s">
        <v>215</v>
      </c>
      <c r="G222" s="141" t="s">
        <v>142</v>
      </c>
      <c r="H222" s="142">
        <v>8.4</v>
      </c>
      <c r="I222" s="318">
        <v>0</v>
      </c>
      <c r="J222" s="143">
        <f>ROUND(I222*H222,2)</f>
        <v>0</v>
      </c>
      <c r="K222" s="140" t="s">
        <v>143</v>
      </c>
      <c r="L222" s="195"/>
      <c r="M222" s="144" t="s">
        <v>1</v>
      </c>
      <c r="N222" s="145" t="s">
        <v>37</v>
      </c>
      <c r="O222" s="146">
        <v>0.496</v>
      </c>
      <c r="P222" s="146">
        <f>O222*H222</f>
        <v>4.1664000000000003</v>
      </c>
      <c r="Q222" s="146">
        <v>4.4339999999999997E-2</v>
      </c>
      <c r="R222" s="146">
        <f>Q222*H222</f>
        <v>0.37245600000000001</v>
      </c>
      <c r="S222" s="146">
        <v>0</v>
      </c>
      <c r="T222" s="147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48" t="s">
        <v>144</v>
      </c>
      <c r="AT222" s="148" t="s">
        <v>139</v>
      </c>
      <c r="AU222" s="148" t="s">
        <v>82</v>
      </c>
      <c r="AY222" s="18" t="s">
        <v>137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8" t="s">
        <v>80</v>
      </c>
      <c r="BK222" s="149">
        <f>ROUND(I222*H222,2)</f>
        <v>0</v>
      </c>
      <c r="BL222" s="18" t="s">
        <v>144</v>
      </c>
      <c r="BM222" s="148" t="s">
        <v>216</v>
      </c>
    </row>
    <row r="223" spans="1:65" s="14" customFormat="1">
      <c r="B223" s="160"/>
      <c r="D223" s="150" t="s">
        <v>152</v>
      </c>
      <c r="E223" s="161" t="s">
        <v>1</v>
      </c>
      <c r="F223" s="162" t="s">
        <v>217</v>
      </c>
      <c r="H223" s="163">
        <v>8.4</v>
      </c>
      <c r="L223" s="195"/>
      <c r="M223" s="164"/>
      <c r="N223" s="165"/>
      <c r="O223" s="165"/>
      <c r="P223" s="165"/>
      <c r="Q223" s="165"/>
      <c r="R223" s="165"/>
      <c r="S223" s="165"/>
      <c r="T223" s="166"/>
      <c r="AT223" s="161" t="s">
        <v>152</v>
      </c>
      <c r="AU223" s="161" t="s">
        <v>82</v>
      </c>
      <c r="AV223" s="14" t="s">
        <v>82</v>
      </c>
      <c r="AW223" s="14" t="s">
        <v>28</v>
      </c>
      <c r="AX223" s="14" t="s">
        <v>72</v>
      </c>
      <c r="AY223" s="161" t="s">
        <v>137</v>
      </c>
    </row>
    <row r="224" spans="1:65" s="15" customFormat="1">
      <c r="B224" s="167"/>
      <c r="D224" s="150" t="s">
        <v>152</v>
      </c>
      <c r="E224" s="168" t="s">
        <v>1</v>
      </c>
      <c r="F224" s="169" t="s">
        <v>157</v>
      </c>
      <c r="H224" s="170">
        <v>8.4</v>
      </c>
      <c r="L224" s="195"/>
      <c r="M224" s="171"/>
      <c r="N224" s="172"/>
      <c r="O224" s="172"/>
      <c r="P224" s="172"/>
      <c r="Q224" s="172"/>
      <c r="R224" s="172"/>
      <c r="S224" s="172"/>
      <c r="T224" s="173"/>
      <c r="AT224" s="168" t="s">
        <v>152</v>
      </c>
      <c r="AU224" s="168" t="s">
        <v>82</v>
      </c>
      <c r="AV224" s="15" t="s">
        <v>144</v>
      </c>
      <c r="AW224" s="15" t="s">
        <v>28</v>
      </c>
      <c r="AX224" s="15" t="s">
        <v>80</v>
      </c>
      <c r="AY224" s="168" t="s">
        <v>137</v>
      </c>
    </row>
    <row r="225" spans="1:65" s="2" customFormat="1" ht="16.5" customHeight="1">
      <c r="A225" s="30"/>
      <c r="B225" s="137"/>
      <c r="C225" s="138">
        <v>20</v>
      </c>
      <c r="D225" s="138" t="s">
        <v>139</v>
      </c>
      <c r="E225" s="139" t="s">
        <v>218</v>
      </c>
      <c r="F225" s="140" t="s">
        <v>219</v>
      </c>
      <c r="G225" s="141" t="s">
        <v>142</v>
      </c>
      <c r="H225" s="142">
        <v>7.35</v>
      </c>
      <c r="I225" s="318">
        <v>0</v>
      </c>
      <c r="J225" s="143">
        <f>ROUND(I225*H225,2)</f>
        <v>0</v>
      </c>
      <c r="K225" s="140" t="s">
        <v>143</v>
      </c>
      <c r="L225" s="195"/>
      <c r="M225" s="144" t="s">
        <v>1</v>
      </c>
      <c r="N225" s="145" t="s">
        <v>37</v>
      </c>
      <c r="O225" s="146">
        <v>0.54600000000000004</v>
      </c>
      <c r="P225" s="146">
        <f>O225*H225</f>
        <v>4.0130999999999997</v>
      </c>
      <c r="Q225" s="146">
        <v>7.9210000000000003E-2</v>
      </c>
      <c r="R225" s="146">
        <f>Q225*H225</f>
        <v>0.58219350000000003</v>
      </c>
      <c r="S225" s="146">
        <v>0</v>
      </c>
      <c r="T225" s="147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48" t="s">
        <v>144</v>
      </c>
      <c r="AT225" s="148" t="s">
        <v>139</v>
      </c>
      <c r="AU225" s="148" t="s">
        <v>82</v>
      </c>
      <c r="AY225" s="18" t="s">
        <v>137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8" t="s">
        <v>80</v>
      </c>
      <c r="BK225" s="149">
        <f>ROUND(I225*H225,2)</f>
        <v>0</v>
      </c>
      <c r="BL225" s="18" t="s">
        <v>144</v>
      </c>
      <c r="BM225" s="148" t="s">
        <v>220</v>
      </c>
    </row>
    <row r="226" spans="1:65" s="14" customFormat="1">
      <c r="B226" s="160"/>
      <c r="D226" s="150" t="s">
        <v>152</v>
      </c>
      <c r="E226" s="161" t="s">
        <v>1</v>
      </c>
      <c r="F226" s="162" t="s">
        <v>221</v>
      </c>
      <c r="H226" s="163">
        <v>7.35</v>
      </c>
      <c r="L226" s="160"/>
      <c r="M226" s="164"/>
      <c r="N226" s="165"/>
      <c r="O226" s="165"/>
      <c r="P226" s="165"/>
      <c r="Q226" s="165"/>
      <c r="R226" s="165"/>
      <c r="S226" s="165"/>
      <c r="T226" s="166"/>
      <c r="AT226" s="161" t="s">
        <v>152</v>
      </c>
      <c r="AU226" s="161" t="s">
        <v>82</v>
      </c>
      <c r="AV226" s="14" t="s">
        <v>82</v>
      </c>
      <c r="AW226" s="14" t="s">
        <v>28</v>
      </c>
      <c r="AX226" s="14" t="s">
        <v>72</v>
      </c>
      <c r="AY226" s="161" t="s">
        <v>137</v>
      </c>
    </row>
    <row r="227" spans="1:65" s="15" customFormat="1">
      <c r="B227" s="167"/>
      <c r="D227" s="150" t="s">
        <v>152</v>
      </c>
      <c r="E227" s="168" t="s">
        <v>1</v>
      </c>
      <c r="F227" s="169" t="s">
        <v>157</v>
      </c>
      <c r="H227" s="170">
        <v>7.35</v>
      </c>
      <c r="L227" s="167"/>
      <c r="M227" s="171"/>
      <c r="N227" s="172"/>
      <c r="O227" s="172"/>
      <c r="P227" s="172"/>
      <c r="Q227" s="172"/>
      <c r="R227" s="172"/>
      <c r="S227" s="172"/>
      <c r="T227" s="173"/>
      <c r="AT227" s="168" t="s">
        <v>152</v>
      </c>
      <c r="AU227" s="168" t="s">
        <v>82</v>
      </c>
      <c r="AV227" s="15" t="s">
        <v>144</v>
      </c>
      <c r="AW227" s="15" t="s">
        <v>28</v>
      </c>
      <c r="AX227" s="15" t="s">
        <v>80</v>
      </c>
      <c r="AY227" s="168" t="s">
        <v>137</v>
      </c>
    </row>
    <row r="228" spans="1:65" s="12" customFormat="1" ht="22.95" customHeight="1">
      <c r="B228" s="125"/>
      <c r="D228" s="126" t="s">
        <v>71</v>
      </c>
      <c r="E228" s="135" t="s">
        <v>144</v>
      </c>
      <c r="F228" s="135" t="s">
        <v>222</v>
      </c>
      <c r="J228" s="136">
        <f>J229</f>
        <v>0</v>
      </c>
      <c r="L228" s="125"/>
      <c r="M228" s="129"/>
      <c r="N228" s="130"/>
      <c r="O228" s="130"/>
      <c r="P228" s="131">
        <f>SUM(P229:P231)</f>
        <v>1.0375000000000001</v>
      </c>
      <c r="Q228" s="130"/>
      <c r="R228" s="131">
        <f>SUM(R229:R231)</f>
        <v>1.4248749999999999</v>
      </c>
      <c r="S228" s="130"/>
      <c r="T228" s="132">
        <f>SUM(T229:T231)</f>
        <v>0</v>
      </c>
      <c r="AR228" s="126" t="s">
        <v>80</v>
      </c>
      <c r="AT228" s="133" t="s">
        <v>71</v>
      </c>
      <c r="AU228" s="133" t="s">
        <v>80</v>
      </c>
      <c r="AY228" s="126" t="s">
        <v>137</v>
      </c>
      <c r="BK228" s="134">
        <f>SUM(BK229:BK231)</f>
        <v>0</v>
      </c>
    </row>
    <row r="229" spans="1:65" s="2" customFormat="1" ht="16.5" customHeight="1">
      <c r="A229" s="30"/>
      <c r="B229" s="137"/>
      <c r="C229" s="138">
        <v>21</v>
      </c>
      <c r="D229" s="138" t="s">
        <v>139</v>
      </c>
      <c r="E229" s="139" t="s">
        <v>223</v>
      </c>
      <c r="F229" s="140" t="s">
        <v>224</v>
      </c>
      <c r="G229" s="141" t="s">
        <v>142</v>
      </c>
      <c r="H229" s="280">
        <v>6.25</v>
      </c>
      <c r="I229" s="318">
        <v>0</v>
      </c>
      <c r="J229" s="143">
        <f>ROUND(I229*H229,2)</f>
        <v>0</v>
      </c>
      <c r="K229" s="140" t="s">
        <v>143</v>
      </c>
      <c r="L229" s="195"/>
      <c r="M229" s="144" t="s">
        <v>1</v>
      </c>
      <c r="N229" s="145" t="s">
        <v>37</v>
      </c>
      <c r="O229" s="146">
        <v>0.16600000000000001</v>
      </c>
      <c r="P229" s="146">
        <f>O229*H229</f>
        <v>1.0375000000000001</v>
      </c>
      <c r="Q229" s="146">
        <v>0.22797999999999999</v>
      </c>
      <c r="R229" s="146">
        <f>Q229*H229</f>
        <v>1.4248749999999999</v>
      </c>
      <c r="S229" s="146">
        <v>0</v>
      </c>
      <c r="T229" s="147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48" t="s">
        <v>144</v>
      </c>
      <c r="AT229" s="148" t="s">
        <v>139</v>
      </c>
      <c r="AU229" s="148" t="s">
        <v>82</v>
      </c>
      <c r="AY229" s="18" t="s">
        <v>137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8" t="s">
        <v>80</v>
      </c>
      <c r="BK229" s="149">
        <f>ROUND(I229*H229,2)</f>
        <v>0</v>
      </c>
      <c r="BL229" s="18" t="s">
        <v>144</v>
      </c>
      <c r="BM229" s="148" t="s">
        <v>225</v>
      </c>
    </row>
    <row r="230" spans="1:65" s="14" customFormat="1">
      <c r="B230" s="160"/>
      <c r="D230" s="150" t="s">
        <v>152</v>
      </c>
      <c r="E230" s="161" t="s">
        <v>1</v>
      </c>
      <c r="F230" s="278" t="s">
        <v>805</v>
      </c>
      <c r="H230" s="279">
        <f>1*1+1.5*0.6+28*0.6*0.6+3*0.8*0.6</f>
        <v>13.42</v>
      </c>
      <c r="L230" s="160"/>
      <c r="M230" s="164"/>
      <c r="N230" s="165"/>
      <c r="O230" s="165"/>
      <c r="P230" s="165"/>
      <c r="Q230" s="165"/>
      <c r="R230" s="165"/>
      <c r="S230" s="165"/>
      <c r="T230" s="166"/>
      <c r="AT230" s="161" t="s">
        <v>152</v>
      </c>
      <c r="AU230" s="161" t="s">
        <v>82</v>
      </c>
      <c r="AV230" s="14" t="s">
        <v>82</v>
      </c>
      <c r="AW230" s="14" t="s">
        <v>28</v>
      </c>
      <c r="AX230" s="14" t="s">
        <v>72</v>
      </c>
      <c r="AY230" s="161" t="s">
        <v>137</v>
      </c>
    </row>
    <row r="231" spans="1:65" s="15" customFormat="1">
      <c r="B231" s="167"/>
      <c r="D231" s="150" t="s">
        <v>152</v>
      </c>
      <c r="E231" s="168" t="s">
        <v>1</v>
      </c>
      <c r="F231" s="169" t="s">
        <v>157</v>
      </c>
      <c r="H231" s="170">
        <f>H230</f>
        <v>13.42</v>
      </c>
      <c r="L231" s="167"/>
      <c r="M231" s="171"/>
      <c r="N231" s="172"/>
      <c r="O231" s="172"/>
      <c r="P231" s="172"/>
      <c r="Q231" s="172"/>
      <c r="R231" s="172"/>
      <c r="S231" s="172"/>
      <c r="T231" s="173"/>
      <c r="AT231" s="168" t="s">
        <v>152</v>
      </c>
      <c r="AU231" s="168" t="s">
        <v>82</v>
      </c>
      <c r="AV231" s="15" t="s">
        <v>144</v>
      </c>
      <c r="AW231" s="15" t="s">
        <v>28</v>
      </c>
      <c r="AX231" s="15" t="s">
        <v>80</v>
      </c>
      <c r="AY231" s="168" t="s">
        <v>137</v>
      </c>
    </row>
    <row r="232" spans="1:65" s="12" customFormat="1" ht="22.95" customHeight="1">
      <c r="B232" s="125"/>
      <c r="D232" s="126" t="s">
        <v>71</v>
      </c>
      <c r="E232" s="135" t="s">
        <v>167</v>
      </c>
      <c r="F232" s="135" t="s">
        <v>226</v>
      </c>
      <c r="J232" s="136">
        <f>SUM(J233:J254)</f>
        <v>0</v>
      </c>
      <c r="L232" s="125"/>
      <c r="M232" s="129"/>
      <c r="N232" s="130"/>
      <c r="O232" s="130"/>
      <c r="P232" s="131">
        <f>SUM(P233:P254)</f>
        <v>157.354118</v>
      </c>
      <c r="Q232" s="130"/>
      <c r="R232" s="131">
        <f>SUM(R233:R254)</f>
        <v>580.13409000000001</v>
      </c>
      <c r="S232" s="130"/>
      <c r="T232" s="132">
        <f>SUM(T233:T254)</f>
        <v>0</v>
      </c>
      <c r="AR232" s="126" t="s">
        <v>80</v>
      </c>
      <c r="AT232" s="133" t="s">
        <v>71</v>
      </c>
      <c r="AU232" s="133" t="s">
        <v>80</v>
      </c>
      <c r="AY232" s="126" t="s">
        <v>137</v>
      </c>
      <c r="BK232" s="134">
        <f>SUM(BK233:BK254)</f>
        <v>0</v>
      </c>
    </row>
    <row r="233" spans="1:65" s="2" customFormat="1" ht="16.5" customHeight="1">
      <c r="A233" s="30"/>
      <c r="B233" s="137"/>
      <c r="C233" s="138">
        <v>22</v>
      </c>
      <c r="D233" s="138" t="s">
        <v>139</v>
      </c>
      <c r="E233" s="139" t="s">
        <v>227</v>
      </c>
      <c r="F233" s="140" t="s">
        <v>228</v>
      </c>
      <c r="G233" s="141" t="s">
        <v>142</v>
      </c>
      <c r="H233" s="142">
        <v>720.13800000000003</v>
      </c>
      <c r="I233" s="318">
        <v>0</v>
      </c>
      <c r="J233" s="143">
        <f>ROUND(I233*H233,2)</f>
        <v>0</v>
      </c>
      <c r="K233" s="140" t="s">
        <v>143</v>
      </c>
      <c r="L233" s="195"/>
      <c r="M233" s="144" t="s">
        <v>1</v>
      </c>
      <c r="N233" s="145" t="s">
        <v>37</v>
      </c>
      <c r="O233" s="146">
        <v>5.8999999999999997E-2</v>
      </c>
      <c r="P233" s="146">
        <f>O233*H233</f>
        <v>42.488141999999996</v>
      </c>
      <c r="Q233" s="146">
        <v>0.115</v>
      </c>
      <c r="R233" s="146">
        <f>Q233*H233</f>
        <v>82.815870000000004</v>
      </c>
      <c r="S233" s="146">
        <v>0</v>
      </c>
      <c r="T233" s="147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48" t="s">
        <v>144</v>
      </c>
      <c r="AT233" s="148" t="s">
        <v>139</v>
      </c>
      <c r="AU233" s="148" t="s">
        <v>82</v>
      </c>
      <c r="AY233" s="18" t="s">
        <v>137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8" t="s">
        <v>80</v>
      </c>
      <c r="BK233" s="149">
        <f>ROUND(I233*H233,2)</f>
        <v>0</v>
      </c>
      <c r="BL233" s="18" t="s">
        <v>144</v>
      </c>
      <c r="BM233" s="148" t="s">
        <v>229</v>
      </c>
    </row>
    <row r="234" spans="1:65" s="13" customFormat="1">
      <c r="B234" s="154"/>
      <c r="D234" s="150" t="s">
        <v>152</v>
      </c>
      <c r="E234" s="155" t="s">
        <v>1</v>
      </c>
      <c r="F234" s="156" t="s">
        <v>153</v>
      </c>
      <c r="H234" s="155" t="s">
        <v>1</v>
      </c>
      <c r="L234" s="195"/>
      <c r="M234" s="157"/>
      <c r="N234" s="158"/>
      <c r="O234" s="158"/>
      <c r="P234" s="158"/>
      <c r="Q234" s="158"/>
      <c r="R234" s="158"/>
      <c r="S234" s="158"/>
      <c r="T234" s="159"/>
      <c r="AT234" s="155" t="s">
        <v>152</v>
      </c>
      <c r="AU234" s="155" t="s">
        <v>82</v>
      </c>
      <c r="AV234" s="13" t="s">
        <v>80</v>
      </c>
      <c r="AW234" s="13" t="s">
        <v>28</v>
      </c>
      <c r="AX234" s="13" t="s">
        <v>72</v>
      </c>
      <c r="AY234" s="155" t="s">
        <v>137</v>
      </c>
    </row>
    <row r="235" spans="1:65" s="14" customFormat="1">
      <c r="B235" s="160"/>
      <c r="D235" s="150" t="s">
        <v>152</v>
      </c>
      <c r="E235" s="161" t="s">
        <v>1</v>
      </c>
      <c r="F235" s="162" t="s">
        <v>154</v>
      </c>
      <c r="H235" s="163">
        <v>337.01299999999998</v>
      </c>
      <c r="L235" s="195"/>
      <c r="M235" s="164"/>
      <c r="N235" s="165"/>
      <c r="O235" s="165"/>
      <c r="P235" s="165"/>
      <c r="Q235" s="165"/>
      <c r="R235" s="165"/>
      <c r="S235" s="165"/>
      <c r="T235" s="166"/>
      <c r="AT235" s="161" t="s">
        <v>152</v>
      </c>
      <c r="AU235" s="161" t="s">
        <v>82</v>
      </c>
      <c r="AV235" s="14" t="s">
        <v>82</v>
      </c>
      <c r="AW235" s="14" t="s">
        <v>28</v>
      </c>
      <c r="AX235" s="14" t="s">
        <v>72</v>
      </c>
      <c r="AY235" s="161" t="s">
        <v>137</v>
      </c>
    </row>
    <row r="236" spans="1:65" s="14" customFormat="1">
      <c r="B236" s="160"/>
      <c r="D236" s="150" t="s">
        <v>152</v>
      </c>
      <c r="E236" s="161" t="s">
        <v>1</v>
      </c>
      <c r="F236" s="162" t="s">
        <v>155</v>
      </c>
      <c r="H236" s="163">
        <v>52.5</v>
      </c>
      <c r="L236" s="195"/>
      <c r="M236" s="164"/>
      <c r="N236" s="165"/>
      <c r="O236" s="165"/>
      <c r="P236" s="165"/>
      <c r="Q236" s="165"/>
      <c r="R236" s="165"/>
      <c r="S236" s="165"/>
      <c r="T236" s="166"/>
      <c r="AT236" s="161" t="s">
        <v>152</v>
      </c>
      <c r="AU236" s="161" t="s">
        <v>82</v>
      </c>
      <c r="AV236" s="14" t="s">
        <v>82</v>
      </c>
      <c r="AW236" s="14" t="s">
        <v>28</v>
      </c>
      <c r="AX236" s="14" t="s">
        <v>72</v>
      </c>
      <c r="AY236" s="161" t="s">
        <v>137</v>
      </c>
    </row>
    <row r="237" spans="1:65" s="14" customFormat="1">
      <c r="B237" s="160"/>
      <c r="D237" s="150" t="s">
        <v>152</v>
      </c>
      <c r="E237" s="161" t="s">
        <v>1</v>
      </c>
      <c r="F237" s="162" t="s">
        <v>156</v>
      </c>
      <c r="H237" s="163">
        <v>330.625</v>
      </c>
      <c r="L237" s="195"/>
      <c r="M237" s="164"/>
      <c r="N237" s="165"/>
      <c r="O237" s="165"/>
      <c r="P237" s="165"/>
      <c r="Q237" s="165"/>
      <c r="R237" s="165"/>
      <c r="S237" s="165"/>
      <c r="T237" s="166"/>
      <c r="AT237" s="161" t="s">
        <v>152</v>
      </c>
      <c r="AU237" s="161" t="s">
        <v>82</v>
      </c>
      <c r="AV237" s="14" t="s">
        <v>82</v>
      </c>
      <c r="AW237" s="14" t="s">
        <v>28</v>
      </c>
      <c r="AX237" s="14" t="s">
        <v>72</v>
      </c>
      <c r="AY237" s="161" t="s">
        <v>137</v>
      </c>
    </row>
    <row r="238" spans="1:65" s="15" customFormat="1">
      <c r="B238" s="167"/>
      <c r="D238" s="150" t="s">
        <v>152</v>
      </c>
      <c r="E238" s="168" t="s">
        <v>1</v>
      </c>
      <c r="F238" s="169" t="s">
        <v>157</v>
      </c>
      <c r="H238" s="170">
        <v>720.13800000000003</v>
      </c>
      <c r="L238" s="195"/>
      <c r="M238" s="171"/>
      <c r="N238" s="172"/>
      <c r="O238" s="172"/>
      <c r="P238" s="172"/>
      <c r="Q238" s="172"/>
      <c r="R238" s="172"/>
      <c r="S238" s="172"/>
      <c r="T238" s="173"/>
      <c r="AT238" s="168" t="s">
        <v>152</v>
      </c>
      <c r="AU238" s="168" t="s">
        <v>82</v>
      </c>
      <c r="AV238" s="15" t="s">
        <v>144</v>
      </c>
      <c r="AW238" s="15" t="s">
        <v>28</v>
      </c>
      <c r="AX238" s="15" t="s">
        <v>80</v>
      </c>
      <c r="AY238" s="168" t="s">
        <v>137</v>
      </c>
    </row>
    <row r="239" spans="1:65" s="2" customFormat="1" ht="16.5" customHeight="1">
      <c r="A239" s="30"/>
      <c r="B239" s="137"/>
      <c r="C239" s="138">
        <v>23</v>
      </c>
      <c r="D239" s="138" t="s">
        <v>139</v>
      </c>
      <c r="E239" s="139" t="s">
        <v>230</v>
      </c>
      <c r="F239" s="140" t="s">
        <v>231</v>
      </c>
      <c r="G239" s="141" t="s">
        <v>142</v>
      </c>
      <c r="H239" s="142">
        <v>720.13800000000003</v>
      </c>
      <c r="I239" s="318">
        <v>0</v>
      </c>
      <c r="J239" s="143">
        <f>ROUND(I239*H239,2)</f>
        <v>0</v>
      </c>
      <c r="K239" s="140" t="s">
        <v>143</v>
      </c>
      <c r="L239" s="195"/>
      <c r="M239" s="144" t="s">
        <v>1</v>
      </c>
      <c r="N239" s="145" t="s">
        <v>37</v>
      </c>
      <c r="O239" s="146">
        <v>0.152</v>
      </c>
      <c r="P239" s="146">
        <f>O239*H239</f>
        <v>109.460976</v>
      </c>
      <c r="Q239" s="146">
        <v>0.69</v>
      </c>
      <c r="R239" s="146">
        <f>Q239*H239</f>
        <v>496.89521999999999</v>
      </c>
      <c r="S239" s="146">
        <v>0</v>
      </c>
      <c r="T239" s="147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48" t="s">
        <v>144</v>
      </c>
      <c r="AT239" s="148" t="s">
        <v>139</v>
      </c>
      <c r="AU239" s="148" t="s">
        <v>82</v>
      </c>
      <c r="AY239" s="18" t="s">
        <v>137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8" t="s">
        <v>80</v>
      </c>
      <c r="BK239" s="149">
        <f>ROUND(I239*H239,2)</f>
        <v>0</v>
      </c>
      <c r="BL239" s="18" t="s">
        <v>144</v>
      </c>
      <c r="BM239" s="148" t="s">
        <v>232</v>
      </c>
    </row>
    <row r="240" spans="1:65" s="13" customFormat="1">
      <c r="B240" s="154"/>
      <c r="D240" s="150" t="s">
        <v>152</v>
      </c>
      <c r="E240" s="155" t="s">
        <v>1</v>
      </c>
      <c r="F240" s="156" t="s">
        <v>153</v>
      </c>
      <c r="H240" s="155" t="s">
        <v>1</v>
      </c>
      <c r="L240" s="154"/>
      <c r="M240" s="157"/>
      <c r="N240" s="158"/>
      <c r="O240" s="158"/>
      <c r="P240" s="158"/>
      <c r="Q240" s="158"/>
      <c r="R240" s="158"/>
      <c r="S240" s="158"/>
      <c r="T240" s="159"/>
      <c r="AT240" s="155" t="s">
        <v>152</v>
      </c>
      <c r="AU240" s="155" t="s">
        <v>82</v>
      </c>
      <c r="AV240" s="13" t="s">
        <v>80</v>
      </c>
      <c r="AW240" s="13" t="s">
        <v>28</v>
      </c>
      <c r="AX240" s="13" t="s">
        <v>72</v>
      </c>
      <c r="AY240" s="155" t="s">
        <v>137</v>
      </c>
    </row>
    <row r="241" spans="1:65" s="14" customFormat="1">
      <c r="B241" s="160"/>
      <c r="D241" s="150" t="s">
        <v>152</v>
      </c>
      <c r="E241" s="161" t="s">
        <v>1</v>
      </c>
      <c r="F241" s="162" t="s">
        <v>154</v>
      </c>
      <c r="H241" s="163">
        <v>337.01299999999998</v>
      </c>
      <c r="L241" s="160"/>
      <c r="M241" s="164"/>
      <c r="N241" s="165"/>
      <c r="O241" s="165"/>
      <c r="P241" s="165"/>
      <c r="Q241" s="165"/>
      <c r="R241" s="165"/>
      <c r="S241" s="165"/>
      <c r="T241" s="166"/>
      <c r="AT241" s="161" t="s">
        <v>152</v>
      </c>
      <c r="AU241" s="161" t="s">
        <v>82</v>
      </c>
      <c r="AV241" s="14" t="s">
        <v>82</v>
      </c>
      <c r="AW241" s="14" t="s">
        <v>28</v>
      </c>
      <c r="AX241" s="14" t="s">
        <v>72</v>
      </c>
      <c r="AY241" s="161" t="s">
        <v>137</v>
      </c>
    </row>
    <row r="242" spans="1:65" s="14" customFormat="1">
      <c r="B242" s="160"/>
      <c r="D242" s="150" t="s">
        <v>152</v>
      </c>
      <c r="E242" s="161" t="s">
        <v>1</v>
      </c>
      <c r="F242" s="162" t="s">
        <v>155</v>
      </c>
      <c r="H242" s="163">
        <v>52.5</v>
      </c>
      <c r="L242" s="160"/>
      <c r="M242" s="164"/>
      <c r="N242" s="165"/>
      <c r="O242" s="165"/>
      <c r="P242" s="165"/>
      <c r="Q242" s="165"/>
      <c r="R242" s="165"/>
      <c r="S242" s="165"/>
      <c r="T242" s="166"/>
      <c r="AT242" s="161" t="s">
        <v>152</v>
      </c>
      <c r="AU242" s="161" t="s">
        <v>82</v>
      </c>
      <c r="AV242" s="14" t="s">
        <v>82</v>
      </c>
      <c r="AW242" s="14" t="s">
        <v>28</v>
      </c>
      <c r="AX242" s="14" t="s">
        <v>72</v>
      </c>
      <c r="AY242" s="161" t="s">
        <v>137</v>
      </c>
    </row>
    <row r="243" spans="1:65" s="14" customFormat="1">
      <c r="B243" s="160"/>
      <c r="D243" s="150" t="s">
        <v>152</v>
      </c>
      <c r="E243" s="161" t="s">
        <v>1</v>
      </c>
      <c r="F243" s="162" t="s">
        <v>156</v>
      </c>
      <c r="H243" s="163">
        <v>330.625</v>
      </c>
      <c r="L243" s="160"/>
      <c r="M243" s="164"/>
      <c r="N243" s="165"/>
      <c r="O243" s="165"/>
      <c r="P243" s="165"/>
      <c r="Q243" s="165"/>
      <c r="R243" s="165"/>
      <c r="S243" s="165"/>
      <c r="T243" s="166"/>
      <c r="AT243" s="161" t="s">
        <v>152</v>
      </c>
      <c r="AU243" s="161" t="s">
        <v>82</v>
      </c>
      <c r="AV243" s="14" t="s">
        <v>82</v>
      </c>
      <c r="AW243" s="14" t="s">
        <v>28</v>
      </c>
      <c r="AX243" s="14" t="s">
        <v>72</v>
      </c>
      <c r="AY243" s="161" t="s">
        <v>137</v>
      </c>
    </row>
    <row r="244" spans="1:65" s="15" customFormat="1">
      <c r="B244" s="167"/>
      <c r="D244" s="150" t="s">
        <v>152</v>
      </c>
      <c r="E244" s="168" t="s">
        <v>1</v>
      </c>
      <c r="F244" s="169" t="s">
        <v>157</v>
      </c>
      <c r="H244" s="170">
        <v>720.13800000000003</v>
      </c>
      <c r="L244" s="167"/>
      <c r="M244" s="171"/>
      <c r="N244" s="172"/>
      <c r="O244" s="172"/>
      <c r="P244" s="172"/>
      <c r="Q244" s="172"/>
      <c r="R244" s="172"/>
      <c r="S244" s="172"/>
      <c r="T244" s="173"/>
      <c r="AT244" s="168" t="s">
        <v>152</v>
      </c>
      <c r="AU244" s="168" t="s">
        <v>82</v>
      </c>
      <c r="AV244" s="15" t="s">
        <v>144</v>
      </c>
      <c r="AW244" s="15" t="s">
        <v>28</v>
      </c>
      <c r="AX244" s="15" t="s">
        <v>80</v>
      </c>
      <c r="AY244" s="168" t="s">
        <v>137</v>
      </c>
    </row>
    <row r="245" spans="1:65" s="2" customFormat="1" ht="21.75" customHeight="1">
      <c r="A245" s="30"/>
      <c r="B245" s="137"/>
      <c r="C245" s="138">
        <v>24</v>
      </c>
      <c r="D245" s="138" t="s">
        <v>139</v>
      </c>
      <c r="E245" s="139" t="s">
        <v>233</v>
      </c>
      <c r="F245" s="140" t="s">
        <v>234</v>
      </c>
      <c r="G245" s="141" t="s">
        <v>142</v>
      </c>
      <c r="H245" s="142">
        <v>720.13800000000003</v>
      </c>
      <c r="I245" s="318">
        <v>0</v>
      </c>
      <c r="J245" s="143">
        <f>ROUND(I245*H245,2)</f>
        <v>0</v>
      </c>
      <c r="K245" s="140" t="s">
        <v>143</v>
      </c>
      <c r="L245" s="195"/>
      <c r="M245" s="144"/>
      <c r="N245" s="145"/>
      <c r="O245" s="146"/>
      <c r="P245" s="146"/>
      <c r="Q245" s="146"/>
      <c r="R245" s="146"/>
      <c r="S245" s="146"/>
      <c r="T245" s="147"/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48" t="s">
        <v>144</v>
      </c>
      <c r="AT245" s="148" t="s">
        <v>139</v>
      </c>
      <c r="AU245" s="148" t="s">
        <v>82</v>
      </c>
      <c r="AY245" s="18" t="s">
        <v>137</v>
      </c>
      <c r="BE245" s="149">
        <f>IF(N245="základní",J245,0)</f>
        <v>0</v>
      </c>
      <c r="BF245" s="149">
        <f>IF(N245="snížená",J245,0)</f>
        <v>0</v>
      </c>
      <c r="BG245" s="149">
        <f>IF(N245="zákl. přenesená",J245,0)</f>
        <v>0</v>
      </c>
      <c r="BH245" s="149">
        <f>IF(N245="sníž. přenesená",J245,0)</f>
        <v>0</v>
      </c>
      <c r="BI245" s="149">
        <f>IF(N245="nulová",J245,0)</f>
        <v>0</v>
      </c>
      <c r="BJ245" s="18" t="s">
        <v>80</v>
      </c>
      <c r="BK245" s="149">
        <f>ROUND(I245*H245,2)</f>
        <v>0</v>
      </c>
      <c r="BL245" s="18" t="s">
        <v>144</v>
      </c>
      <c r="BM245" s="148" t="s">
        <v>235</v>
      </c>
    </row>
    <row r="246" spans="1:65" s="13" customFormat="1">
      <c r="B246" s="154"/>
      <c r="D246" s="150" t="s">
        <v>152</v>
      </c>
      <c r="E246" s="155" t="s">
        <v>1</v>
      </c>
      <c r="F246" s="156" t="s">
        <v>153</v>
      </c>
      <c r="H246" s="155" t="s">
        <v>1</v>
      </c>
      <c r="L246" s="221"/>
      <c r="M246" s="157"/>
      <c r="N246" s="158"/>
      <c r="O246" s="158"/>
      <c r="P246" s="158"/>
      <c r="Q246" s="158"/>
      <c r="R246" s="158"/>
      <c r="S246" s="158"/>
      <c r="T246" s="159"/>
      <c r="AT246" s="155" t="s">
        <v>152</v>
      </c>
      <c r="AU246" s="155" t="s">
        <v>82</v>
      </c>
      <c r="AV246" s="13" t="s">
        <v>80</v>
      </c>
      <c r="AW246" s="13" t="s">
        <v>28</v>
      </c>
      <c r="AX246" s="13" t="s">
        <v>72</v>
      </c>
      <c r="AY246" s="155" t="s">
        <v>137</v>
      </c>
    </row>
    <row r="247" spans="1:65" s="14" customFormat="1">
      <c r="B247" s="160"/>
      <c r="D247" s="150" t="s">
        <v>152</v>
      </c>
      <c r="E247" s="161" t="s">
        <v>1</v>
      </c>
      <c r="F247" s="162" t="s">
        <v>154</v>
      </c>
      <c r="H247" s="163">
        <v>337.01299999999998</v>
      </c>
      <c r="L247" s="206"/>
      <c r="M247" s="164"/>
      <c r="N247" s="165"/>
      <c r="O247" s="165"/>
      <c r="P247" s="165"/>
      <c r="Q247" s="165"/>
      <c r="R247" s="165"/>
      <c r="S247" s="165"/>
      <c r="T247" s="166"/>
      <c r="AT247" s="161" t="s">
        <v>152</v>
      </c>
      <c r="AU247" s="161" t="s">
        <v>82</v>
      </c>
      <c r="AV247" s="14" t="s">
        <v>82</v>
      </c>
      <c r="AW247" s="14" t="s">
        <v>28</v>
      </c>
      <c r="AX247" s="14" t="s">
        <v>72</v>
      </c>
      <c r="AY247" s="161" t="s">
        <v>137</v>
      </c>
    </row>
    <row r="248" spans="1:65" s="14" customFormat="1">
      <c r="B248" s="160"/>
      <c r="D248" s="150" t="s">
        <v>152</v>
      </c>
      <c r="E248" s="161" t="s">
        <v>1</v>
      </c>
      <c r="F248" s="162" t="s">
        <v>155</v>
      </c>
      <c r="H248" s="163">
        <v>52.5</v>
      </c>
      <c r="L248" s="206"/>
      <c r="M248" s="164"/>
      <c r="N248" s="165"/>
      <c r="O248" s="165"/>
      <c r="P248" s="165"/>
      <c r="Q248" s="165"/>
      <c r="R248" s="165"/>
      <c r="S248" s="165"/>
      <c r="T248" s="166"/>
      <c r="AT248" s="161" t="s">
        <v>152</v>
      </c>
      <c r="AU248" s="161" t="s">
        <v>82</v>
      </c>
      <c r="AV248" s="14" t="s">
        <v>82</v>
      </c>
      <c r="AW248" s="14" t="s">
        <v>28</v>
      </c>
      <c r="AX248" s="14" t="s">
        <v>72</v>
      </c>
      <c r="AY248" s="161" t="s">
        <v>137</v>
      </c>
    </row>
    <row r="249" spans="1:65" s="14" customFormat="1">
      <c r="B249" s="160"/>
      <c r="D249" s="150" t="s">
        <v>152</v>
      </c>
      <c r="E249" s="161" t="s">
        <v>1</v>
      </c>
      <c r="F249" s="162" t="s">
        <v>156</v>
      </c>
      <c r="H249" s="163">
        <v>330.625</v>
      </c>
      <c r="L249" s="221"/>
      <c r="M249" s="164"/>
      <c r="N249" s="165"/>
      <c r="O249" s="165"/>
      <c r="P249" s="165"/>
      <c r="Q249" s="165"/>
      <c r="R249" s="165"/>
      <c r="S249" s="165"/>
      <c r="T249" s="166"/>
      <c r="AT249" s="161" t="s">
        <v>152</v>
      </c>
      <c r="AU249" s="161" t="s">
        <v>82</v>
      </c>
      <c r="AV249" s="14" t="s">
        <v>82</v>
      </c>
      <c r="AW249" s="14" t="s">
        <v>28</v>
      </c>
      <c r="AX249" s="14" t="s">
        <v>72</v>
      </c>
      <c r="AY249" s="161" t="s">
        <v>137</v>
      </c>
    </row>
    <row r="250" spans="1:65" s="15" customFormat="1">
      <c r="B250" s="167"/>
      <c r="D250" s="150" t="s">
        <v>152</v>
      </c>
      <c r="E250" s="168" t="s">
        <v>1</v>
      </c>
      <c r="F250" s="169" t="s">
        <v>157</v>
      </c>
      <c r="H250" s="170">
        <v>720.13800000000003</v>
      </c>
      <c r="L250" s="221"/>
      <c r="M250" s="171"/>
      <c r="N250" s="172"/>
      <c r="O250" s="172"/>
      <c r="P250" s="172"/>
      <c r="Q250" s="172"/>
      <c r="R250" s="172"/>
      <c r="S250" s="172"/>
      <c r="T250" s="173"/>
      <c r="AT250" s="168" t="s">
        <v>152</v>
      </c>
      <c r="AU250" s="168" t="s">
        <v>82</v>
      </c>
      <c r="AV250" s="15" t="s">
        <v>144</v>
      </c>
      <c r="AW250" s="15" t="s">
        <v>28</v>
      </c>
      <c r="AX250" s="15" t="s">
        <v>80</v>
      </c>
      <c r="AY250" s="168" t="s">
        <v>137</v>
      </c>
    </row>
    <row r="251" spans="1:65" s="2" customFormat="1" ht="16.5" customHeight="1">
      <c r="A251" s="30"/>
      <c r="B251" s="137"/>
      <c r="C251" s="174">
        <v>25</v>
      </c>
      <c r="D251" s="174" t="s">
        <v>184</v>
      </c>
      <c r="E251" s="175" t="s">
        <v>236</v>
      </c>
      <c r="F251" s="176" t="s">
        <v>237</v>
      </c>
      <c r="G251" s="177" t="s">
        <v>142</v>
      </c>
      <c r="H251" s="178">
        <v>792.15200000000004</v>
      </c>
      <c r="I251" s="320">
        <v>0</v>
      </c>
      <c r="J251" s="179">
        <f>ROUND(I251*H251,2)</f>
        <v>0</v>
      </c>
      <c r="K251" s="176" t="s">
        <v>148</v>
      </c>
      <c r="L251" s="205"/>
      <c r="M251" s="180"/>
      <c r="N251" s="181"/>
      <c r="O251" s="146"/>
      <c r="P251" s="146"/>
      <c r="Q251" s="146"/>
      <c r="R251" s="146"/>
      <c r="S251" s="146"/>
      <c r="T251" s="147"/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48" t="s">
        <v>176</v>
      </c>
      <c r="AT251" s="148" t="s">
        <v>184</v>
      </c>
      <c r="AU251" s="148" t="s">
        <v>82</v>
      </c>
      <c r="AY251" s="18" t="s">
        <v>137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8" t="s">
        <v>80</v>
      </c>
      <c r="BK251" s="149">
        <f>ROUND(I251*H251,2)</f>
        <v>0</v>
      </c>
      <c r="BL251" s="18" t="s">
        <v>144</v>
      </c>
      <c r="BM251" s="148" t="s">
        <v>238</v>
      </c>
    </row>
    <row r="252" spans="1:65" s="2" customFormat="1" ht="19.95" customHeight="1">
      <c r="A252" s="235"/>
      <c r="B252" s="137"/>
      <c r="C252" s="259"/>
      <c r="D252" s="259"/>
      <c r="E252" s="260"/>
      <c r="F252" s="283" t="s">
        <v>818</v>
      </c>
      <c r="G252" s="262"/>
      <c r="H252" s="263"/>
      <c r="I252" s="264"/>
      <c r="J252" s="264"/>
      <c r="K252" s="261"/>
      <c r="L252" s="205"/>
      <c r="M252" s="180"/>
      <c r="N252" s="181"/>
      <c r="O252" s="146"/>
      <c r="P252" s="146"/>
      <c r="Q252" s="146"/>
      <c r="R252" s="146"/>
      <c r="S252" s="146"/>
      <c r="T252" s="147"/>
      <c r="U252" s="235"/>
      <c r="V252" s="235"/>
      <c r="W252" s="235"/>
      <c r="X252" s="235"/>
      <c r="Y252" s="235"/>
      <c r="Z252" s="235"/>
      <c r="AA252" s="235"/>
      <c r="AB252" s="235"/>
      <c r="AC252" s="235"/>
      <c r="AD252" s="235"/>
      <c r="AE252" s="235"/>
      <c r="AR252" s="148"/>
      <c r="AT252" s="148"/>
      <c r="AU252" s="148"/>
      <c r="AY252" s="18"/>
      <c r="BE252" s="149"/>
      <c r="BF252" s="149"/>
      <c r="BG252" s="149"/>
      <c r="BH252" s="149"/>
      <c r="BI252" s="149"/>
      <c r="BJ252" s="18"/>
      <c r="BK252" s="149"/>
      <c r="BL252" s="18"/>
      <c r="BM252" s="148"/>
    </row>
    <row r="253" spans="1:65" s="14" customFormat="1">
      <c r="B253" s="160"/>
      <c r="D253" s="150" t="s">
        <v>152</v>
      </c>
      <c r="F253" s="162" t="s">
        <v>239</v>
      </c>
      <c r="H253" s="163">
        <v>792.15200000000004</v>
      </c>
      <c r="L253" s="160"/>
      <c r="M253" s="164"/>
      <c r="N253" s="165"/>
      <c r="O253" s="165"/>
      <c r="P253" s="165"/>
      <c r="Q253" s="165"/>
      <c r="R253" s="165"/>
      <c r="S253" s="165"/>
      <c r="T253" s="166"/>
      <c r="AT253" s="161" t="s">
        <v>152</v>
      </c>
      <c r="AU253" s="161" t="s">
        <v>82</v>
      </c>
      <c r="AV253" s="14" t="s">
        <v>82</v>
      </c>
      <c r="AW253" s="14" t="s">
        <v>3</v>
      </c>
      <c r="AX253" s="14" t="s">
        <v>80</v>
      </c>
      <c r="AY253" s="161" t="s">
        <v>137</v>
      </c>
    </row>
    <row r="254" spans="1:65" s="2" customFormat="1" ht="16.5" customHeight="1">
      <c r="A254" s="30"/>
      <c r="B254" s="137"/>
      <c r="C254" s="138">
        <v>26</v>
      </c>
      <c r="D254" s="138" t="s">
        <v>139</v>
      </c>
      <c r="E254" s="139" t="s">
        <v>240</v>
      </c>
      <c r="F254" s="140" t="s">
        <v>241</v>
      </c>
      <c r="G254" s="141" t="s">
        <v>242</v>
      </c>
      <c r="H254" s="142">
        <v>117.5</v>
      </c>
      <c r="I254" s="318">
        <v>0</v>
      </c>
      <c r="J254" s="143">
        <f>ROUND(I254*H254,2)</f>
        <v>0</v>
      </c>
      <c r="K254" s="140" t="s">
        <v>143</v>
      </c>
      <c r="L254" s="195"/>
      <c r="M254" s="144" t="s">
        <v>1</v>
      </c>
      <c r="N254" s="145" t="s">
        <v>37</v>
      </c>
      <c r="O254" s="146">
        <v>4.5999999999999999E-2</v>
      </c>
      <c r="P254" s="146">
        <f>O254*H254</f>
        <v>5.4050000000000002</v>
      </c>
      <c r="Q254" s="146">
        <v>3.5999999999999999E-3</v>
      </c>
      <c r="R254" s="146">
        <f>Q254*H254</f>
        <v>0.42299999999999999</v>
      </c>
      <c r="S254" s="146">
        <v>0</v>
      </c>
      <c r="T254" s="147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48" t="s">
        <v>144</v>
      </c>
      <c r="AT254" s="148" t="s">
        <v>139</v>
      </c>
      <c r="AU254" s="148" t="s">
        <v>82</v>
      </c>
      <c r="AY254" s="18" t="s">
        <v>137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8" t="s">
        <v>80</v>
      </c>
      <c r="BK254" s="149">
        <f>ROUND(I254*H254,2)</f>
        <v>0</v>
      </c>
      <c r="BL254" s="18" t="s">
        <v>144</v>
      </c>
      <c r="BM254" s="148" t="s">
        <v>243</v>
      </c>
    </row>
    <row r="255" spans="1:65" s="12" customFormat="1" ht="22.95" customHeight="1">
      <c r="B255" s="125"/>
      <c r="D255" s="126" t="s">
        <v>71</v>
      </c>
      <c r="E255" s="135" t="s">
        <v>169</v>
      </c>
      <c r="F255" s="135" t="s">
        <v>244</v>
      </c>
      <c r="J255" s="136">
        <f>SUM(J256:J341)</f>
        <v>0</v>
      </c>
      <c r="L255" s="125"/>
      <c r="M255" s="129"/>
      <c r="N255" s="130"/>
      <c r="O255" s="130"/>
      <c r="P255" s="131">
        <f>SUM(P256:P341)</f>
        <v>1708.8981650000003</v>
      </c>
      <c r="Q255" s="130"/>
      <c r="R255" s="131">
        <f>SUM(R256:R341)</f>
        <v>31.211044300000005</v>
      </c>
      <c r="S255" s="130"/>
      <c r="T255" s="132">
        <f>SUM(T256:T341)</f>
        <v>4.0900000000000002E-4</v>
      </c>
      <c r="AR255" s="126" t="s">
        <v>80</v>
      </c>
      <c r="AT255" s="133" t="s">
        <v>71</v>
      </c>
      <c r="AU255" s="133" t="s">
        <v>80</v>
      </c>
      <c r="AY255" s="126" t="s">
        <v>137</v>
      </c>
      <c r="BK255" s="134">
        <f>SUM(BK256:BK341)</f>
        <v>0</v>
      </c>
    </row>
    <row r="256" spans="1:65" s="2" customFormat="1" ht="21.75" customHeight="1">
      <c r="A256" s="30"/>
      <c r="B256" s="137"/>
      <c r="C256" s="138">
        <v>27</v>
      </c>
      <c r="D256" s="138" t="s">
        <v>139</v>
      </c>
      <c r="E256" s="139" t="s">
        <v>245</v>
      </c>
      <c r="F256" s="140" t="s">
        <v>246</v>
      </c>
      <c r="G256" s="141" t="s">
        <v>142</v>
      </c>
      <c r="H256" s="142">
        <v>30.35</v>
      </c>
      <c r="I256" s="318">
        <v>0</v>
      </c>
      <c r="J256" s="143">
        <f t="shared" ref="J256:J261" si="0">ROUND(I256*H256,2)</f>
        <v>0</v>
      </c>
      <c r="K256" s="140" t="s">
        <v>143</v>
      </c>
      <c r="L256" s="195"/>
      <c r="M256" s="144" t="s">
        <v>1</v>
      </c>
      <c r="N256" s="145" t="s">
        <v>37</v>
      </c>
      <c r="O256" s="146">
        <v>0.55600000000000005</v>
      </c>
      <c r="P256" s="146">
        <f t="shared" ref="P256:P261" si="1">O256*H256</f>
        <v>16.874600000000001</v>
      </c>
      <c r="Q256" s="146">
        <v>9.1999999999999998E-3</v>
      </c>
      <c r="R256" s="146">
        <f t="shared" ref="R256:R261" si="2">Q256*H256</f>
        <v>0.27922000000000002</v>
      </c>
      <c r="S256" s="146">
        <v>0</v>
      </c>
      <c r="T256" s="147">
        <f t="shared" ref="T256:T261" si="3"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48" t="s">
        <v>144</v>
      </c>
      <c r="AT256" s="148" t="s">
        <v>139</v>
      </c>
      <c r="AU256" s="148" t="s">
        <v>82</v>
      </c>
      <c r="AY256" s="18" t="s">
        <v>137</v>
      </c>
      <c r="BE256" s="149">
        <f t="shared" ref="BE256:BE261" si="4">IF(N256="základní",J256,0)</f>
        <v>0</v>
      </c>
      <c r="BF256" s="149">
        <f t="shared" ref="BF256:BF261" si="5">IF(N256="snížená",J256,0)</f>
        <v>0</v>
      </c>
      <c r="BG256" s="149">
        <f t="shared" ref="BG256:BG261" si="6">IF(N256="zákl. přenesená",J256,0)</f>
        <v>0</v>
      </c>
      <c r="BH256" s="149">
        <f t="shared" ref="BH256:BH261" si="7">IF(N256="sníž. přenesená",J256,0)</f>
        <v>0</v>
      </c>
      <c r="BI256" s="149">
        <f t="shared" ref="BI256:BI261" si="8">IF(N256="nulová",J256,0)</f>
        <v>0</v>
      </c>
      <c r="BJ256" s="18" t="s">
        <v>80</v>
      </c>
      <c r="BK256" s="149">
        <f t="shared" ref="BK256:BK261" si="9">ROUND(I256*H256,2)</f>
        <v>0</v>
      </c>
      <c r="BL256" s="18" t="s">
        <v>144</v>
      </c>
      <c r="BM256" s="148" t="s">
        <v>247</v>
      </c>
    </row>
    <row r="257" spans="1:65" s="2" customFormat="1" ht="16.5" customHeight="1">
      <c r="A257" s="30"/>
      <c r="B257" s="137"/>
      <c r="C257" s="138">
        <v>28</v>
      </c>
      <c r="D257" s="138" t="s">
        <v>139</v>
      </c>
      <c r="E257" s="139" t="s">
        <v>248</v>
      </c>
      <c r="F257" s="140" t="s">
        <v>249</v>
      </c>
      <c r="G257" s="141" t="s">
        <v>142</v>
      </c>
      <c r="H257" s="142">
        <v>52.72</v>
      </c>
      <c r="I257" s="318">
        <v>0</v>
      </c>
      <c r="J257" s="143">
        <f t="shared" si="0"/>
        <v>0</v>
      </c>
      <c r="K257" s="140" t="s">
        <v>143</v>
      </c>
      <c r="L257" s="195"/>
      <c r="M257" s="144" t="s">
        <v>1</v>
      </c>
      <c r="N257" s="145" t="s">
        <v>37</v>
      </c>
      <c r="O257" s="146">
        <v>0.106</v>
      </c>
      <c r="P257" s="146">
        <f t="shared" si="1"/>
        <v>5.5883199999999995</v>
      </c>
      <c r="Q257" s="146">
        <v>6.4999999999999997E-3</v>
      </c>
      <c r="R257" s="146">
        <f t="shared" si="2"/>
        <v>0.34267999999999998</v>
      </c>
      <c r="S257" s="146">
        <v>0</v>
      </c>
      <c r="T257" s="147">
        <f t="shared" si="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48" t="s">
        <v>144</v>
      </c>
      <c r="AT257" s="148" t="s">
        <v>139</v>
      </c>
      <c r="AU257" s="148" t="s">
        <v>82</v>
      </c>
      <c r="AY257" s="18" t="s">
        <v>137</v>
      </c>
      <c r="BE257" s="149">
        <f t="shared" si="4"/>
        <v>0</v>
      </c>
      <c r="BF257" s="149">
        <f t="shared" si="5"/>
        <v>0</v>
      </c>
      <c r="BG257" s="149">
        <f t="shared" si="6"/>
        <v>0</v>
      </c>
      <c r="BH257" s="149">
        <f t="shared" si="7"/>
        <v>0</v>
      </c>
      <c r="BI257" s="149">
        <f t="shared" si="8"/>
        <v>0</v>
      </c>
      <c r="BJ257" s="18" t="s">
        <v>80</v>
      </c>
      <c r="BK257" s="149">
        <f t="shared" si="9"/>
        <v>0</v>
      </c>
      <c r="BL257" s="18" t="s">
        <v>144</v>
      </c>
      <c r="BM257" s="148" t="s">
        <v>250</v>
      </c>
    </row>
    <row r="258" spans="1:65" s="2" customFormat="1" ht="16.5" customHeight="1">
      <c r="A258" s="30"/>
      <c r="B258" s="137"/>
      <c r="C258" s="138">
        <v>29</v>
      </c>
      <c r="D258" s="138" t="s">
        <v>139</v>
      </c>
      <c r="E258" s="139" t="s">
        <v>251</v>
      </c>
      <c r="F258" s="140" t="s">
        <v>252</v>
      </c>
      <c r="G258" s="141" t="s">
        <v>142</v>
      </c>
      <c r="H258" s="142">
        <v>52.72</v>
      </c>
      <c r="I258" s="318">
        <v>0</v>
      </c>
      <c r="J258" s="143">
        <f t="shared" si="0"/>
        <v>0</v>
      </c>
      <c r="K258" s="140" t="s">
        <v>143</v>
      </c>
      <c r="L258" s="195"/>
      <c r="M258" s="144" t="s">
        <v>1</v>
      </c>
      <c r="N258" s="145" t="s">
        <v>37</v>
      </c>
      <c r="O258" s="146">
        <v>0.36</v>
      </c>
      <c r="P258" s="146">
        <f t="shared" si="1"/>
        <v>18.979199999999999</v>
      </c>
      <c r="Q258" s="146">
        <v>4.3800000000000002E-3</v>
      </c>
      <c r="R258" s="146">
        <f t="shared" si="2"/>
        <v>0.2309136</v>
      </c>
      <c r="S258" s="146">
        <v>0</v>
      </c>
      <c r="T258" s="147">
        <f t="shared" si="3"/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48" t="s">
        <v>144</v>
      </c>
      <c r="AT258" s="148" t="s">
        <v>139</v>
      </c>
      <c r="AU258" s="148" t="s">
        <v>82</v>
      </c>
      <c r="AY258" s="18" t="s">
        <v>137</v>
      </c>
      <c r="BE258" s="149">
        <f t="shared" si="4"/>
        <v>0</v>
      </c>
      <c r="BF258" s="149">
        <f t="shared" si="5"/>
        <v>0</v>
      </c>
      <c r="BG258" s="149">
        <f t="shared" si="6"/>
        <v>0</v>
      </c>
      <c r="BH258" s="149">
        <f t="shared" si="7"/>
        <v>0</v>
      </c>
      <c r="BI258" s="149">
        <f t="shared" si="8"/>
        <v>0</v>
      </c>
      <c r="BJ258" s="18" t="s">
        <v>80</v>
      </c>
      <c r="BK258" s="149">
        <f t="shared" si="9"/>
        <v>0</v>
      </c>
      <c r="BL258" s="18" t="s">
        <v>144</v>
      </c>
      <c r="BM258" s="148" t="s">
        <v>253</v>
      </c>
    </row>
    <row r="259" spans="1:65" s="2" customFormat="1" ht="16.5" customHeight="1">
      <c r="A259" s="30"/>
      <c r="B259" s="137"/>
      <c r="C259" s="138">
        <v>30</v>
      </c>
      <c r="D259" s="138" t="s">
        <v>139</v>
      </c>
      <c r="E259" s="139" t="s">
        <v>254</v>
      </c>
      <c r="F259" s="140" t="s">
        <v>255</v>
      </c>
      <c r="G259" s="141" t="s">
        <v>142</v>
      </c>
      <c r="H259" s="142">
        <v>52.72</v>
      </c>
      <c r="I259" s="318">
        <v>0</v>
      </c>
      <c r="J259" s="143">
        <f t="shared" si="0"/>
        <v>0</v>
      </c>
      <c r="K259" s="140" t="s">
        <v>143</v>
      </c>
      <c r="L259" s="195"/>
      <c r="M259" s="144" t="s">
        <v>1</v>
      </c>
      <c r="N259" s="145" t="s">
        <v>37</v>
      </c>
      <c r="O259" s="146">
        <v>0.46</v>
      </c>
      <c r="P259" s="146">
        <f t="shared" si="1"/>
        <v>24.251200000000001</v>
      </c>
      <c r="Q259" s="146">
        <v>1.7330000000000002E-2</v>
      </c>
      <c r="R259" s="146">
        <f t="shared" si="2"/>
        <v>0.91363760000000005</v>
      </c>
      <c r="S259" s="146">
        <v>0</v>
      </c>
      <c r="T259" s="147">
        <f t="shared" si="3"/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48" t="s">
        <v>144</v>
      </c>
      <c r="AT259" s="148" t="s">
        <v>139</v>
      </c>
      <c r="AU259" s="148" t="s">
        <v>82</v>
      </c>
      <c r="AY259" s="18" t="s">
        <v>137</v>
      </c>
      <c r="BE259" s="149">
        <f t="shared" si="4"/>
        <v>0</v>
      </c>
      <c r="BF259" s="149">
        <f t="shared" si="5"/>
        <v>0</v>
      </c>
      <c r="BG259" s="149">
        <f t="shared" si="6"/>
        <v>0</v>
      </c>
      <c r="BH259" s="149">
        <f t="shared" si="7"/>
        <v>0</v>
      </c>
      <c r="BI259" s="149">
        <f t="shared" si="8"/>
        <v>0</v>
      </c>
      <c r="BJ259" s="18" t="s">
        <v>80</v>
      </c>
      <c r="BK259" s="149">
        <f t="shared" si="9"/>
        <v>0</v>
      </c>
      <c r="BL259" s="18" t="s">
        <v>144</v>
      </c>
      <c r="BM259" s="148" t="s">
        <v>256</v>
      </c>
    </row>
    <row r="260" spans="1:65" s="2" customFormat="1" ht="21.75" customHeight="1">
      <c r="A260" s="30"/>
      <c r="B260" s="137"/>
      <c r="C260" s="138">
        <v>31</v>
      </c>
      <c r="D260" s="138" t="s">
        <v>139</v>
      </c>
      <c r="E260" s="139" t="s">
        <v>257</v>
      </c>
      <c r="F260" s="140" t="s">
        <v>258</v>
      </c>
      <c r="G260" s="141" t="s">
        <v>142</v>
      </c>
      <c r="H260" s="142">
        <v>154.4</v>
      </c>
      <c r="I260" s="318">
        <v>0</v>
      </c>
      <c r="J260" s="143">
        <f t="shared" si="0"/>
        <v>0</v>
      </c>
      <c r="K260" s="140" t="s">
        <v>143</v>
      </c>
      <c r="L260" s="195"/>
      <c r="M260" s="144" t="s">
        <v>1</v>
      </c>
      <c r="N260" s="145" t="s">
        <v>37</v>
      </c>
      <c r="O260" s="146">
        <v>0.42499999999999999</v>
      </c>
      <c r="P260" s="146">
        <f t="shared" si="1"/>
        <v>65.62</v>
      </c>
      <c r="Q260" s="146">
        <v>9.2999999999999992E-3</v>
      </c>
      <c r="R260" s="146">
        <f t="shared" si="2"/>
        <v>1.4359199999999999</v>
      </c>
      <c r="S260" s="146">
        <v>0</v>
      </c>
      <c r="T260" s="147">
        <f t="shared" si="3"/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48" t="s">
        <v>144</v>
      </c>
      <c r="AT260" s="148" t="s">
        <v>139</v>
      </c>
      <c r="AU260" s="148" t="s">
        <v>82</v>
      </c>
      <c r="AY260" s="18" t="s">
        <v>137</v>
      </c>
      <c r="BE260" s="149">
        <f t="shared" si="4"/>
        <v>0</v>
      </c>
      <c r="BF260" s="149">
        <f t="shared" si="5"/>
        <v>0</v>
      </c>
      <c r="BG260" s="149">
        <f t="shared" si="6"/>
        <v>0</v>
      </c>
      <c r="BH260" s="149">
        <f t="shared" si="7"/>
        <v>0</v>
      </c>
      <c r="BI260" s="149">
        <f t="shared" si="8"/>
        <v>0</v>
      </c>
      <c r="BJ260" s="18" t="s">
        <v>80</v>
      </c>
      <c r="BK260" s="149">
        <f t="shared" si="9"/>
        <v>0</v>
      </c>
      <c r="BL260" s="18" t="s">
        <v>144</v>
      </c>
      <c r="BM260" s="148" t="s">
        <v>259</v>
      </c>
    </row>
    <row r="261" spans="1:65" s="2" customFormat="1" ht="16.5" customHeight="1">
      <c r="A261" s="30"/>
      <c r="B261" s="137"/>
      <c r="C261" s="138">
        <v>32</v>
      </c>
      <c r="D261" s="138" t="s">
        <v>139</v>
      </c>
      <c r="E261" s="139" t="s">
        <v>260</v>
      </c>
      <c r="F261" s="140" t="s">
        <v>261</v>
      </c>
      <c r="G261" s="141" t="s">
        <v>142</v>
      </c>
      <c r="H261" s="142">
        <v>472.42500000000001</v>
      </c>
      <c r="I261" s="318">
        <v>0</v>
      </c>
      <c r="J261" s="143">
        <f t="shared" si="0"/>
        <v>0</v>
      </c>
      <c r="K261" s="140" t="s">
        <v>143</v>
      </c>
      <c r="L261" s="195"/>
      <c r="M261" s="144" t="s">
        <v>1</v>
      </c>
      <c r="N261" s="145" t="s">
        <v>37</v>
      </c>
      <c r="O261" s="146">
        <v>9.5000000000000001E-2</v>
      </c>
      <c r="P261" s="146">
        <f t="shared" si="1"/>
        <v>44.880375000000001</v>
      </c>
      <c r="Q261" s="146">
        <v>2.5999999999999998E-4</v>
      </c>
      <c r="R261" s="146">
        <f t="shared" si="2"/>
        <v>0.1228305</v>
      </c>
      <c r="S261" s="146">
        <v>0</v>
      </c>
      <c r="T261" s="147">
        <f t="shared" si="3"/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48" t="s">
        <v>144</v>
      </c>
      <c r="AT261" s="148" t="s">
        <v>139</v>
      </c>
      <c r="AU261" s="148" t="s">
        <v>82</v>
      </c>
      <c r="AY261" s="18" t="s">
        <v>137</v>
      </c>
      <c r="BE261" s="149">
        <f t="shared" si="4"/>
        <v>0</v>
      </c>
      <c r="BF261" s="149">
        <f t="shared" si="5"/>
        <v>0</v>
      </c>
      <c r="BG261" s="149">
        <f t="shared" si="6"/>
        <v>0</v>
      </c>
      <c r="BH261" s="149">
        <f t="shared" si="7"/>
        <v>0</v>
      </c>
      <c r="BI261" s="149">
        <f t="shared" si="8"/>
        <v>0</v>
      </c>
      <c r="BJ261" s="18" t="s">
        <v>80</v>
      </c>
      <c r="BK261" s="149">
        <f t="shared" si="9"/>
        <v>0</v>
      </c>
      <c r="BL261" s="18" t="s">
        <v>144</v>
      </c>
      <c r="BM261" s="148" t="s">
        <v>262</v>
      </c>
    </row>
    <row r="262" spans="1:65" s="14" customFormat="1">
      <c r="B262" s="160"/>
      <c r="D262" s="150" t="s">
        <v>152</v>
      </c>
      <c r="E262" s="161" t="s">
        <v>1</v>
      </c>
      <c r="F262" s="162" t="s">
        <v>263</v>
      </c>
      <c r="H262" s="163">
        <v>96</v>
      </c>
      <c r="L262" s="195"/>
      <c r="M262" s="164"/>
      <c r="N262" s="165"/>
      <c r="O262" s="165"/>
      <c r="P262" s="165"/>
      <c r="Q262" s="165"/>
      <c r="R262" s="165"/>
      <c r="S262" s="165"/>
      <c r="T262" s="166"/>
      <c r="AT262" s="161" t="s">
        <v>152</v>
      </c>
      <c r="AU262" s="161" t="s">
        <v>82</v>
      </c>
      <c r="AV262" s="14" t="s">
        <v>82</v>
      </c>
      <c r="AW262" s="14" t="s">
        <v>28</v>
      </c>
      <c r="AX262" s="14" t="s">
        <v>72</v>
      </c>
      <c r="AY262" s="161" t="s">
        <v>137</v>
      </c>
    </row>
    <row r="263" spans="1:65" s="14" customFormat="1">
      <c r="B263" s="160"/>
      <c r="D263" s="150" t="s">
        <v>152</v>
      </c>
      <c r="E263" s="161" t="s">
        <v>1</v>
      </c>
      <c r="F263" s="162" t="s">
        <v>264</v>
      </c>
      <c r="H263" s="163">
        <v>376.42500000000001</v>
      </c>
      <c r="L263" s="195"/>
      <c r="M263" s="164"/>
      <c r="N263" s="165"/>
      <c r="O263" s="165"/>
      <c r="P263" s="165"/>
      <c r="Q263" s="165"/>
      <c r="R263" s="165"/>
      <c r="S263" s="165"/>
      <c r="T263" s="166"/>
      <c r="AT263" s="161" t="s">
        <v>152</v>
      </c>
      <c r="AU263" s="161" t="s">
        <v>82</v>
      </c>
      <c r="AV263" s="14" t="s">
        <v>82</v>
      </c>
      <c r="AW263" s="14" t="s">
        <v>28</v>
      </c>
      <c r="AX263" s="14" t="s">
        <v>72</v>
      </c>
      <c r="AY263" s="161" t="s">
        <v>137</v>
      </c>
    </row>
    <row r="264" spans="1:65" s="15" customFormat="1">
      <c r="B264" s="167"/>
      <c r="D264" s="150" t="s">
        <v>152</v>
      </c>
      <c r="E264" s="168" t="s">
        <v>1</v>
      </c>
      <c r="F264" s="169" t="s">
        <v>157</v>
      </c>
      <c r="H264" s="170">
        <v>472.42500000000001</v>
      </c>
      <c r="L264" s="195"/>
      <c r="M264" s="171"/>
      <c r="N264" s="172"/>
      <c r="O264" s="172"/>
      <c r="P264" s="172"/>
      <c r="Q264" s="172"/>
      <c r="R264" s="172"/>
      <c r="S264" s="172"/>
      <c r="T264" s="173"/>
      <c r="AT264" s="168" t="s">
        <v>152</v>
      </c>
      <c r="AU264" s="168" t="s">
        <v>82</v>
      </c>
      <c r="AV264" s="15" t="s">
        <v>144</v>
      </c>
      <c r="AW264" s="15" t="s">
        <v>28</v>
      </c>
      <c r="AX264" s="15" t="s">
        <v>80</v>
      </c>
      <c r="AY264" s="168" t="s">
        <v>137</v>
      </c>
    </row>
    <row r="265" spans="1:65" s="2" customFormat="1" ht="16.5" customHeight="1">
      <c r="A265" s="30"/>
      <c r="B265" s="137"/>
      <c r="C265" s="138">
        <v>33</v>
      </c>
      <c r="D265" s="138" t="s">
        <v>139</v>
      </c>
      <c r="E265" s="139" t="s">
        <v>266</v>
      </c>
      <c r="F265" s="140" t="s">
        <v>267</v>
      </c>
      <c r="G265" s="141" t="s">
        <v>142</v>
      </c>
      <c r="H265" s="142">
        <v>96</v>
      </c>
      <c r="I265" s="318">
        <v>0</v>
      </c>
      <c r="J265" s="143">
        <f>ROUND(I265*H265,2)</f>
        <v>0</v>
      </c>
      <c r="K265" s="140" t="s">
        <v>143</v>
      </c>
      <c r="L265" s="195"/>
      <c r="M265" s="144" t="s">
        <v>1</v>
      </c>
      <c r="N265" s="145" t="s">
        <v>37</v>
      </c>
      <c r="O265" s="146">
        <v>0.41</v>
      </c>
      <c r="P265" s="146">
        <f>O265*H265</f>
        <v>39.36</v>
      </c>
      <c r="Q265" s="146">
        <v>4.3800000000000002E-3</v>
      </c>
      <c r="R265" s="146">
        <f>Q265*H265</f>
        <v>0.42048000000000002</v>
      </c>
      <c r="S265" s="146">
        <v>0</v>
      </c>
      <c r="T265" s="147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48" t="s">
        <v>144</v>
      </c>
      <c r="AT265" s="148" t="s">
        <v>139</v>
      </c>
      <c r="AU265" s="148" t="s">
        <v>82</v>
      </c>
      <c r="AY265" s="18" t="s">
        <v>137</v>
      </c>
      <c r="BE265" s="149">
        <f>IF(N265="základní",J265,0)</f>
        <v>0</v>
      </c>
      <c r="BF265" s="149">
        <f>IF(N265="snížená",J265,0)</f>
        <v>0</v>
      </c>
      <c r="BG265" s="149">
        <f>IF(N265="zákl. přenesená",J265,0)</f>
        <v>0</v>
      </c>
      <c r="BH265" s="149">
        <f>IF(N265="sníž. přenesená",J265,0)</f>
        <v>0</v>
      </c>
      <c r="BI265" s="149">
        <f>IF(N265="nulová",J265,0)</f>
        <v>0</v>
      </c>
      <c r="BJ265" s="18" t="s">
        <v>80</v>
      </c>
      <c r="BK265" s="149">
        <f>ROUND(I265*H265,2)</f>
        <v>0</v>
      </c>
      <c r="BL265" s="18" t="s">
        <v>144</v>
      </c>
      <c r="BM265" s="148" t="s">
        <v>268</v>
      </c>
    </row>
    <row r="266" spans="1:65" s="14" customFormat="1">
      <c r="B266" s="160"/>
      <c r="D266" s="150" t="s">
        <v>152</v>
      </c>
      <c r="E266" s="161" t="s">
        <v>1</v>
      </c>
      <c r="F266" s="162" t="s">
        <v>263</v>
      </c>
      <c r="H266" s="163">
        <v>96</v>
      </c>
      <c r="L266" s="195"/>
      <c r="M266" s="164"/>
      <c r="N266" s="165"/>
      <c r="O266" s="165"/>
      <c r="P266" s="165"/>
      <c r="Q266" s="165"/>
      <c r="R266" s="165"/>
      <c r="S266" s="165"/>
      <c r="T266" s="166"/>
      <c r="AT266" s="161" t="s">
        <v>152</v>
      </c>
      <c r="AU266" s="161" t="s">
        <v>82</v>
      </c>
      <c r="AV266" s="14" t="s">
        <v>82</v>
      </c>
      <c r="AW266" s="14" t="s">
        <v>28</v>
      </c>
      <c r="AX266" s="14" t="s">
        <v>72</v>
      </c>
      <c r="AY266" s="161" t="s">
        <v>137</v>
      </c>
    </row>
    <row r="267" spans="1:65" s="15" customFormat="1">
      <c r="B267" s="167"/>
      <c r="D267" s="150" t="s">
        <v>152</v>
      </c>
      <c r="E267" s="168" t="s">
        <v>1</v>
      </c>
      <c r="F267" s="169" t="s">
        <v>157</v>
      </c>
      <c r="H267" s="170">
        <v>96</v>
      </c>
      <c r="L267" s="195"/>
      <c r="M267" s="171"/>
      <c r="N267" s="172"/>
      <c r="O267" s="172"/>
      <c r="P267" s="172"/>
      <c r="Q267" s="172"/>
      <c r="R267" s="172"/>
      <c r="S267" s="172"/>
      <c r="T267" s="173"/>
      <c r="AT267" s="168" t="s">
        <v>152</v>
      </c>
      <c r="AU267" s="168" t="s">
        <v>82</v>
      </c>
      <c r="AV267" s="15" t="s">
        <v>144</v>
      </c>
      <c r="AW267" s="15" t="s">
        <v>28</v>
      </c>
      <c r="AX267" s="15" t="s">
        <v>80</v>
      </c>
      <c r="AY267" s="168" t="s">
        <v>137</v>
      </c>
    </row>
    <row r="268" spans="1:65" s="2" customFormat="1" ht="16.5" customHeight="1">
      <c r="A268" s="30"/>
      <c r="B268" s="137"/>
      <c r="C268" s="138">
        <v>34</v>
      </c>
      <c r="D268" s="138" t="s">
        <v>139</v>
      </c>
      <c r="E268" s="139" t="s">
        <v>269</v>
      </c>
      <c r="F268" s="140" t="s">
        <v>270</v>
      </c>
      <c r="G268" s="141" t="s">
        <v>142</v>
      </c>
      <c r="H268" s="142">
        <v>472.42500000000001</v>
      </c>
      <c r="I268" s="318">
        <v>0</v>
      </c>
      <c r="J268" s="143">
        <f>ROUND(I268*H268,2)</f>
        <v>0</v>
      </c>
      <c r="K268" s="140" t="s">
        <v>143</v>
      </c>
      <c r="L268" s="195"/>
      <c r="M268" s="144" t="s">
        <v>1</v>
      </c>
      <c r="N268" s="145" t="s">
        <v>37</v>
      </c>
      <c r="O268" s="146">
        <v>8.5999999999999993E-2</v>
      </c>
      <c r="P268" s="146">
        <f>O268*H268</f>
        <v>40.628549999999997</v>
      </c>
      <c r="Q268" s="146">
        <v>1.3999999999999999E-4</v>
      </c>
      <c r="R268" s="146">
        <f>Q268*H268</f>
        <v>6.613949999999999E-2</v>
      </c>
      <c r="S268" s="146">
        <v>0</v>
      </c>
      <c r="T268" s="147">
        <f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48" t="s">
        <v>144</v>
      </c>
      <c r="AT268" s="148" t="s">
        <v>139</v>
      </c>
      <c r="AU268" s="148" t="s">
        <v>82</v>
      </c>
      <c r="AY268" s="18" t="s">
        <v>137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8" t="s">
        <v>80</v>
      </c>
      <c r="BK268" s="149">
        <f>ROUND(I268*H268,2)</f>
        <v>0</v>
      </c>
      <c r="BL268" s="18" t="s">
        <v>144</v>
      </c>
      <c r="BM268" s="148" t="s">
        <v>271</v>
      </c>
    </row>
    <row r="269" spans="1:65" s="2" customFormat="1" ht="24.15" customHeight="1">
      <c r="A269" s="30"/>
      <c r="B269" s="137"/>
      <c r="C269" s="138">
        <v>35</v>
      </c>
      <c r="D269" s="138" t="s">
        <v>139</v>
      </c>
      <c r="E269" s="139" t="s">
        <v>272</v>
      </c>
      <c r="F269" s="140" t="s">
        <v>273</v>
      </c>
      <c r="G269" s="141" t="s">
        <v>142</v>
      </c>
      <c r="H269" s="142">
        <v>376.42500000000001</v>
      </c>
      <c r="I269" s="318">
        <v>0</v>
      </c>
      <c r="J269" s="143">
        <f>ROUND(I269*H269,2)</f>
        <v>0</v>
      </c>
      <c r="K269" s="140" t="s">
        <v>143</v>
      </c>
      <c r="L269" s="195"/>
      <c r="M269" s="144" t="s">
        <v>1</v>
      </c>
      <c r="N269" s="145" t="s">
        <v>37</v>
      </c>
      <c r="O269" s="146">
        <v>1.36</v>
      </c>
      <c r="P269" s="146">
        <f>O269*H269</f>
        <v>511.93800000000005</v>
      </c>
      <c r="Q269" s="146">
        <v>8.6E-3</v>
      </c>
      <c r="R269" s="146">
        <f>Q269*H269</f>
        <v>3.2372550000000002</v>
      </c>
      <c r="S269" s="146">
        <v>0</v>
      </c>
      <c r="T269" s="147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48" t="s">
        <v>144</v>
      </c>
      <c r="AT269" s="148" t="s">
        <v>139</v>
      </c>
      <c r="AU269" s="148" t="s">
        <v>82</v>
      </c>
      <c r="AY269" s="18" t="s">
        <v>137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8" t="s">
        <v>80</v>
      </c>
      <c r="BK269" s="149">
        <f>ROUND(I269*H269,2)</f>
        <v>0</v>
      </c>
      <c r="BL269" s="18" t="s">
        <v>144</v>
      </c>
      <c r="BM269" s="148" t="s">
        <v>274</v>
      </c>
    </row>
    <row r="270" spans="1:65" s="14" customFormat="1">
      <c r="B270" s="160"/>
      <c r="D270" s="150" t="s">
        <v>152</v>
      </c>
      <c r="E270" s="161" t="s">
        <v>1</v>
      </c>
      <c r="F270" s="162" t="s">
        <v>264</v>
      </c>
      <c r="H270" s="163">
        <v>376.42500000000001</v>
      </c>
      <c r="L270" s="195"/>
      <c r="M270" s="164"/>
      <c r="N270" s="165"/>
      <c r="O270" s="165"/>
      <c r="P270" s="165"/>
      <c r="Q270" s="165"/>
      <c r="R270" s="165"/>
      <c r="S270" s="165"/>
      <c r="T270" s="166"/>
      <c r="AT270" s="161" t="s">
        <v>152</v>
      </c>
      <c r="AU270" s="161" t="s">
        <v>82</v>
      </c>
      <c r="AV270" s="14" t="s">
        <v>82</v>
      </c>
      <c r="AW270" s="14" t="s">
        <v>28</v>
      </c>
      <c r="AX270" s="14" t="s">
        <v>72</v>
      </c>
      <c r="AY270" s="161" t="s">
        <v>137</v>
      </c>
    </row>
    <row r="271" spans="1:65" s="15" customFormat="1">
      <c r="B271" s="167"/>
      <c r="D271" s="150" t="s">
        <v>152</v>
      </c>
      <c r="E271" s="168" t="s">
        <v>1</v>
      </c>
      <c r="F271" s="169" t="s">
        <v>157</v>
      </c>
      <c r="H271" s="170">
        <v>376.42500000000001</v>
      </c>
      <c r="L271" s="195"/>
      <c r="M271" s="171"/>
      <c r="N271" s="172"/>
      <c r="O271" s="172"/>
      <c r="P271" s="172"/>
      <c r="Q271" s="172"/>
      <c r="R271" s="172"/>
      <c r="S271" s="172"/>
      <c r="T271" s="173"/>
      <c r="AT271" s="168" t="s">
        <v>152</v>
      </c>
      <c r="AU271" s="168" t="s">
        <v>82</v>
      </c>
      <c r="AV271" s="15" t="s">
        <v>144</v>
      </c>
      <c r="AW271" s="15" t="s">
        <v>28</v>
      </c>
      <c r="AX271" s="15" t="s">
        <v>80</v>
      </c>
      <c r="AY271" s="168" t="s">
        <v>137</v>
      </c>
    </row>
    <row r="272" spans="1:65" s="2" customFormat="1" ht="16.5" customHeight="1">
      <c r="A272" s="30"/>
      <c r="B272" s="137"/>
      <c r="C272" s="285">
        <v>36</v>
      </c>
      <c r="D272" s="285" t="s">
        <v>184</v>
      </c>
      <c r="E272" s="286" t="s">
        <v>275</v>
      </c>
      <c r="F272" s="287" t="s">
        <v>276</v>
      </c>
      <c r="G272" s="288" t="s">
        <v>142</v>
      </c>
      <c r="H272" s="289">
        <v>414.06799999999998</v>
      </c>
      <c r="I272" s="320">
        <v>0</v>
      </c>
      <c r="J272" s="290">
        <f>ROUND(I272*H272,2)</f>
        <v>0</v>
      </c>
      <c r="K272" s="287" t="s">
        <v>148</v>
      </c>
      <c r="L272" s="291"/>
      <c r="M272" s="292" t="s">
        <v>1</v>
      </c>
      <c r="N272" s="293" t="s">
        <v>37</v>
      </c>
      <c r="O272" s="218">
        <v>0</v>
      </c>
      <c r="P272" s="218">
        <f>O272*H272</f>
        <v>0</v>
      </c>
      <c r="Q272" s="218">
        <v>1.4E-3</v>
      </c>
      <c r="R272" s="218">
        <f>Q272*H272</f>
        <v>0.57969519999999997</v>
      </c>
      <c r="S272" s="218">
        <v>0</v>
      </c>
      <c r="T272" s="219">
        <f>S272*H272</f>
        <v>0</v>
      </c>
      <c r="U272" s="220"/>
      <c r="V272" s="220"/>
      <c r="W272" s="220"/>
      <c r="X272" s="220"/>
      <c r="Y272" s="30"/>
      <c r="Z272" s="30"/>
      <c r="AA272" s="30"/>
      <c r="AB272" s="30"/>
      <c r="AC272" s="30"/>
      <c r="AD272" s="30"/>
      <c r="AE272" s="30"/>
      <c r="AR272" s="148" t="s">
        <v>176</v>
      </c>
      <c r="AT272" s="148" t="s">
        <v>184</v>
      </c>
      <c r="AU272" s="148" t="s">
        <v>82</v>
      </c>
      <c r="AY272" s="18" t="s">
        <v>137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8" t="s">
        <v>80</v>
      </c>
      <c r="BK272" s="149">
        <f>ROUND(I272*H272,2)</f>
        <v>0</v>
      </c>
      <c r="BL272" s="18" t="s">
        <v>144</v>
      </c>
      <c r="BM272" s="148" t="s">
        <v>277</v>
      </c>
    </row>
    <row r="273" spans="1:65" s="14" customFormat="1">
      <c r="B273" s="160"/>
      <c r="D273" s="150" t="s">
        <v>152</v>
      </c>
      <c r="F273" s="204" t="s">
        <v>820</v>
      </c>
      <c r="H273" s="163">
        <f>414.068-33</f>
        <v>381.06799999999998</v>
      </c>
      <c r="L273" s="195"/>
      <c r="M273" s="164"/>
      <c r="N273" s="165"/>
      <c r="O273" s="165"/>
      <c r="P273" s="165"/>
      <c r="Q273" s="165"/>
      <c r="R273" s="165"/>
      <c r="S273" s="165"/>
      <c r="T273" s="166"/>
      <c r="AT273" s="161" t="s">
        <v>152</v>
      </c>
      <c r="AU273" s="161" t="s">
        <v>82</v>
      </c>
      <c r="AV273" s="14" t="s">
        <v>82</v>
      </c>
      <c r="AW273" s="14" t="s">
        <v>3</v>
      </c>
      <c r="AX273" s="14" t="s">
        <v>80</v>
      </c>
      <c r="AY273" s="161" t="s">
        <v>137</v>
      </c>
    </row>
    <row r="274" spans="1:65" s="14" customFormat="1" ht="22.8">
      <c r="B274" s="160"/>
      <c r="C274" s="174">
        <v>37</v>
      </c>
      <c r="D274" s="174" t="s">
        <v>184</v>
      </c>
      <c r="E274" s="175" t="s">
        <v>275</v>
      </c>
      <c r="F274" s="284" t="s">
        <v>824</v>
      </c>
      <c r="G274" s="177" t="s">
        <v>142</v>
      </c>
      <c r="H274" s="178">
        <v>33</v>
      </c>
      <c r="I274" s="320">
        <v>0</v>
      </c>
      <c r="J274" s="179">
        <f>ROUND(I274*H274,2)</f>
        <v>0</v>
      </c>
      <c r="K274" s="176" t="s">
        <v>148</v>
      </c>
      <c r="L274" s="195"/>
      <c r="M274" s="164"/>
      <c r="N274" s="165"/>
      <c r="O274" s="165"/>
      <c r="P274" s="165"/>
      <c r="Q274" s="165"/>
      <c r="R274" s="165"/>
      <c r="S274" s="165"/>
      <c r="T274" s="166"/>
      <c r="AT274" s="161"/>
      <c r="AU274" s="161"/>
      <c r="AY274" s="161"/>
    </row>
    <row r="275" spans="1:65" s="14" customFormat="1" ht="11.4">
      <c r="B275" s="160"/>
      <c r="C275" s="259"/>
      <c r="D275" s="259"/>
      <c r="E275" s="260"/>
      <c r="F275" s="294" t="s">
        <v>821</v>
      </c>
      <c r="G275" s="262"/>
      <c r="H275" s="263"/>
      <c r="I275" s="264"/>
      <c r="J275" s="264"/>
      <c r="K275" s="261"/>
      <c r="L275" s="195"/>
      <c r="M275" s="164"/>
      <c r="N275" s="165"/>
      <c r="O275" s="165"/>
      <c r="P275" s="165"/>
      <c r="Q275" s="165"/>
      <c r="R275" s="165"/>
      <c r="S275" s="165"/>
      <c r="T275" s="166"/>
      <c r="AT275" s="161"/>
      <c r="AU275" s="161"/>
      <c r="AY275" s="161"/>
    </row>
    <row r="276" spans="1:65" s="14" customFormat="1">
      <c r="B276" s="160"/>
      <c r="D276" s="150" t="s">
        <v>152</v>
      </c>
      <c r="F276" s="204" t="s">
        <v>819</v>
      </c>
      <c r="H276" s="163">
        <f>30*1.1</f>
        <v>33</v>
      </c>
      <c r="L276" s="195"/>
      <c r="M276" s="164"/>
      <c r="N276" s="165"/>
      <c r="O276" s="165"/>
      <c r="P276" s="165"/>
      <c r="Q276" s="165"/>
      <c r="R276" s="165"/>
      <c r="S276" s="165"/>
      <c r="T276" s="166"/>
      <c r="AT276" s="161"/>
      <c r="AU276" s="161"/>
      <c r="AY276" s="161"/>
    </row>
    <row r="277" spans="1:65" s="2" customFormat="1" ht="16.5" customHeight="1">
      <c r="A277" s="30"/>
      <c r="B277" s="137"/>
      <c r="C277" s="138">
        <v>38</v>
      </c>
      <c r="D277" s="138" t="s">
        <v>139</v>
      </c>
      <c r="E277" s="139" t="s">
        <v>278</v>
      </c>
      <c r="F277" s="140" t="s">
        <v>279</v>
      </c>
      <c r="G277" s="141" t="s">
        <v>142</v>
      </c>
      <c r="H277" s="142">
        <v>472.42500000000001</v>
      </c>
      <c r="I277" s="318">
        <v>0</v>
      </c>
      <c r="J277" s="143">
        <f>ROUND(I277*H277,2)</f>
        <v>0</v>
      </c>
      <c r="K277" s="140" t="s">
        <v>143</v>
      </c>
      <c r="L277" s="195"/>
      <c r="M277" s="144" t="s">
        <v>1</v>
      </c>
      <c r="N277" s="145" t="s">
        <v>37</v>
      </c>
      <c r="O277" s="146">
        <v>0.253</v>
      </c>
      <c r="P277" s="146">
        <f>O277*H277</f>
        <v>119.52352500000001</v>
      </c>
      <c r="Q277" s="146">
        <v>1.457E-2</v>
      </c>
      <c r="R277" s="146">
        <f>Q277*H277</f>
        <v>6.8832322499999998</v>
      </c>
      <c r="S277" s="146">
        <v>0</v>
      </c>
      <c r="T277" s="147">
        <f>S277*H277</f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148" t="s">
        <v>144</v>
      </c>
      <c r="AT277" s="148" t="s">
        <v>139</v>
      </c>
      <c r="AU277" s="148" t="s">
        <v>82</v>
      </c>
      <c r="AY277" s="18" t="s">
        <v>137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8" t="s">
        <v>80</v>
      </c>
      <c r="BK277" s="149">
        <f>ROUND(I277*H277,2)</f>
        <v>0</v>
      </c>
      <c r="BL277" s="18" t="s">
        <v>144</v>
      </c>
      <c r="BM277" s="148" t="s">
        <v>280</v>
      </c>
    </row>
    <row r="278" spans="1:65" s="2" customFormat="1" ht="16.5" customHeight="1">
      <c r="A278" s="30"/>
      <c r="B278" s="137"/>
      <c r="C278" s="138">
        <v>39</v>
      </c>
      <c r="D278" s="138" t="s">
        <v>139</v>
      </c>
      <c r="E278" s="139" t="s">
        <v>281</v>
      </c>
      <c r="F278" s="140" t="s">
        <v>282</v>
      </c>
      <c r="G278" s="141" t="s">
        <v>142</v>
      </c>
      <c r="H278" s="142">
        <v>472.42500000000001</v>
      </c>
      <c r="I278" s="318">
        <v>0</v>
      </c>
      <c r="J278" s="143">
        <f>ROUND(I278*H278,2)</f>
        <v>0</v>
      </c>
      <c r="K278" s="140" t="s">
        <v>143</v>
      </c>
      <c r="L278" s="195"/>
      <c r="M278" s="144" t="s">
        <v>1</v>
      </c>
      <c r="N278" s="145" t="s">
        <v>37</v>
      </c>
      <c r="O278" s="146">
        <v>0.28499999999999998</v>
      </c>
      <c r="P278" s="146">
        <f>O278*H278</f>
        <v>134.64112499999999</v>
      </c>
      <c r="Q278" s="146">
        <v>2.8500000000000001E-3</v>
      </c>
      <c r="R278" s="146">
        <f>Q278*H278</f>
        <v>1.3464112500000001</v>
      </c>
      <c r="S278" s="146">
        <v>0</v>
      </c>
      <c r="T278" s="147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48" t="s">
        <v>144</v>
      </c>
      <c r="AT278" s="148" t="s">
        <v>139</v>
      </c>
      <c r="AU278" s="148" t="s">
        <v>82</v>
      </c>
      <c r="AY278" s="18" t="s">
        <v>137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8" t="s">
        <v>80</v>
      </c>
      <c r="BK278" s="149">
        <f>ROUND(I278*H278,2)</f>
        <v>0</v>
      </c>
      <c r="BL278" s="18" t="s">
        <v>144</v>
      </c>
      <c r="BM278" s="148" t="s">
        <v>283</v>
      </c>
    </row>
    <row r="279" spans="1:65" s="14" customFormat="1">
      <c r="B279" s="160"/>
      <c r="D279" s="150" t="s">
        <v>152</v>
      </c>
      <c r="E279" s="161" t="s">
        <v>1</v>
      </c>
      <c r="F279" s="162" t="s">
        <v>263</v>
      </c>
      <c r="H279" s="163">
        <v>96</v>
      </c>
      <c r="L279" s="195"/>
      <c r="M279" s="164"/>
      <c r="N279" s="165"/>
      <c r="O279" s="165"/>
      <c r="P279" s="165"/>
      <c r="Q279" s="165"/>
      <c r="R279" s="165"/>
      <c r="S279" s="165"/>
      <c r="T279" s="166"/>
      <c r="AT279" s="161" t="s">
        <v>152</v>
      </c>
      <c r="AU279" s="161" t="s">
        <v>82</v>
      </c>
      <c r="AV279" s="14" t="s">
        <v>82</v>
      </c>
      <c r="AW279" s="14" t="s">
        <v>28</v>
      </c>
      <c r="AX279" s="14" t="s">
        <v>72</v>
      </c>
      <c r="AY279" s="161" t="s">
        <v>137</v>
      </c>
    </row>
    <row r="280" spans="1:65" s="14" customFormat="1">
      <c r="B280" s="160"/>
      <c r="D280" s="150" t="s">
        <v>152</v>
      </c>
      <c r="E280" s="161" t="s">
        <v>1</v>
      </c>
      <c r="F280" s="162" t="s">
        <v>264</v>
      </c>
      <c r="H280" s="163">
        <v>376.42500000000001</v>
      </c>
      <c r="L280" s="160"/>
      <c r="M280" s="164"/>
      <c r="N280" s="165"/>
      <c r="O280" s="165"/>
      <c r="P280" s="165"/>
      <c r="Q280" s="165"/>
      <c r="R280" s="165"/>
      <c r="S280" s="165"/>
      <c r="T280" s="166"/>
      <c r="AT280" s="161" t="s">
        <v>152</v>
      </c>
      <c r="AU280" s="161" t="s">
        <v>82</v>
      </c>
      <c r="AV280" s="14" t="s">
        <v>82</v>
      </c>
      <c r="AW280" s="14" t="s">
        <v>28</v>
      </c>
      <c r="AX280" s="14" t="s">
        <v>72</v>
      </c>
      <c r="AY280" s="161" t="s">
        <v>137</v>
      </c>
    </row>
    <row r="281" spans="1:65" s="15" customFormat="1">
      <c r="B281" s="167"/>
      <c r="D281" s="150" t="s">
        <v>152</v>
      </c>
      <c r="E281" s="168" t="s">
        <v>1</v>
      </c>
      <c r="F281" s="169" t="s">
        <v>157</v>
      </c>
      <c r="H281" s="170">
        <v>472.42500000000001</v>
      </c>
      <c r="L281" s="167"/>
      <c r="M281" s="171"/>
      <c r="N281" s="172"/>
      <c r="O281" s="172"/>
      <c r="P281" s="172"/>
      <c r="Q281" s="172"/>
      <c r="R281" s="172"/>
      <c r="S281" s="172"/>
      <c r="T281" s="173"/>
      <c r="AT281" s="168" t="s">
        <v>152</v>
      </c>
      <c r="AU281" s="168" t="s">
        <v>82</v>
      </c>
      <c r="AV281" s="15" t="s">
        <v>144</v>
      </c>
      <c r="AW281" s="15" t="s">
        <v>28</v>
      </c>
      <c r="AX281" s="15" t="s">
        <v>80</v>
      </c>
      <c r="AY281" s="168" t="s">
        <v>137</v>
      </c>
    </row>
    <row r="282" spans="1:65" s="2" customFormat="1" ht="16.5" customHeight="1">
      <c r="A282" s="30"/>
      <c r="B282" s="137"/>
      <c r="C282" s="138">
        <v>40</v>
      </c>
      <c r="D282" s="138" t="s">
        <v>139</v>
      </c>
      <c r="E282" s="139" t="s">
        <v>284</v>
      </c>
      <c r="F282" s="140" t="s">
        <v>285</v>
      </c>
      <c r="G282" s="141" t="s">
        <v>142</v>
      </c>
      <c r="H282" s="142">
        <v>71.099999999999994</v>
      </c>
      <c r="I282" s="318">
        <v>0</v>
      </c>
      <c r="J282" s="143">
        <f>ROUND(I282*H282,2)</f>
        <v>0</v>
      </c>
      <c r="K282" s="140" t="s">
        <v>143</v>
      </c>
      <c r="L282" s="195"/>
      <c r="M282" s="144" t="s">
        <v>1</v>
      </c>
      <c r="N282" s="145" t="s">
        <v>37</v>
      </c>
      <c r="O282" s="146">
        <v>8.6999999999999994E-2</v>
      </c>
      <c r="P282" s="146">
        <f>O282*H282</f>
        <v>6.1856999999999989</v>
      </c>
      <c r="Q282" s="146">
        <v>7.3499999999999998E-3</v>
      </c>
      <c r="R282" s="146">
        <f>Q282*H282</f>
        <v>0.52258499999999997</v>
      </c>
      <c r="S282" s="146">
        <v>0</v>
      </c>
      <c r="T282" s="147">
        <f>S282*H282</f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48" t="s">
        <v>144</v>
      </c>
      <c r="AT282" s="148" t="s">
        <v>139</v>
      </c>
      <c r="AU282" s="148" t="s">
        <v>82</v>
      </c>
      <c r="AY282" s="18" t="s">
        <v>137</v>
      </c>
      <c r="BE282" s="149">
        <f>IF(N282="základní",J282,0)</f>
        <v>0</v>
      </c>
      <c r="BF282" s="149">
        <f>IF(N282="snížená",J282,0)</f>
        <v>0</v>
      </c>
      <c r="BG282" s="149">
        <f>IF(N282="zákl. přenesená",J282,0)</f>
        <v>0</v>
      </c>
      <c r="BH282" s="149">
        <f>IF(N282="sníž. přenesená",J282,0)</f>
        <v>0</v>
      </c>
      <c r="BI282" s="149">
        <f>IF(N282="nulová",J282,0)</f>
        <v>0</v>
      </c>
      <c r="BJ282" s="18" t="s">
        <v>80</v>
      </c>
      <c r="BK282" s="149">
        <f>ROUND(I282*H282,2)</f>
        <v>0</v>
      </c>
      <c r="BL282" s="18" t="s">
        <v>144</v>
      </c>
      <c r="BM282" s="148" t="s">
        <v>286</v>
      </c>
    </row>
    <row r="283" spans="1:65" s="13" customFormat="1">
      <c r="B283" s="154"/>
      <c r="D283" s="150" t="s">
        <v>152</v>
      </c>
      <c r="E283" s="155" t="s">
        <v>1</v>
      </c>
      <c r="F283" s="156" t="s">
        <v>287</v>
      </c>
      <c r="H283" s="155" t="s">
        <v>1</v>
      </c>
      <c r="L283" s="154"/>
      <c r="M283" s="157"/>
      <c r="N283" s="158"/>
      <c r="O283" s="158"/>
      <c r="P283" s="158"/>
      <c r="Q283" s="158"/>
      <c r="R283" s="158"/>
      <c r="S283" s="158"/>
      <c r="T283" s="159"/>
      <c r="AT283" s="155" t="s">
        <v>152</v>
      </c>
      <c r="AU283" s="155" t="s">
        <v>82</v>
      </c>
      <c r="AV283" s="13" t="s">
        <v>80</v>
      </c>
      <c r="AW283" s="13" t="s">
        <v>28</v>
      </c>
      <c r="AX283" s="13" t="s">
        <v>72</v>
      </c>
      <c r="AY283" s="155" t="s">
        <v>137</v>
      </c>
    </row>
    <row r="284" spans="1:65" s="14" customFormat="1">
      <c r="B284" s="160"/>
      <c r="D284" s="150" t="s">
        <v>152</v>
      </c>
      <c r="E284" s="161" t="s">
        <v>1</v>
      </c>
      <c r="F284" s="162" t="s">
        <v>288</v>
      </c>
      <c r="H284" s="163">
        <v>27.9</v>
      </c>
      <c r="L284" s="160"/>
      <c r="M284" s="164"/>
      <c r="N284" s="165"/>
      <c r="O284" s="165"/>
      <c r="P284" s="165"/>
      <c r="Q284" s="165"/>
      <c r="R284" s="165"/>
      <c r="S284" s="165"/>
      <c r="T284" s="166"/>
      <c r="AT284" s="161" t="s">
        <v>152</v>
      </c>
      <c r="AU284" s="161" t="s">
        <v>82</v>
      </c>
      <c r="AV284" s="14" t="s">
        <v>82</v>
      </c>
      <c r="AW284" s="14" t="s">
        <v>28</v>
      </c>
      <c r="AX284" s="14" t="s">
        <v>72</v>
      </c>
      <c r="AY284" s="161" t="s">
        <v>137</v>
      </c>
    </row>
    <row r="285" spans="1:65" s="14" customFormat="1">
      <c r="B285" s="160"/>
      <c r="D285" s="150" t="s">
        <v>152</v>
      </c>
      <c r="E285" s="161" t="s">
        <v>1</v>
      </c>
      <c r="F285" s="162" t="s">
        <v>289</v>
      </c>
      <c r="H285" s="163">
        <v>43.2</v>
      </c>
      <c r="L285" s="160"/>
      <c r="M285" s="164"/>
      <c r="N285" s="165"/>
      <c r="O285" s="165"/>
      <c r="P285" s="165"/>
      <c r="Q285" s="165"/>
      <c r="R285" s="165"/>
      <c r="S285" s="165"/>
      <c r="T285" s="166"/>
      <c r="AT285" s="161" t="s">
        <v>152</v>
      </c>
      <c r="AU285" s="161" t="s">
        <v>82</v>
      </c>
      <c r="AV285" s="14" t="s">
        <v>82</v>
      </c>
      <c r="AW285" s="14" t="s">
        <v>28</v>
      </c>
      <c r="AX285" s="14" t="s">
        <v>72</v>
      </c>
      <c r="AY285" s="161" t="s">
        <v>137</v>
      </c>
    </row>
    <row r="286" spans="1:65" s="15" customFormat="1">
      <c r="B286" s="167"/>
      <c r="D286" s="150" t="s">
        <v>152</v>
      </c>
      <c r="E286" s="168" t="s">
        <v>1</v>
      </c>
      <c r="F286" s="169" t="s">
        <v>157</v>
      </c>
      <c r="H286" s="170">
        <v>71.099999999999994</v>
      </c>
      <c r="L286" s="167"/>
      <c r="M286" s="171"/>
      <c r="N286" s="172"/>
      <c r="O286" s="172"/>
      <c r="P286" s="172"/>
      <c r="Q286" s="172"/>
      <c r="R286" s="172"/>
      <c r="S286" s="172"/>
      <c r="T286" s="173"/>
      <c r="AT286" s="168" t="s">
        <v>152</v>
      </c>
      <c r="AU286" s="168" t="s">
        <v>82</v>
      </c>
      <c r="AV286" s="15" t="s">
        <v>144</v>
      </c>
      <c r="AW286" s="15" t="s">
        <v>28</v>
      </c>
      <c r="AX286" s="15" t="s">
        <v>80</v>
      </c>
      <c r="AY286" s="168" t="s">
        <v>137</v>
      </c>
    </row>
    <row r="287" spans="1:65" s="2" customFormat="1" ht="16.5" customHeight="1">
      <c r="A287" s="30"/>
      <c r="B287" s="137"/>
      <c r="C287" s="138">
        <v>41</v>
      </c>
      <c r="D287" s="138" t="s">
        <v>139</v>
      </c>
      <c r="E287" s="139" t="s">
        <v>290</v>
      </c>
      <c r="F287" s="140" t="s">
        <v>291</v>
      </c>
      <c r="G287" s="141" t="s">
        <v>142</v>
      </c>
      <c r="H287" s="142">
        <v>323.88499999999999</v>
      </c>
      <c r="I287" s="318">
        <v>0</v>
      </c>
      <c r="J287" s="143">
        <f>ROUND(I287*H287,2)</f>
        <v>0</v>
      </c>
      <c r="K287" s="140" t="s">
        <v>143</v>
      </c>
      <c r="L287" s="195"/>
      <c r="M287" s="144" t="s">
        <v>1</v>
      </c>
      <c r="N287" s="145" t="s">
        <v>37</v>
      </c>
      <c r="O287" s="146">
        <v>7.4999999999999997E-2</v>
      </c>
      <c r="P287" s="146">
        <f>O287*H287</f>
        <v>24.291374999999999</v>
      </c>
      <c r="Q287" s="146">
        <v>1.3999999999999999E-4</v>
      </c>
      <c r="R287" s="146">
        <f>Q287*H287</f>
        <v>4.5343899999999993E-2</v>
      </c>
      <c r="S287" s="146">
        <v>0</v>
      </c>
      <c r="T287" s="147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48" t="s">
        <v>144</v>
      </c>
      <c r="AT287" s="148" t="s">
        <v>139</v>
      </c>
      <c r="AU287" s="148" t="s">
        <v>82</v>
      </c>
      <c r="AY287" s="18" t="s">
        <v>137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8" t="s">
        <v>80</v>
      </c>
      <c r="BK287" s="149">
        <f>ROUND(I287*H287,2)</f>
        <v>0</v>
      </c>
      <c r="BL287" s="18" t="s">
        <v>144</v>
      </c>
      <c r="BM287" s="148" t="s">
        <v>292</v>
      </c>
    </row>
    <row r="288" spans="1:65" s="2" customFormat="1" ht="24.15" customHeight="1">
      <c r="A288" s="30"/>
      <c r="B288" s="137"/>
      <c r="C288" s="138">
        <v>42</v>
      </c>
      <c r="D288" s="138" t="s">
        <v>139</v>
      </c>
      <c r="E288" s="139" t="s">
        <v>293</v>
      </c>
      <c r="F288" s="140" t="s">
        <v>294</v>
      </c>
      <c r="G288" s="141" t="s">
        <v>142</v>
      </c>
      <c r="H288" s="142">
        <v>231.75</v>
      </c>
      <c r="I288" s="318">
        <v>0</v>
      </c>
      <c r="J288" s="143">
        <f>ROUND(I288*H288,2)</f>
        <v>0</v>
      </c>
      <c r="K288" s="140" t="s">
        <v>143</v>
      </c>
      <c r="L288" s="195"/>
      <c r="M288" s="144" t="s">
        <v>1</v>
      </c>
      <c r="N288" s="145" t="s">
        <v>37</v>
      </c>
      <c r="O288" s="146">
        <v>1.02</v>
      </c>
      <c r="P288" s="146">
        <f>O288*H288</f>
        <v>236.38499999999999</v>
      </c>
      <c r="Q288" s="146">
        <v>8.3499999999999998E-3</v>
      </c>
      <c r="R288" s="146">
        <f>Q288*H288</f>
        <v>1.9351125</v>
      </c>
      <c r="S288" s="146">
        <v>0</v>
      </c>
      <c r="T288" s="147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48" t="s">
        <v>144</v>
      </c>
      <c r="AT288" s="148" t="s">
        <v>139</v>
      </c>
      <c r="AU288" s="148" t="s">
        <v>82</v>
      </c>
      <c r="AY288" s="18" t="s">
        <v>137</v>
      </c>
      <c r="BE288" s="149">
        <f>IF(N288="základní",J288,0)</f>
        <v>0</v>
      </c>
      <c r="BF288" s="149">
        <f>IF(N288="snížená",J288,0)</f>
        <v>0</v>
      </c>
      <c r="BG288" s="149">
        <f>IF(N288="zákl. přenesená",J288,0)</f>
        <v>0</v>
      </c>
      <c r="BH288" s="149">
        <f>IF(N288="sníž. přenesená",J288,0)</f>
        <v>0</v>
      </c>
      <c r="BI288" s="149">
        <f>IF(N288="nulová",J288,0)</f>
        <v>0</v>
      </c>
      <c r="BJ288" s="18" t="s">
        <v>80</v>
      </c>
      <c r="BK288" s="149">
        <f>ROUND(I288*H288,2)</f>
        <v>0</v>
      </c>
      <c r="BL288" s="18" t="s">
        <v>144</v>
      </c>
      <c r="BM288" s="148" t="s">
        <v>295</v>
      </c>
    </row>
    <row r="289" spans="1:65" s="14" customFormat="1">
      <c r="B289" s="160"/>
      <c r="D289" s="150" t="s">
        <v>152</v>
      </c>
      <c r="E289" s="161" t="s">
        <v>1</v>
      </c>
      <c r="F289" s="162" t="s">
        <v>296</v>
      </c>
      <c r="H289" s="163">
        <v>231.75</v>
      </c>
      <c r="L289" s="195"/>
      <c r="M289" s="164"/>
      <c r="N289" s="165"/>
      <c r="O289" s="165"/>
      <c r="P289" s="165"/>
      <c r="Q289" s="165"/>
      <c r="R289" s="165"/>
      <c r="S289" s="165"/>
      <c r="T289" s="166"/>
      <c r="AT289" s="161" t="s">
        <v>152</v>
      </c>
      <c r="AU289" s="161" t="s">
        <v>82</v>
      </c>
      <c r="AV289" s="14" t="s">
        <v>82</v>
      </c>
      <c r="AW289" s="14" t="s">
        <v>28</v>
      </c>
      <c r="AX289" s="14" t="s">
        <v>72</v>
      </c>
      <c r="AY289" s="161" t="s">
        <v>137</v>
      </c>
    </row>
    <row r="290" spans="1:65" s="15" customFormat="1">
      <c r="B290" s="167"/>
      <c r="D290" s="150" t="s">
        <v>152</v>
      </c>
      <c r="E290" s="168" t="s">
        <v>1</v>
      </c>
      <c r="F290" s="169" t="s">
        <v>157</v>
      </c>
      <c r="H290" s="170">
        <v>231.75</v>
      </c>
      <c r="L290" s="195"/>
      <c r="M290" s="171"/>
      <c r="N290" s="172"/>
      <c r="O290" s="172"/>
      <c r="P290" s="172"/>
      <c r="Q290" s="172"/>
      <c r="R290" s="172"/>
      <c r="S290" s="172"/>
      <c r="T290" s="173"/>
      <c r="AT290" s="168" t="s">
        <v>152</v>
      </c>
      <c r="AU290" s="168" t="s">
        <v>82</v>
      </c>
      <c r="AV290" s="15" t="s">
        <v>144</v>
      </c>
      <c r="AW290" s="15" t="s">
        <v>28</v>
      </c>
      <c r="AX290" s="15" t="s">
        <v>80</v>
      </c>
      <c r="AY290" s="168" t="s">
        <v>137</v>
      </c>
    </row>
    <row r="291" spans="1:65" s="2" customFormat="1" ht="16.5" customHeight="1">
      <c r="A291" s="30"/>
      <c r="B291" s="137"/>
      <c r="C291" s="174">
        <v>43</v>
      </c>
      <c r="D291" s="174" t="s">
        <v>184</v>
      </c>
      <c r="E291" s="175" t="s">
        <v>297</v>
      </c>
      <c r="F291" s="176" t="s">
        <v>298</v>
      </c>
      <c r="G291" s="177" t="s">
        <v>142</v>
      </c>
      <c r="H291" s="178">
        <v>254.92500000000001</v>
      </c>
      <c r="I291" s="320">
        <v>0</v>
      </c>
      <c r="J291" s="179">
        <f>ROUND(I291*H291,2)</f>
        <v>0</v>
      </c>
      <c r="K291" s="176" t="s">
        <v>148</v>
      </c>
      <c r="L291" s="209"/>
      <c r="M291" s="180" t="s">
        <v>1</v>
      </c>
      <c r="N291" s="181" t="s">
        <v>37</v>
      </c>
      <c r="O291" s="146">
        <v>0</v>
      </c>
      <c r="P291" s="146">
        <f>O291*H291</f>
        <v>0</v>
      </c>
      <c r="Q291" s="146">
        <v>6.9999999999999999E-4</v>
      </c>
      <c r="R291" s="146">
        <f>Q291*H291</f>
        <v>0.17844750000000001</v>
      </c>
      <c r="S291" s="146">
        <v>0</v>
      </c>
      <c r="T291" s="147">
        <f>S291*H291</f>
        <v>0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148" t="s">
        <v>176</v>
      </c>
      <c r="AT291" s="148" t="s">
        <v>184</v>
      </c>
      <c r="AU291" s="148" t="s">
        <v>82</v>
      </c>
      <c r="AY291" s="18" t="s">
        <v>137</v>
      </c>
      <c r="BE291" s="149">
        <f>IF(N291="základní",J291,0)</f>
        <v>0</v>
      </c>
      <c r="BF291" s="149">
        <f>IF(N291="snížená",J291,0)</f>
        <v>0</v>
      </c>
      <c r="BG291" s="149">
        <f>IF(N291="zákl. přenesená",J291,0)</f>
        <v>0</v>
      </c>
      <c r="BH291" s="149">
        <f>IF(N291="sníž. přenesená",J291,0)</f>
        <v>0</v>
      </c>
      <c r="BI291" s="149">
        <f>IF(N291="nulová",J291,0)</f>
        <v>0</v>
      </c>
      <c r="BJ291" s="18" t="s">
        <v>80</v>
      </c>
      <c r="BK291" s="149">
        <f>ROUND(I291*H291,2)</f>
        <v>0</v>
      </c>
      <c r="BL291" s="18" t="s">
        <v>144</v>
      </c>
      <c r="BM291" s="148" t="s">
        <v>299</v>
      </c>
    </row>
    <row r="292" spans="1:65" s="14" customFormat="1">
      <c r="B292" s="160"/>
      <c r="D292" s="150" t="s">
        <v>152</v>
      </c>
      <c r="F292" s="162" t="s">
        <v>300</v>
      </c>
      <c r="H292" s="163">
        <v>254.92500000000001</v>
      </c>
      <c r="L292" s="195"/>
      <c r="M292" s="164"/>
      <c r="N292" s="165"/>
      <c r="O292" s="165"/>
      <c r="P292" s="165"/>
      <c r="Q292" s="165"/>
      <c r="R292" s="165"/>
      <c r="S292" s="165"/>
      <c r="T292" s="166"/>
      <c r="AT292" s="161" t="s">
        <v>152</v>
      </c>
      <c r="AU292" s="161" t="s">
        <v>82</v>
      </c>
      <c r="AV292" s="14" t="s">
        <v>82</v>
      </c>
      <c r="AW292" s="14" t="s">
        <v>3</v>
      </c>
      <c r="AX292" s="14" t="s">
        <v>80</v>
      </c>
      <c r="AY292" s="161" t="s">
        <v>137</v>
      </c>
    </row>
    <row r="293" spans="1:65" s="2" customFormat="1" ht="24.15" customHeight="1">
      <c r="A293" s="30"/>
      <c r="B293" s="137"/>
      <c r="C293" s="138">
        <v>44</v>
      </c>
      <c r="D293" s="138" t="s">
        <v>139</v>
      </c>
      <c r="E293" s="139" t="s">
        <v>301</v>
      </c>
      <c r="F293" s="140" t="s">
        <v>302</v>
      </c>
      <c r="G293" s="141" t="s">
        <v>142</v>
      </c>
      <c r="H293" s="142">
        <v>84.65</v>
      </c>
      <c r="I293" s="318">
        <v>0</v>
      </c>
      <c r="J293" s="143">
        <f>ROUND(I293*H293,2)</f>
        <v>0</v>
      </c>
      <c r="K293" s="140" t="s">
        <v>143</v>
      </c>
      <c r="L293" s="195"/>
      <c r="M293" s="144" t="s">
        <v>1</v>
      </c>
      <c r="N293" s="145" t="s">
        <v>37</v>
      </c>
      <c r="O293" s="146">
        <v>1.04</v>
      </c>
      <c r="P293" s="146">
        <f>O293*H293</f>
        <v>88.036000000000016</v>
      </c>
      <c r="Q293" s="146">
        <v>8.5199999999999998E-3</v>
      </c>
      <c r="R293" s="146">
        <f>Q293*H293</f>
        <v>0.72121800000000003</v>
      </c>
      <c r="S293" s="146">
        <v>0</v>
      </c>
      <c r="T293" s="147">
        <f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48" t="s">
        <v>144</v>
      </c>
      <c r="AT293" s="148" t="s">
        <v>139</v>
      </c>
      <c r="AU293" s="148" t="s">
        <v>82</v>
      </c>
      <c r="AY293" s="18" t="s">
        <v>137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8" t="s">
        <v>80</v>
      </c>
      <c r="BK293" s="149">
        <f>ROUND(I293*H293,2)</f>
        <v>0</v>
      </c>
      <c r="BL293" s="18" t="s">
        <v>144</v>
      </c>
      <c r="BM293" s="148" t="s">
        <v>303</v>
      </c>
    </row>
    <row r="294" spans="1:65" s="14" customFormat="1">
      <c r="B294" s="160"/>
      <c r="D294" s="150" t="s">
        <v>152</v>
      </c>
      <c r="E294" s="161" t="s">
        <v>1</v>
      </c>
      <c r="F294" s="162" t="s">
        <v>304</v>
      </c>
      <c r="H294" s="163">
        <v>84.65</v>
      </c>
      <c r="L294" s="195"/>
      <c r="M294" s="164"/>
      <c r="N294" s="165"/>
      <c r="O294" s="165"/>
      <c r="P294" s="165"/>
      <c r="Q294" s="165"/>
      <c r="R294" s="165"/>
      <c r="S294" s="165"/>
      <c r="T294" s="166"/>
      <c r="AT294" s="161" t="s">
        <v>152</v>
      </c>
      <c r="AU294" s="161" t="s">
        <v>82</v>
      </c>
      <c r="AV294" s="14" t="s">
        <v>82</v>
      </c>
      <c r="AW294" s="14" t="s">
        <v>28</v>
      </c>
      <c r="AX294" s="14" t="s">
        <v>72</v>
      </c>
      <c r="AY294" s="161" t="s">
        <v>137</v>
      </c>
    </row>
    <row r="295" spans="1:65" s="15" customFormat="1">
      <c r="B295" s="167"/>
      <c r="D295" s="150" t="s">
        <v>152</v>
      </c>
      <c r="E295" s="168" t="s">
        <v>1</v>
      </c>
      <c r="F295" s="169" t="s">
        <v>157</v>
      </c>
      <c r="H295" s="170">
        <v>84.65</v>
      </c>
      <c r="L295" s="195"/>
      <c r="M295" s="171"/>
      <c r="N295" s="172"/>
      <c r="O295" s="172"/>
      <c r="P295" s="172"/>
      <c r="Q295" s="172"/>
      <c r="R295" s="172"/>
      <c r="S295" s="172"/>
      <c r="T295" s="173"/>
      <c r="AT295" s="168" t="s">
        <v>152</v>
      </c>
      <c r="AU295" s="168" t="s">
        <v>82</v>
      </c>
      <c r="AV295" s="15" t="s">
        <v>144</v>
      </c>
      <c r="AW295" s="15" t="s">
        <v>28</v>
      </c>
      <c r="AX295" s="15" t="s">
        <v>80</v>
      </c>
      <c r="AY295" s="168" t="s">
        <v>137</v>
      </c>
    </row>
    <row r="296" spans="1:65" s="2" customFormat="1" ht="16.5" customHeight="1">
      <c r="A296" s="30"/>
      <c r="B296" s="137"/>
      <c r="C296" s="174">
        <v>45</v>
      </c>
      <c r="D296" s="174" t="s">
        <v>184</v>
      </c>
      <c r="E296" s="175" t="s">
        <v>275</v>
      </c>
      <c r="F296" s="176" t="s">
        <v>276</v>
      </c>
      <c r="G296" s="177" t="s">
        <v>142</v>
      </c>
      <c r="H296" s="178">
        <v>93.114999999999995</v>
      </c>
      <c r="I296" s="320">
        <v>0</v>
      </c>
      <c r="J296" s="179">
        <f>ROUND(I296*H296,2)</f>
        <v>0</v>
      </c>
      <c r="K296" s="176" t="s">
        <v>148</v>
      </c>
      <c r="L296" s="209"/>
      <c r="M296" s="180" t="s">
        <v>1</v>
      </c>
      <c r="N296" s="181" t="s">
        <v>37</v>
      </c>
      <c r="O296" s="146">
        <v>0</v>
      </c>
      <c r="P296" s="146">
        <f>O296*H296</f>
        <v>0</v>
      </c>
      <c r="Q296" s="146">
        <v>1.4E-3</v>
      </c>
      <c r="R296" s="146">
        <f>Q296*H296</f>
        <v>0.130361</v>
      </c>
      <c r="S296" s="146">
        <v>0</v>
      </c>
      <c r="T296" s="147">
        <f>S296*H296</f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48" t="s">
        <v>176</v>
      </c>
      <c r="AT296" s="148" t="s">
        <v>184</v>
      </c>
      <c r="AU296" s="148" t="s">
        <v>82</v>
      </c>
      <c r="AY296" s="18" t="s">
        <v>137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8" t="s">
        <v>80</v>
      </c>
      <c r="BK296" s="149">
        <f>ROUND(I296*H296,2)</f>
        <v>0</v>
      </c>
      <c r="BL296" s="18" t="s">
        <v>144</v>
      </c>
      <c r="BM296" s="148" t="s">
        <v>305</v>
      </c>
    </row>
    <row r="297" spans="1:65" s="14" customFormat="1">
      <c r="B297" s="160"/>
      <c r="D297" s="150" t="s">
        <v>152</v>
      </c>
      <c r="F297" s="162" t="s">
        <v>306</v>
      </c>
      <c r="H297" s="163">
        <v>93.114999999999995</v>
      </c>
      <c r="L297" s="160"/>
      <c r="M297" s="164"/>
      <c r="N297" s="165"/>
      <c r="O297" s="165"/>
      <c r="P297" s="165"/>
      <c r="Q297" s="165"/>
      <c r="R297" s="165"/>
      <c r="S297" s="165"/>
      <c r="T297" s="166"/>
      <c r="AT297" s="161" t="s">
        <v>152</v>
      </c>
      <c r="AU297" s="161" t="s">
        <v>82</v>
      </c>
      <c r="AV297" s="14" t="s">
        <v>82</v>
      </c>
      <c r="AW297" s="14" t="s">
        <v>3</v>
      </c>
      <c r="AX297" s="14" t="s">
        <v>80</v>
      </c>
      <c r="AY297" s="161" t="s">
        <v>137</v>
      </c>
    </row>
    <row r="298" spans="1:65" s="2" customFormat="1" ht="24.15" customHeight="1">
      <c r="A298" s="30"/>
      <c r="B298" s="137"/>
      <c r="C298" s="138">
        <v>46</v>
      </c>
      <c r="D298" s="138" t="s">
        <v>139</v>
      </c>
      <c r="E298" s="139" t="s">
        <v>307</v>
      </c>
      <c r="F298" s="140" t="s">
        <v>308</v>
      </c>
      <c r="G298" s="141" t="s">
        <v>242</v>
      </c>
      <c r="H298" s="142">
        <v>49.9</v>
      </c>
      <c r="I298" s="318">
        <v>0</v>
      </c>
      <c r="J298" s="143">
        <f>ROUND(I298*H298,2)</f>
        <v>0</v>
      </c>
      <c r="K298" s="140" t="s">
        <v>143</v>
      </c>
      <c r="L298" s="195"/>
      <c r="M298" s="144" t="s">
        <v>1</v>
      </c>
      <c r="N298" s="145" t="s">
        <v>37</v>
      </c>
      <c r="O298" s="146">
        <v>0.3</v>
      </c>
      <c r="P298" s="146">
        <f>O298*H298</f>
        <v>14.969999999999999</v>
      </c>
      <c r="Q298" s="146">
        <v>1.7600000000000001E-3</v>
      </c>
      <c r="R298" s="146">
        <f>Q298*H298</f>
        <v>8.7823999999999999E-2</v>
      </c>
      <c r="S298" s="146">
        <v>0</v>
      </c>
      <c r="T298" s="147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48" t="s">
        <v>144</v>
      </c>
      <c r="AT298" s="148" t="s">
        <v>139</v>
      </c>
      <c r="AU298" s="148" t="s">
        <v>82</v>
      </c>
      <c r="AY298" s="18" t="s">
        <v>137</v>
      </c>
      <c r="BE298" s="149">
        <f>IF(N298="základní",J298,0)</f>
        <v>0</v>
      </c>
      <c r="BF298" s="149">
        <f>IF(N298="snížená",J298,0)</f>
        <v>0</v>
      </c>
      <c r="BG298" s="149">
        <f>IF(N298="zákl. přenesená",J298,0)</f>
        <v>0</v>
      </c>
      <c r="BH298" s="149">
        <f>IF(N298="sníž. přenesená",J298,0)</f>
        <v>0</v>
      </c>
      <c r="BI298" s="149">
        <f>IF(N298="nulová",J298,0)</f>
        <v>0</v>
      </c>
      <c r="BJ298" s="18" t="s">
        <v>80</v>
      </c>
      <c r="BK298" s="149">
        <f>ROUND(I298*H298,2)</f>
        <v>0</v>
      </c>
      <c r="BL298" s="18" t="s">
        <v>144</v>
      </c>
      <c r="BM298" s="148" t="s">
        <v>309</v>
      </c>
    </row>
    <row r="299" spans="1:65" s="14" customFormat="1">
      <c r="B299" s="160"/>
      <c r="D299" s="150" t="s">
        <v>152</v>
      </c>
      <c r="E299" s="161" t="s">
        <v>1</v>
      </c>
      <c r="F299" s="162" t="s">
        <v>310</v>
      </c>
      <c r="H299" s="163">
        <v>49.9</v>
      </c>
      <c r="L299" s="195"/>
      <c r="M299" s="164"/>
      <c r="N299" s="165"/>
      <c r="O299" s="165"/>
      <c r="P299" s="165"/>
      <c r="Q299" s="165"/>
      <c r="R299" s="165"/>
      <c r="S299" s="165"/>
      <c r="T299" s="166"/>
      <c r="AT299" s="161" t="s">
        <v>152</v>
      </c>
      <c r="AU299" s="161" t="s">
        <v>82</v>
      </c>
      <c r="AV299" s="14" t="s">
        <v>82</v>
      </c>
      <c r="AW299" s="14" t="s">
        <v>28</v>
      </c>
      <c r="AX299" s="14" t="s">
        <v>72</v>
      </c>
      <c r="AY299" s="161" t="s">
        <v>137</v>
      </c>
    </row>
    <row r="300" spans="1:65" s="15" customFormat="1">
      <c r="B300" s="167"/>
      <c r="D300" s="150" t="s">
        <v>152</v>
      </c>
      <c r="E300" s="168" t="s">
        <v>1</v>
      </c>
      <c r="F300" s="169" t="s">
        <v>157</v>
      </c>
      <c r="H300" s="170">
        <v>49.9</v>
      </c>
      <c r="L300" s="195"/>
      <c r="M300" s="171"/>
      <c r="N300" s="172"/>
      <c r="O300" s="172"/>
      <c r="P300" s="172"/>
      <c r="Q300" s="172"/>
      <c r="R300" s="172"/>
      <c r="S300" s="172"/>
      <c r="T300" s="173"/>
      <c r="AT300" s="168" t="s">
        <v>152</v>
      </c>
      <c r="AU300" s="168" t="s">
        <v>82</v>
      </c>
      <c r="AV300" s="15" t="s">
        <v>144</v>
      </c>
      <c r="AW300" s="15" t="s">
        <v>28</v>
      </c>
      <c r="AX300" s="15" t="s">
        <v>80</v>
      </c>
      <c r="AY300" s="168" t="s">
        <v>137</v>
      </c>
    </row>
    <row r="301" spans="1:65" s="2" customFormat="1" ht="16.5" customHeight="1">
      <c r="A301" s="30"/>
      <c r="B301" s="137"/>
      <c r="C301" s="174">
        <v>47</v>
      </c>
      <c r="D301" s="174" t="s">
        <v>184</v>
      </c>
      <c r="E301" s="175" t="s">
        <v>311</v>
      </c>
      <c r="F301" s="176" t="s">
        <v>312</v>
      </c>
      <c r="G301" s="177" t="s">
        <v>142</v>
      </c>
      <c r="H301" s="178">
        <v>9.98</v>
      </c>
      <c r="I301" s="320">
        <v>0</v>
      </c>
      <c r="J301" s="179">
        <f>ROUND(I301*H301,2)</f>
        <v>0</v>
      </c>
      <c r="K301" s="176" t="s">
        <v>148</v>
      </c>
      <c r="L301" s="209"/>
      <c r="M301" s="180" t="s">
        <v>1</v>
      </c>
      <c r="N301" s="181" t="s">
        <v>37</v>
      </c>
      <c r="O301" s="146">
        <v>0</v>
      </c>
      <c r="P301" s="146">
        <f>O301*H301</f>
        <v>0</v>
      </c>
      <c r="Q301" s="146">
        <v>5.5999999999999995E-4</v>
      </c>
      <c r="R301" s="146">
        <f>Q301*H301</f>
        <v>5.5887999999999997E-3</v>
      </c>
      <c r="S301" s="146">
        <v>0</v>
      </c>
      <c r="T301" s="147">
        <f>S301*H301</f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148" t="s">
        <v>176</v>
      </c>
      <c r="AT301" s="148" t="s">
        <v>184</v>
      </c>
      <c r="AU301" s="148" t="s">
        <v>82</v>
      </c>
      <c r="AY301" s="18" t="s">
        <v>137</v>
      </c>
      <c r="BE301" s="149">
        <f>IF(N301="základní",J301,0)</f>
        <v>0</v>
      </c>
      <c r="BF301" s="149">
        <f>IF(N301="snížená",J301,0)</f>
        <v>0</v>
      </c>
      <c r="BG301" s="149">
        <f>IF(N301="zákl. přenesená",J301,0)</f>
        <v>0</v>
      </c>
      <c r="BH301" s="149">
        <f>IF(N301="sníž. přenesená",J301,0)</f>
        <v>0</v>
      </c>
      <c r="BI301" s="149">
        <f>IF(N301="nulová",J301,0)</f>
        <v>0</v>
      </c>
      <c r="BJ301" s="18" t="s">
        <v>80</v>
      </c>
      <c r="BK301" s="149">
        <f>ROUND(I301*H301,2)</f>
        <v>0</v>
      </c>
      <c r="BL301" s="18" t="s">
        <v>144</v>
      </c>
      <c r="BM301" s="148" t="s">
        <v>313</v>
      </c>
    </row>
    <row r="302" spans="1:65" s="14" customFormat="1">
      <c r="B302" s="160"/>
      <c r="D302" s="150" t="s">
        <v>152</v>
      </c>
      <c r="F302" s="162" t="s">
        <v>314</v>
      </c>
      <c r="H302" s="163">
        <v>9.98</v>
      </c>
      <c r="L302" s="195"/>
      <c r="M302" s="164"/>
      <c r="N302" s="165"/>
      <c r="O302" s="165"/>
      <c r="P302" s="165"/>
      <c r="Q302" s="165"/>
      <c r="R302" s="165"/>
      <c r="S302" s="165"/>
      <c r="T302" s="166"/>
      <c r="AT302" s="161" t="s">
        <v>152</v>
      </c>
      <c r="AU302" s="161" t="s">
        <v>82</v>
      </c>
      <c r="AV302" s="14" t="s">
        <v>82</v>
      </c>
      <c r="AW302" s="14" t="s">
        <v>3</v>
      </c>
      <c r="AX302" s="14" t="s">
        <v>80</v>
      </c>
      <c r="AY302" s="161" t="s">
        <v>137</v>
      </c>
    </row>
    <row r="303" spans="1:65" s="2" customFormat="1" ht="24.15" customHeight="1">
      <c r="A303" s="30"/>
      <c r="B303" s="137"/>
      <c r="C303" s="138">
        <v>48</v>
      </c>
      <c r="D303" s="138" t="s">
        <v>139</v>
      </c>
      <c r="E303" s="139" t="s">
        <v>307</v>
      </c>
      <c r="F303" s="140" t="s">
        <v>308</v>
      </c>
      <c r="G303" s="141" t="s">
        <v>242</v>
      </c>
      <c r="H303" s="142">
        <v>18.5</v>
      </c>
      <c r="I303" s="318">
        <v>0</v>
      </c>
      <c r="J303" s="143">
        <f>ROUND(I303*H303,2)</f>
        <v>0</v>
      </c>
      <c r="K303" s="140" t="s">
        <v>143</v>
      </c>
      <c r="L303" s="195"/>
      <c r="M303" s="144" t="s">
        <v>1</v>
      </c>
      <c r="N303" s="145" t="s">
        <v>37</v>
      </c>
      <c r="O303" s="146">
        <v>0.3</v>
      </c>
      <c r="P303" s="146">
        <f>O303*H303</f>
        <v>5.55</v>
      </c>
      <c r="Q303" s="146">
        <v>1.7600000000000001E-3</v>
      </c>
      <c r="R303" s="146">
        <f>Q303*H303</f>
        <v>3.2559999999999999E-2</v>
      </c>
      <c r="S303" s="146">
        <v>0</v>
      </c>
      <c r="T303" s="147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48" t="s">
        <v>144</v>
      </c>
      <c r="AT303" s="148" t="s">
        <v>139</v>
      </c>
      <c r="AU303" s="148" t="s">
        <v>82</v>
      </c>
      <c r="AY303" s="18" t="s">
        <v>137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8" t="s">
        <v>80</v>
      </c>
      <c r="BK303" s="149">
        <f>ROUND(I303*H303,2)</f>
        <v>0</v>
      </c>
      <c r="BL303" s="18" t="s">
        <v>144</v>
      </c>
      <c r="BM303" s="148" t="s">
        <v>315</v>
      </c>
    </row>
    <row r="304" spans="1:65" s="14" customFormat="1">
      <c r="B304" s="160"/>
      <c r="D304" s="150" t="s">
        <v>152</v>
      </c>
      <c r="E304" s="161" t="s">
        <v>1</v>
      </c>
      <c r="F304" s="162" t="s">
        <v>316</v>
      </c>
      <c r="H304" s="163">
        <v>18.5</v>
      </c>
      <c r="L304" s="195"/>
      <c r="M304" s="164"/>
      <c r="N304" s="165"/>
      <c r="O304" s="165"/>
      <c r="P304" s="165"/>
      <c r="Q304" s="165"/>
      <c r="R304" s="165"/>
      <c r="S304" s="165"/>
      <c r="T304" s="166"/>
      <c r="AT304" s="161" t="s">
        <v>152</v>
      </c>
      <c r="AU304" s="161" t="s">
        <v>82</v>
      </c>
      <c r="AV304" s="14" t="s">
        <v>82</v>
      </c>
      <c r="AW304" s="14" t="s">
        <v>28</v>
      </c>
      <c r="AX304" s="14" t="s">
        <v>72</v>
      </c>
      <c r="AY304" s="161" t="s">
        <v>137</v>
      </c>
    </row>
    <row r="305" spans="1:65" s="15" customFormat="1">
      <c r="B305" s="167"/>
      <c r="D305" s="150" t="s">
        <v>152</v>
      </c>
      <c r="E305" s="168" t="s">
        <v>1</v>
      </c>
      <c r="F305" s="169" t="s">
        <v>157</v>
      </c>
      <c r="H305" s="170">
        <v>18.5</v>
      </c>
      <c r="L305" s="195"/>
      <c r="M305" s="171"/>
      <c r="N305" s="172"/>
      <c r="O305" s="172"/>
      <c r="P305" s="172"/>
      <c r="Q305" s="172"/>
      <c r="R305" s="172"/>
      <c r="S305" s="172"/>
      <c r="T305" s="173"/>
      <c r="AT305" s="168" t="s">
        <v>152</v>
      </c>
      <c r="AU305" s="168" t="s">
        <v>82</v>
      </c>
      <c r="AV305" s="15" t="s">
        <v>144</v>
      </c>
      <c r="AW305" s="15" t="s">
        <v>28</v>
      </c>
      <c r="AX305" s="15" t="s">
        <v>80</v>
      </c>
      <c r="AY305" s="168" t="s">
        <v>137</v>
      </c>
    </row>
    <row r="306" spans="1:65" s="2" customFormat="1" ht="16.5" customHeight="1">
      <c r="A306" s="30"/>
      <c r="B306" s="137"/>
      <c r="C306" s="174">
        <v>49</v>
      </c>
      <c r="D306" s="174" t="s">
        <v>184</v>
      </c>
      <c r="E306" s="175" t="s">
        <v>317</v>
      </c>
      <c r="F306" s="176" t="s">
        <v>318</v>
      </c>
      <c r="G306" s="177" t="s">
        <v>142</v>
      </c>
      <c r="H306" s="178">
        <v>3.7</v>
      </c>
      <c r="I306" s="320">
        <v>0</v>
      </c>
      <c r="J306" s="179">
        <f>ROUND(I306*H306,2)</f>
        <v>0</v>
      </c>
      <c r="K306" s="176" t="s">
        <v>148</v>
      </c>
      <c r="L306" s="209"/>
      <c r="M306" s="180" t="s">
        <v>1</v>
      </c>
      <c r="N306" s="181" t="s">
        <v>37</v>
      </c>
      <c r="O306" s="146">
        <v>0</v>
      </c>
      <c r="P306" s="146">
        <f>O306*H306</f>
        <v>0</v>
      </c>
      <c r="Q306" s="146">
        <v>1.1999999999999999E-3</v>
      </c>
      <c r="R306" s="146">
        <f>Q306*H306</f>
        <v>4.4399999999999995E-3</v>
      </c>
      <c r="S306" s="146">
        <v>0</v>
      </c>
      <c r="T306" s="147">
        <f>S306*H306</f>
        <v>0</v>
      </c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R306" s="148" t="s">
        <v>176</v>
      </c>
      <c r="AT306" s="148" t="s">
        <v>184</v>
      </c>
      <c r="AU306" s="148" t="s">
        <v>82</v>
      </c>
      <c r="AY306" s="18" t="s">
        <v>137</v>
      </c>
      <c r="BE306" s="149">
        <f>IF(N306="základní",J306,0)</f>
        <v>0</v>
      </c>
      <c r="BF306" s="149">
        <f>IF(N306="snížená",J306,0)</f>
        <v>0</v>
      </c>
      <c r="BG306" s="149">
        <f>IF(N306="zákl. přenesená",J306,0)</f>
        <v>0</v>
      </c>
      <c r="BH306" s="149">
        <f>IF(N306="sníž. přenesená",J306,0)</f>
        <v>0</v>
      </c>
      <c r="BI306" s="149">
        <f>IF(N306="nulová",J306,0)</f>
        <v>0</v>
      </c>
      <c r="BJ306" s="18" t="s">
        <v>80</v>
      </c>
      <c r="BK306" s="149">
        <f>ROUND(I306*H306,2)</f>
        <v>0</v>
      </c>
      <c r="BL306" s="18" t="s">
        <v>144</v>
      </c>
      <c r="BM306" s="148" t="s">
        <v>319</v>
      </c>
    </row>
    <row r="307" spans="1:65" s="14" customFormat="1">
      <c r="B307" s="160"/>
      <c r="D307" s="150" t="s">
        <v>152</v>
      </c>
      <c r="F307" s="162" t="s">
        <v>320</v>
      </c>
      <c r="H307" s="163">
        <v>3.7</v>
      </c>
      <c r="L307" s="195"/>
      <c r="M307" s="164"/>
      <c r="N307" s="165"/>
      <c r="O307" s="165"/>
      <c r="P307" s="165"/>
      <c r="Q307" s="165"/>
      <c r="R307" s="165"/>
      <c r="S307" s="165"/>
      <c r="T307" s="166"/>
      <c r="AT307" s="161" t="s">
        <v>152</v>
      </c>
      <c r="AU307" s="161" t="s">
        <v>82</v>
      </c>
      <c r="AV307" s="14" t="s">
        <v>82</v>
      </c>
      <c r="AW307" s="14" t="s">
        <v>3</v>
      </c>
      <c r="AX307" s="14" t="s">
        <v>80</v>
      </c>
      <c r="AY307" s="161" t="s">
        <v>137</v>
      </c>
    </row>
    <row r="308" spans="1:65" s="2" customFormat="1" ht="24.15" customHeight="1">
      <c r="A308" s="30"/>
      <c r="B308" s="137"/>
      <c r="C308" s="138">
        <v>50</v>
      </c>
      <c r="D308" s="138" t="s">
        <v>139</v>
      </c>
      <c r="E308" s="139" t="s">
        <v>321</v>
      </c>
      <c r="F308" s="140" t="s">
        <v>322</v>
      </c>
      <c r="G308" s="141" t="s">
        <v>142</v>
      </c>
      <c r="H308" s="142">
        <v>84.65</v>
      </c>
      <c r="I308" s="318">
        <v>0</v>
      </c>
      <c r="J308" s="143">
        <f>ROUND(I308*H308,2)</f>
        <v>0</v>
      </c>
      <c r="K308" s="140" t="s">
        <v>143</v>
      </c>
      <c r="L308" s="195"/>
      <c r="M308" s="144" t="s">
        <v>1</v>
      </c>
      <c r="N308" s="145" t="s">
        <v>37</v>
      </c>
      <c r="O308" s="146">
        <v>4.3999999999999997E-2</v>
      </c>
      <c r="P308" s="146">
        <f>O308*H308</f>
        <v>3.7246000000000001</v>
      </c>
      <c r="Q308" s="146">
        <v>8.0000000000000007E-5</v>
      </c>
      <c r="R308" s="146">
        <f>Q308*H308</f>
        <v>6.7720000000000011E-3</v>
      </c>
      <c r="S308" s="146">
        <v>0</v>
      </c>
      <c r="T308" s="147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48" t="s">
        <v>144</v>
      </c>
      <c r="AT308" s="148" t="s">
        <v>139</v>
      </c>
      <c r="AU308" s="148" t="s">
        <v>82</v>
      </c>
      <c r="AY308" s="18" t="s">
        <v>137</v>
      </c>
      <c r="BE308" s="149">
        <f>IF(N308="základní",J308,0)</f>
        <v>0</v>
      </c>
      <c r="BF308" s="149">
        <f>IF(N308="snížená",J308,0)</f>
        <v>0</v>
      </c>
      <c r="BG308" s="149">
        <f>IF(N308="zákl. přenesená",J308,0)</f>
        <v>0</v>
      </c>
      <c r="BH308" s="149">
        <f>IF(N308="sníž. přenesená",J308,0)</f>
        <v>0</v>
      </c>
      <c r="BI308" s="149">
        <f>IF(N308="nulová",J308,0)</f>
        <v>0</v>
      </c>
      <c r="BJ308" s="18" t="s">
        <v>80</v>
      </c>
      <c r="BK308" s="149">
        <f>ROUND(I308*H308,2)</f>
        <v>0</v>
      </c>
      <c r="BL308" s="18" t="s">
        <v>144</v>
      </c>
      <c r="BM308" s="148" t="s">
        <v>323</v>
      </c>
    </row>
    <row r="309" spans="1:65" s="2" customFormat="1" ht="16.5" customHeight="1">
      <c r="A309" s="30"/>
      <c r="B309" s="137"/>
      <c r="C309" s="138">
        <v>51</v>
      </c>
      <c r="D309" s="138" t="s">
        <v>139</v>
      </c>
      <c r="E309" s="139" t="s">
        <v>324</v>
      </c>
      <c r="F309" s="140" t="s">
        <v>325</v>
      </c>
      <c r="G309" s="141" t="s">
        <v>142</v>
      </c>
      <c r="H309" s="142">
        <v>71.099999999999994</v>
      </c>
      <c r="I309" s="318">
        <v>0</v>
      </c>
      <c r="J309" s="143">
        <f>ROUND(I309*H309,2)</f>
        <v>0</v>
      </c>
      <c r="K309" s="140" t="s">
        <v>143</v>
      </c>
      <c r="L309" s="195"/>
      <c r="M309" s="144" t="s">
        <v>1</v>
      </c>
      <c r="N309" s="145" t="s">
        <v>37</v>
      </c>
      <c r="O309" s="146">
        <v>0.42</v>
      </c>
      <c r="P309" s="146">
        <f>O309*H309</f>
        <v>29.861999999999995</v>
      </c>
      <c r="Q309" s="146">
        <v>3.15E-2</v>
      </c>
      <c r="R309" s="146">
        <f>Q309*H309</f>
        <v>2.2396499999999997</v>
      </c>
      <c r="S309" s="146">
        <v>0</v>
      </c>
      <c r="T309" s="147">
        <f>S309*H309</f>
        <v>0</v>
      </c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R309" s="148" t="s">
        <v>144</v>
      </c>
      <c r="AT309" s="148" t="s">
        <v>139</v>
      </c>
      <c r="AU309" s="148" t="s">
        <v>82</v>
      </c>
      <c r="AY309" s="18" t="s">
        <v>137</v>
      </c>
      <c r="BE309" s="149">
        <f>IF(N309="základní",J309,0)</f>
        <v>0</v>
      </c>
      <c r="BF309" s="149">
        <f>IF(N309="snížená",J309,0)</f>
        <v>0</v>
      </c>
      <c r="BG309" s="149">
        <f>IF(N309="zákl. přenesená",J309,0)</f>
        <v>0</v>
      </c>
      <c r="BH309" s="149">
        <f>IF(N309="sníž. přenesená",J309,0)</f>
        <v>0</v>
      </c>
      <c r="BI309" s="149">
        <f>IF(N309="nulová",J309,0)</f>
        <v>0</v>
      </c>
      <c r="BJ309" s="18" t="s">
        <v>80</v>
      </c>
      <c r="BK309" s="149">
        <f>ROUND(I309*H309,2)</f>
        <v>0</v>
      </c>
      <c r="BL309" s="18" t="s">
        <v>144</v>
      </c>
      <c r="BM309" s="148" t="s">
        <v>326</v>
      </c>
    </row>
    <row r="310" spans="1:65" s="13" customFormat="1">
      <c r="B310" s="154"/>
      <c r="D310" s="150" t="s">
        <v>152</v>
      </c>
      <c r="E310" s="155" t="s">
        <v>1</v>
      </c>
      <c r="F310" s="156" t="s">
        <v>287</v>
      </c>
      <c r="H310" s="155" t="s">
        <v>1</v>
      </c>
      <c r="L310" s="195"/>
      <c r="M310" s="157"/>
      <c r="N310" s="158"/>
      <c r="O310" s="158"/>
      <c r="P310" s="158"/>
      <c r="Q310" s="158"/>
      <c r="R310" s="158"/>
      <c r="S310" s="158"/>
      <c r="T310" s="159"/>
      <c r="AT310" s="155" t="s">
        <v>152</v>
      </c>
      <c r="AU310" s="155" t="s">
        <v>82</v>
      </c>
      <c r="AV310" s="13" t="s">
        <v>80</v>
      </c>
      <c r="AW310" s="13" t="s">
        <v>28</v>
      </c>
      <c r="AX310" s="13" t="s">
        <v>72</v>
      </c>
      <c r="AY310" s="155" t="s">
        <v>137</v>
      </c>
    </row>
    <row r="311" spans="1:65" s="14" customFormat="1">
      <c r="B311" s="160"/>
      <c r="D311" s="150" t="s">
        <v>152</v>
      </c>
      <c r="E311" s="161" t="s">
        <v>1</v>
      </c>
      <c r="F311" s="162" t="s">
        <v>288</v>
      </c>
      <c r="H311" s="163">
        <v>27.9</v>
      </c>
      <c r="L311" s="195"/>
      <c r="M311" s="164"/>
      <c r="N311" s="165"/>
      <c r="O311" s="165"/>
      <c r="P311" s="165"/>
      <c r="Q311" s="165"/>
      <c r="R311" s="165"/>
      <c r="S311" s="165"/>
      <c r="T311" s="166"/>
      <c r="AT311" s="161" t="s">
        <v>152</v>
      </c>
      <c r="AU311" s="161" t="s">
        <v>82</v>
      </c>
      <c r="AV311" s="14" t="s">
        <v>82</v>
      </c>
      <c r="AW311" s="14" t="s">
        <v>28</v>
      </c>
      <c r="AX311" s="14" t="s">
        <v>72</v>
      </c>
      <c r="AY311" s="161" t="s">
        <v>137</v>
      </c>
    </row>
    <row r="312" spans="1:65" s="14" customFormat="1">
      <c r="B312" s="160"/>
      <c r="D312" s="150" t="s">
        <v>152</v>
      </c>
      <c r="E312" s="161" t="s">
        <v>1</v>
      </c>
      <c r="F312" s="162" t="s">
        <v>289</v>
      </c>
      <c r="H312" s="163">
        <v>43.2</v>
      </c>
      <c r="L312" s="195"/>
      <c r="M312" s="164"/>
      <c r="N312" s="165"/>
      <c r="O312" s="165"/>
      <c r="P312" s="165"/>
      <c r="Q312" s="165"/>
      <c r="R312" s="165"/>
      <c r="S312" s="165"/>
      <c r="T312" s="166"/>
      <c r="AT312" s="161" t="s">
        <v>152</v>
      </c>
      <c r="AU312" s="161" t="s">
        <v>82</v>
      </c>
      <c r="AV312" s="14" t="s">
        <v>82</v>
      </c>
      <c r="AW312" s="14" t="s">
        <v>28</v>
      </c>
      <c r="AX312" s="14" t="s">
        <v>72</v>
      </c>
      <c r="AY312" s="161" t="s">
        <v>137</v>
      </c>
    </row>
    <row r="313" spans="1:65" s="15" customFormat="1">
      <c r="B313" s="167"/>
      <c r="D313" s="150" t="s">
        <v>152</v>
      </c>
      <c r="E313" s="168" t="s">
        <v>1</v>
      </c>
      <c r="F313" s="169" t="s">
        <v>157</v>
      </c>
      <c r="H313" s="170">
        <v>71.099999999999994</v>
      </c>
      <c r="L313" s="195"/>
      <c r="M313" s="171"/>
      <c r="N313" s="172"/>
      <c r="O313" s="172"/>
      <c r="P313" s="172"/>
      <c r="Q313" s="172"/>
      <c r="R313" s="172"/>
      <c r="S313" s="172"/>
      <c r="T313" s="173"/>
      <c r="AT313" s="168" t="s">
        <v>152</v>
      </c>
      <c r="AU313" s="168" t="s">
        <v>82</v>
      </c>
      <c r="AV313" s="15" t="s">
        <v>144</v>
      </c>
      <c r="AW313" s="15" t="s">
        <v>28</v>
      </c>
      <c r="AX313" s="15" t="s">
        <v>80</v>
      </c>
      <c r="AY313" s="168" t="s">
        <v>137</v>
      </c>
    </row>
    <row r="314" spans="1:65" s="2" customFormat="1" ht="16.5" customHeight="1">
      <c r="A314" s="30"/>
      <c r="B314" s="137"/>
      <c r="C314" s="138">
        <v>52</v>
      </c>
      <c r="D314" s="138" t="s">
        <v>139</v>
      </c>
      <c r="E314" s="139" t="s">
        <v>327</v>
      </c>
      <c r="F314" s="140" t="s">
        <v>328</v>
      </c>
      <c r="G314" s="141" t="s">
        <v>142</v>
      </c>
      <c r="H314" s="142">
        <v>71.099999999999994</v>
      </c>
      <c r="I314" s="318">
        <v>0</v>
      </c>
      <c r="J314" s="143">
        <f>ROUND(I314*H314,2)</f>
        <v>0</v>
      </c>
      <c r="K314" s="140" t="s">
        <v>143</v>
      </c>
      <c r="L314" s="195"/>
      <c r="M314" s="144" t="s">
        <v>1</v>
      </c>
      <c r="N314" s="145" t="s">
        <v>37</v>
      </c>
      <c r="O314" s="146">
        <v>0.09</v>
      </c>
      <c r="P314" s="146">
        <f>O314*H314</f>
        <v>6.3989999999999991</v>
      </c>
      <c r="Q314" s="146">
        <v>6.4999999999999997E-3</v>
      </c>
      <c r="R314" s="146">
        <f>Q314*H314</f>
        <v>0.46214999999999995</v>
      </c>
      <c r="S314" s="146">
        <v>0</v>
      </c>
      <c r="T314" s="147">
        <f>S314*H314</f>
        <v>0</v>
      </c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R314" s="148" t="s">
        <v>144</v>
      </c>
      <c r="AT314" s="148" t="s">
        <v>139</v>
      </c>
      <c r="AU314" s="148" t="s">
        <v>82</v>
      </c>
      <c r="AY314" s="18" t="s">
        <v>137</v>
      </c>
      <c r="BE314" s="149">
        <f>IF(N314="základní",J314,0)</f>
        <v>0</v>
      </c>
      <c r="BF314" s="149">
        <f>IF(N314="snížená",J314,0)</f>
        <v>0</v>
      </c>
      <c r="BG314" s="149">
        <f>IF(N314="zákl. přenesená",J314,0)</f>
        <v>0</v>
      </c>
      <c r="BH314" s="149">
        <f>IF(N314="sníž. přenesená",J314,0)</f>
        <v>0</v>
      </c>
      <c r="BI314" s="149">
        <f>IF(N314="nulová",J314,0)</f>
        <v>0</v>
      </c>
      <c r="BJ314" s="18" t="s">
        <v>80</v>
      </c>
      <c r="BK314" s="149">
        <f>ROUND(I314*H314,2)</f>
        <v>0</v>
      </c>
      <c r="BL314" s="18" t="s">
        <v>144</v>
      </c>
      <c r="BM314" s="148" t="s">
        <v>329</v>
      </c>
    </row>
    <row r="315" spans="1:65" s="2" customFormat="1" ht="16.5" customHeight="1">
      <c r="A315" s="30"/>
      <c r="B315" s="137"/>
      <c r="C315" s="138">
        <v>53</v>
      </c>
      <c r="D315" s="138" t="s">
        <v>139</v>
      </c>
      <c r="E315" s="139" t="s">
        <v>330</v>
      </c>
      <c r="F315" s="140" t="s">
        <v>331</v>
      </c>
      <c r="G315" s="141" t="s">
        <v>142</v>
      </c>
      <c r="H315" s="142">
        <v>323.88499999999999</v>
      </c>
      <c r="I315" s="318">
        <v>0</v>
      </c>
      <c r="J315" s="143">
        <f>ROUND(I315*H315,2)</f>
        <v>0</v>
      </c>
      <c r="K315" s="140" t="s">
        <v>143</v>
      </c>
      <c r="L315" s="195"/>
      <c r="M315" s="144" t="s">
        <v>1</v>
      </c>
      <c r="N315" s="145" t="s">
        <v>37</v>
      </c>
      <c r="O315" s="146">
        <v>0.21199999999999999</v>
      </c>
      <c r="P315" s="146">
        <f>O315*H315</f>
        <v>68.663619999999995</v>
      </c>
      <c r="Q315" s="146">
        <v>1.457E-2</v>
      </c>
      <c r="R315" s="146">
        <f>Q315*H315</f>
        <v>4.7190044499999999</v>
      </c>
      <c r="S315" s="146">
        <v>0</v>
      </c>
      <c r="T315" s="147">
        <f>S315*H315</f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48" t="s">
        <v>144</v>
      </c>
      <c r="AT315" s="148" t="s">
        <v>139</v>
      </c>
      <c r="AU315" s="148" t="s">
        <v>82</v>
      </c>
      <c r="AY315" s="18" t="s">
        <v>137</v>
      </c>
      <c r="BE315" s="149">
        <f>IF(N315="základní",J315,0)</f>
        <v>0</v>
      </c>
      <c r="BF315" s="149">
        <f>IF(N315="snížená",J315,0)</f>
        <v>0</v>
      </c>
      <c r="BG315" s="149">
        <f>IF(N315="zákl. přenesená",J315,0)</f>
        <v>0</v>
      </c>
      <c r="BH315" s="149">
        <f>IF(N315="sníž. přenesená",J315,0)</f>
        <v>0</v>
      </c>
      <c r="BI315" s="149">
        <f>IF(N315="nulová",J315,0)</f>
        <v>0</v>
      </c>
      <c r="BJ315" s="18" t="s">
        <v>80</v>
      </c>
      <c r="BK315" s="149">
        <f>ROUND(I315*H315,2)</f>
        <v>0</v>
      </c>
      <c r="BL315" s="18" t="s">
        <v>144</v>
      </c>
      <c r="BM315" s="148" t="s">
        <v>332</v>
      </c>
    </row>
    <row r="316" spans="1:65" s="2" customFormat="1" ht="16.5" customHeight="1">
      <c r="A316" s="30"/>
      <c r="B316" s="137"/>
      <c r="C316" s="138">
        <v>54</v>
      </c>
      <c r="D316" s="138" t="s">
        <v>139</v>
      </c>
      <c r="E316" s="139" t="s">
        <v>333</v>
      </c>
      <c r="F316" s="140" t="s">
        <v>334</v>
      </c>
      <c r="G316" s="141" t="s">
        <v>142</v>
      </c>
      <c r="H316" s="142">
        <v>92.135000000000005</v>
      </c>
      <c r="I316" s="318">
        <v>0</v>
      </c>
      <c r="J316" s="143">
        <f>ROUND(I316*H316,2)</f>
        <v>0</v>
      </c>
      <c r="K316" s="140" t="s">
        <v>148</v>
      </c>
      <c r="L316" s="195"/>
      <c r="M316" s="144" t="s">
        <v>1</v>
      </c>
      <c r="N316" s="145" t="s">
        <v>37</v>
      </c>
      <c r="O316" s="146">
        <v>0</v>
      </c>
      <c r="P316" s="146">
        <f>O316*H316</f>
        <v>0</v>
      </c>
      <c r="Q316" s="146">
        <v>0</v>
      </c>
      <c r="R316" s="146">
        <f>Q316*H316</f>
        <v>0</v>
      </c>
      <c r="S316" s="146">
        <v>0</v>
      </c>
      <c r="T316" s="147">
        <f>S316*H316</f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48" t="s">
        <v>144</v>
      </c>
      <c r="AT316" s="148" t="s">
        <v>139</v>
      </c>
      <c r="AU316" s="148" t="s">
        <v>82</v>
      </c>
      <c r="AY316" s="18" t="s">
        <v>137</v>
      </c>
      <c r="BE316" s="149">
        <f>IF(N316="základní",J316,0)</f>
        <v>0</v>
      </c>
      <c r="BF316" s="149">
        <f>IF(N316="snížená",J316,0)</f>
        <v>0</v>
      </c>
      <c r="BG316" s="149">
        <f>IF(N316="zákl. přenesená",J316,0)</f>
        <v>0</v>
      </c>
      <c r="BH316" s="149">
        <f>IF(N316="sníž. přenesená",J316,0)</f>
        <v>0</v>
      </c>
      <c r="BI316" s="149">
        <f>IF(N316="nulová",J316,0)</f>
        <v>0</v>
      </c>
      <c r="BJ316" s="18" t="s">
        <v>80</v>
      </c>
      <c r="BK316" s="149">
        <f>ROUND(I316*H316,2)</f>
        <v>0</v>
      </c>
      <c r="BL316" s="18" t="s">
        <v>144</v>
      </c>
      <c r="BM316" s="148" t="s">
        <v>335</v>
      </c>
    </row>
    <row r="317" spans="1:65" s="13" customFormat="1">
      <c r="B317" s="154"/>
      <c r="D317" s="150" t="s">
        <v>152</v>
      </c>
      <c r="E317" s="155" t="s">
        <v>1</v>
      </c>
      <c r="F317" s="156" t="s">
        <v>336</v>
      </c>
      <c r="H317" s="155" t="s">
        <v>1</v>
      </c>
      <c r="L317" s="154"/>
      <c r="M317" s="157"/>
      <c r="N317" s="158"/>
      <c r="O317" s="158"/>
      <c r="P317" s="158"/>
      <c r="Q317" s="158"/>
      <c r="R317" s="158"/>
      <c r="S317" s="158"/>
      <c r="T317" s="159"/>
      <c r="AT317" s="155" t="s">
        <v>152</v>
      </c>
      <c r="AU317" s="155" t="s">
        <v>82</v>
      </c>
      <c r="AV317" s="13" t="s">
        <v>80</v>
      </c>
      <c r="AW317" s="13" t="s">
        <v>28</v>
      </c>
      <c r="AX317" s="13" t="s">
        <v>72</v>
      </c>
      <c r="AY317" s="155" t="s">
        <v>137</v>
      </c>
    </row>
    <row r="318" spans="1:65" s="13" customFormat="1">
      <c r="B318" s="154"/>
      <c r="D318" s="150" t="s">
        <v>152</v>
      </c>
      <c r="E318" s="155" t="s">
        <v>1</v>
      </c>
      <c r="F318" s="156" t="s">
        <v>337</v>
      </c>
      <c r="H318" s="155" t="s">
        <v>1</v>
      </c>
      <c r="L318" s="154"/>
      <c r="M318" s="157"/>
      <c r="N318" s="158"/>
      <c r="O318" s="158"/>
      <c r="P318" s="158"/>
      <c r="Q318" s="158"/>
      <c r="R318" s="158"/>
      <c r="S318" s="158"/>
      <c r="T318" s="159"/>
      <c r="AT318" s="155" t="s">
        <v>152</v>
      </c>
      <c r="AU318" s="155" t="s">
        <v>82</v>
      </c>
      <c r="AV318" s="13" t="s">
        <v>80</v>
      </c>
      <c r="AW318" s="13" t="s">
        <v>28</v>
      </c>
      <c r="AX318" s="13" t="s">
        <v>72</v>
      </c>
      <c r="AY318" s="155" t="s">
        <v>137</v>
      </c>
    </row>
    <row r="319" spans="1:65" s="13" customFormat="1">
      <c r="B319" s="154"/>
      <c r="D319" s="150" t="s">
        <v>152</v>
      </c>
      <c r="E319" s="155" t="s">
        <v>1</v>
      </c>
      <c r="F319" s="156" t="s">
        <v>338</v>
      </c>
      <c r="H319" s="155" t="s">
        <v>1</v>
      </c>
      <c r="L319" s="154"/>
      <c r="M319" s="157"/>
      <c r="N319" s="158"/>
      <c r="O319" s="158"/>
      <c r="P319" s="158"/>
      <c r="Q319" s="158"/>
      <c r="R319" s="158"/>
      <c r="S319" s="158"/>
      <c r="T319" s="159"/>
      <c r="AT319" s="155" t="s">
        <v>152</v>
      </c>
      <c r="AU319" s="155" t="s">
        <v>82</v>
      </c>
      <c r="AV319" s="13" t="s">
        <v>80</v>
      </c>
      <c r="AW319" s="13" t="s">
        <v>28</v>
      </c>
      <c r="AX319" s="13" t="s">
        <v>72</v>
      </c>
      <c r="AY319" s="155" t="s">
        <v>137</v>
      </c>
    </row>
    <row r="320" spans="1:65" s="13" customFormat="1">
      <c r="B320" s="154"/>
      <c r="D320" s="150" t="s">
        <v>152</v>
      </c>
      <c r="E320" s="155" t="s">
        <v>1</v>
      </c>
      <c r="F320" s="156" t="s">
        <v>339</v>
      </c>
      <c r="H320" s="155" t="s">
        <v>1</v>
      </c>
      <c r="L320" s="154"/>
      <c r="M320" s="157"/>
      <c r="N320" s="158"/>
      <c r="O320" s="158"/>
      <c r="P320" s="158"/>
      <c r="Q320" s="158"/>
      <c r="R320" s="158"/>
      <c r="S320" s="158"/>
      <c r="T320" s="159"/>
      <c r="AT320" s="155" t="s">
        <v>152</v>
      </c>
      <c r="AU320" s="155" t="s">
        <v>82</v>
      </c>
      <c r="AV320" s="13" t="s">
        <v>80</v>
      </c>
      <c r="AW320" s="13" t="s">
        <v>28</v>
      </c>
      <c r="AX320" s="13" t="s">
        <v>72</v>
      </c>
      <c r="AY320" s="155" t="s">
        <v>137</v>
      </c>
    </row>
    <row r="321" spans="1:65" s="14" customFormat="1">
      <c r="B321" s="160"/>
      <c r="D321" s="150" t="s">
        <v>152</v>
      </c>
      <c r="E321" s="161" t="s">
        <v>1</v>
      </c>
      <c r="F321" s="162" t="s">
        <v>304</v>
      </c>
      <c r="H321" s="163">
        <v>84.65</v>
      </c>
      <c r="L321" s="160"/>
      <c r="M321" s="164"/>
      <c r="N321" s="165"/>
      <c r="O321" s="165"/>
      <c r="P321" s="165"/>
      <c r="Q321" s="165"/>
      <c r="R321" s="165"/>
      <c r="S321" s="165"/>
      <c r="T321" s="166"/>
      <c r="AT321" s="161" t="s">
        <v>152</v>
      </c>
      <c r="AU321" s="161" t="s">
        <v>82</v>
      </c>
      <c r="AV321" s="14" t="s">
        <v>82</v>
      </c>
      <c r="AW321" s="14" t="s">
        <v>28</v>
      </c>
      <c r="AX321" s="14" t="s">
        <v>72</v>
      </c>
      <c r="AY321" s="161" t="s">
        <v>137</v>
      </c>
    </row>
    <row r="322" spans="1:65" s="14" customFormat="1">
      <c r="B322" s="160"/>
      <c r="D322" s="150" t="s">
        <v>152</v>
      </c>
      <c r="E322" s="161" t="s">
        <v>1</v>
      </c>
      <c r="F322" s="162" t="s">
        <v>340</v>
      </c>
      <c r="H322" s="163">
        <v>7.4850000000000003</v>
      </c>
      <c r="L322" s="160"/>
      <c r="M322" s="164"/>
      <c r="N322" s="165"/>
      <c r="O322" s="165"/>
      <c r="P322" s="165"/>
      <c r="Q322" s="165"/>
      <c r="R322" s="165"/>
      <c r="S322" s="165"/>
      <c r="T322" s="166"/>
      <c r="AT322" s="161" t="s">
        <v>152</v>
      </c>
      <c r="AU322" s="161" t="s">
        <v>82</v>
      </c>
      <c r="AV322" s="14" t="s">
        <v>82</v>
      </c>
      <c r="AW322" s="14" t="s">
        <v>28</v>
      </c>
      <c r="AX322" s="14" t="s">
        <v>72</v>
      </c>
      <c r="AY322" s="161" t="s">
        <v>137</v>
      </c>
    </row>
    <row r="323" spans="1:65" s="15" customFormat="1">
      <c r="B323" s="167"/>
      <c r="D323" s="150" t="s">
        <v>152</v>
      </c>
      <c r="E323" s="168" t="s">
        <v>1</v>
      </c>
      <c r="F323" s="169" t="s">
        <v>157</v>
      </c>
      <c r="H323" s="170">
        <v>92.135000000000005</v>
      </c>
      <c r="L323" s="167"/>
      <c r="M323" s="171"/>
      <c r="N323" s="172"/>
      <c r="O323" s="172"/>
      <c r="P323" s="172"/>
      <c r="Q323" s="172"/>
      <c r="R323" s="172"/>
      <c r="S323" s="172"/>
      <c r="T323" s="173"/>
      <c r="AT323" s="168" t="s">
        <v>152</v>
      </c>
      <c r="AU323" s="168" t="s">
        <v>82</v>
      </c>
      <c r="AV323" s="15" t="s">
        <v>144</v>
      </c>
      <c r="AW323" s="15" t="s">
        <v>28</v>
      </c>
      <c r="AX323" s="15" t="s">
        <v>80</v>
      </c>
      <c r="AY323" s="168" t="s">
        <v>137</v>
      </c>
    </row>
    <row r="324" spans="1:65" s="2" customFormat="1" ht="16.5" customHeight="1">
      <c r="A324" s="30"/>
      <c r="B324" s="137"/>
      <c r="C324" s="138">
        <v>55</v>
      </c>
      <c r="D324" s="138" t="s">
        <v>139</v>
      </c>
      <c r="E324" s="139" t="s">
        <v>341</v>
      </c>
      <c r="F324" s="140" t="s">
        <v>342</v>
      </c>
      <c r="G324" s="141" t="s">
        <v>142</v>
      </c>
      <c r="H324" s="142">
        <v>323.88499999999999</v>
      </c>
      <c r="I324" s="318">
        <v>0</v>
      </c>
      <c r="J324" s="143">
        <f>ROUND(I324*H324,2)</f>
        <v>0</v>
      </c>
      <c r="K324" s="140" t="s">
        <v>143</v>
      </c>
      <c r="L324" s="195"/>
      <c r="M324" s="144" t="s">
        <v>1</v>
      </c>
      <c r="N324" s="145" t="s">
        <v>37</v>
      </c>
      <c r="O324" s="146">
        <v>0.245</v>
      </c>
      <c r="P324" s="146">
        <f>O324*H324</f>
        <v>79.351824999999991</v>
      </c>
      <c r="Q324" s="146">
        <v>2.8500000000000001E-3</v>
      </c>
      <c r="R324" s="146">
        <f>Q324*H324</f>
        <v>0.92307225000000004</v>
      </c>
      <c r="S324" s="146">
        <v>0</v>
      </c>
      <c r="T324" s="147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48" t="s">
        <v>144</v>
      </c>
      <c r="AT324" s="148" t="s">
        <v>139</v>
      </c>
      <c r="AU324" s="148" t="s">
        <v>82</v>
      </c>
      <c r="AY324" s="18" t="s">
        <v>137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8" t="s">
        <v>80</v>
      </c>
      <c r="BK324" s="149">
        <f>ROUND(I324*H324,2)</f>
        <v>0</v>
      </c>
      <c r="BL324" s="18" t="s">
        <v>144</v>
      </c>
      <c r="BM324" s="148" t="s">
        <v>343</v>
      </c>
    </row>
    <row r="325" spans="1:65" s="14" customFormat="1">
      <c r="B325" s="160"/>
      <c r="D325" s="150" t="s">
        <v>152</v>
      </c>
      <c r="E325" s="161" t="s">
        <v>1</v>
      </c>
      <c r="F325" s="162" t="s">
        <v>304</v>
      </c>
      <c r="H325" s="163">
        <v>84.65</v>
      </c>
      <c r="L325" s="195"/>
      <c r="M325" s="164"/>
      <c r="N325" s="165"/>
      <c r="O325" s="165"/>
      <c r="P325" s="165"/>
      <c r="Q325" s="165"/>
      <c r="R325" s="165"/>
      <c r="S325" s="165"/>
      <c r="T325" s="166"/>
      <c r="AT325" s="161" t="s">
        <v>152</v>
      </c>
      <c r="AU325" s="161" t="s">
        <v>82</v>
      </c>
      <c r="AV325" s="14" t="s">
        <v>82</v>
      </c>
      <c r="AW325" s="14" t="s">
        <v>28</v>
      </c>
      <c r="AX325" s="14" t="s">
        <v>72</v>
      </c>
      <c r="AY325" s="161" t="s">
        <v>137</v>
      </c>
    </row>
    <row r="326" spans="1:65" s="14" customFormat="1">
      <c r="B326" s="160"/>
      <c r="D326" s="150" t="s">
        <v>152</v>
      </c>
      <c r="E326" s="161" t="s">
        <v>1</v>
      </c>
      <c r="F326" s="162" t="s">
        <v>340</v>
      </c>
      <c r="H326" s="163">
        <v>7.4850000000000003</v>
      </c>
      <c r="L326" s="195"/>
      <c r="M326" s="164"/>
      <c r="N326" s="165"/>
      <c r="O326" s="165"/>
      <c r="P326" s="165"/>
      <c r="Q326" s="165"/>
      <c r="R326" s="165"/>
      <c r="S326" s="165"/>
      <c r="T326" s="166"/>
      <c r="AT326" s="161" t="s">
        <v>152</v>
      </c>
      <c r="AU326" s="161" t="s">
        <v>82</v>
      </c>
      <c r="AV326" s="14" t="s">
        <v>82</v>
      </c>
      <c r="AW326" s="14" t="s">
        <v>28</v>
      </c>
      <c r="AX326" s="14" t="s">
        <v>72</v>
      </c>
      <c r="AY326" s="161" t="s">
        <v>137</v>
      </c>
    </row>
    <row r="327" spans="1:65" s="16" customFormat="1">
      <c r="B327" s="182"/>
      <c r="D327" s="150" t="s">
        <v>152</v>
      </c>
      <c r="E327" s="183" t="s">
        <v>1</v>
      </c>
      <c r="F327" s="184" t="s">
        <v>344</v>
      </c>
      <c r="H327" s="185">
        <v>92.135000000000005</v>
      </c>
      <c r="L327" s="195"/>
      <c r="M327" s="186"/>
      <c r="N327" s="187"/>
      <c r="O327" s="187"/>
      <c r="P327" s="187"/>
      <c r="Q327" s="187"/>
      <c r="R327" s="187"/>
      <c r="S327" s="187"/>
      <c r="T327" s="188"/>
      <c r="AT327" s="183" t="s">
        <v>152</v>
      </c>
      <c r="AU327" s="183" t="s">
        <v>82</v>
      </c>
      <c r="AV327" s="16" t="s">
        <v>158</v>
      </c>
      <c r="AW327" s="16" t="s">
        <v>28</v>
      </c>
      <c r="AX327" s="16" t="s">
        <v>72</v>
      </c>
      <c r="AY327" s="183" t="s">
        <v>137</v>
      </c>
    </row>
    <row r="328" spans="1:65" s="14" customFormat="1">
      <c r="B328" s="160"/>
      <c r="D328" s="150" t="s">
        <v>152</v>
      </c>
      <c r="E328" s="161" t="s">
        <v>1</v>
      </c>
      <c r="F328" s="162" t="s">
        <v>296</v>
      </c>
      <c r="H328" s="163">
        <v>231.75</v>
      </c>
      <c r="L328" s="195"/>
      <c r="M328" s="164"/>
      <c r="N328" s="165"/>
      <c r="O328" s="165"/>
      <c r="P328" s="165"/>
      <c r="Q328" s="165"/>
      <c r="R328" s="165"/>
      <c r="S328" s="165"/>
      <c r="T328" s="166"/>
      <c r="AT328" s="161" t="s">
        <v>152</v>
      </c>
      <c r="AU328" s="161" t="s">
        <v>82</v>
      </c>
      <c r="AV328" s="14" t="s">
        <v>82</v>
      </c>
      <c r="AW328" s="14" t="s">
        <v>28</v>
      </c>
      <c r="AX328" s="14" t="s">
        <v>72</v>
      </c>
      <c r="AY328" s="161" t="s">
        <v>137</v>
      </c>
    </row>
    <row r="329" spans="1:65" s="15" customFormat="1">
      <c r="B329" s="167"/>
      <c r="D329" s="150" t="s">
        <v>152</v>
      </c>
      <c r="E329" s="168" t="s">
        <v>1</v>
      </c>
      <c r="F329" s="169" t="s">
        <v>157</v>
      </c>
      <c r="H329" s="170">
        <v>323.88499999999999</v>
      </c>
      <c r="L329" s="195"/>
      <c r="M329" s="171"/>
      <c r="N329" s="172"/>
      <c r="O329" s="172"/>
      <c r="P329" s="172"/>
      <c r="Q329" s="172"/>
      <c r="R329" s="172"/>
      <c r="S329" s="172"/>
      <c r="T329" s="173"/>
      <c r="AT329" s="168" t="s">
        <v>152</v>
      </c>
      <c r="AU329" s="168" t="s">
        <v>82</v>
      </c>
      <c r="AV329" s="15" t="s">
        <v>144</v>
      </c>
      <c r="AW329" s="15" t="s">
        <v>28</v>
      </c>
      <c r="AX329" s="15" t="s">
        <v>80</v>
      </c>
      <c r="AY329" s="168" t="s">
        <v>137</v>
      </c>
    </row>
    <row r="330" spans="1:65" s="2" customFormat="1" ht="16.5" customHeight="1">
      <c r="A330" s="30"/>
      <c r="B330" s="137"/>
      <c r="C330" s="138">
        <v>56</v>
      </c>
      <c r="D330" s="138" t="s">
        <v>139</v>
      </c>
      <c r="E330" s="139" t="s">
        <v>345</v>
      </c>
      <c r="F330" s="140" t="s">
        <v>346</v>
      </c>
      <c r="G330" s="141" t="s">
        <v>142</v>
      </c>
      <c r="H330" s="142">
        <v>40.9</v>
      </c>
      <c r="I330" s="318">
        <v>0</v>
      </c>
      <c r="J330" s="143">
        <f>ROUND(I330*H330,2)</f>
        <v>0</v>
      </c>
      <c r="K330" s="140" t="s">
        <v>143</v>
      </c>
      <c r="L330" s="195"/>
      <c r="M330" s="144" t="s">
        <v>1</v>
      </c>
      <c r="N330" s="145" t="s">
        <v>37</v>
      </c>
      <c r="O330" s="146">
        <v>0.06</v>
      </c>
      <c r="P330" s="146">
        <f>O330*H330</f>
        <v>2.4539999999999997</v>
      </c>
      <c r="Q330" s="146">
        <v>0</v>
      </c>
      <c r="R330" s="146">
        <f>Q330*H330</f>
        <v>0</v>
      </c>
      <c r="S330" s="146">
        <v>1.0000000000000001E-5</v>
      </c>
      <c r="T330" s="147">
        <f>S330*H330</f>
        <v>4.0900000000000002E-4</v>
      </c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R330" s="148" t="s">
        <v>144</v>
      </c>
      <c r="AT330" s="148" t="s">
        <v>139</v>
      </c>
      <c r="AU330" s="148" t="s">
        <v>82</v>
      </c>
      <c r="AY330" s="18" t="s">
        <v>137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8" t="s">
        <v>80</v>
      </c>
      <c r="BK330" s="149">
        <f>ROUND(I330*H330,2)</f>
        <v>0</v>
      </c>
      <c r="BL330" s="18" t="s">
        <v>144</v>
      </c>
      <c r="BM330" s="148" t="s">
        <v>347</v>
      </c>
    </row>
    <row r="331" spans="1:65" s="2" customFormat="1" ht="16.5" customHeight="1">
      <c r="A331" s="30"/>
      <c r="B331" s="137"/>
      <c r="C331" s="138">
        <v>57</v>
      </c>
      <c r="D331" s="138" t="s">
        <v>139</v>
      </c>
      <c r="E331" s="139" t="s">
        <v>348</v>
      </c>
      <c r="F331" s="140" t="s">
        <v>349</v>
      </c>
      <c r="G331" s="141" t="s">
        <v>142</v>
      </c>
      <c r="H331" s="142">
        <v>796.31</v>
      </c>
      <c r="I331" s="318">
        <v>0</v>
      </c>
      <c r="J331" s="143">
        <f>ROUND(I331*H331,2)</f>
        <v>0</v>
      </c>
      <c r="K331" s="140" t="s">
        <v>143</v>
      </c>
      <c r="L331" s="195"/>
      <c r="M331" s="144" t="s">
        <v>1</v>
      </c>
      <c r="N331" s="145" t="s">
        <v>37</v>
      </c>
      <c r="O331" s="146">
        <v>0.14000000000000001</v>
      </c>
      <c r="P331" s="146">
        <f>O331*H331</f>
        <v>111.4834</v>
      </c>
      <c r="Q331" s="146">
        <v>0</v>
      </c>
      <c r="R331" s="146">
        <f>Q331*H331</f>
        <v>0</v>
      </c>
      <c r="S331" s="146">
        <v>0</v>
      </c>
      <c r="T331" s="147">
        <f>S331*H331</f>
        <v>0</v>
      </c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R331" s="148" t="s">
        <v>144</v>
      </c>
      <c r="AT331" s="148" t="s">
        <v>139</v>
      </c>
      <c r="AU331" s="148" t="s">
        <v>82</v>
      </c>
      <c r="AY331" s="18" t="s">
        <v>137</v>
      </c>
      <c r="BE331" s="149">
        <f>IF(N331="základní",J331,0)</f>
        <v>0</v>
      </c>
      <c r="BF331" s="149">
        <f>IF(N331="snížená",J331,0)</f>
        <v>0</v>
      </c>
      <c r="BG331" s="149">
        <f>IF(N331="zákl. přenesená",J331,0)</f>
        <v>0</v>
      </c>
      <c r="BH331" s="149">
        <f>IF(N331="sníž. přenesená",J331,0)</f>
        <v>0</v>
      </c>
      <c r="BI331" s="149">
        <f>IF(N331="nulová",J331,0)</f>
        <v>0</v>
      </c>
      <c r="BJ331" s="18" t="s">
        <v>80</v>
      </c>
      <c r="BK331" s="149">
        <f>ROUND(I331*H331,2)</f>
        <v>0</v>
      </c>
      <c r="BL331" s="18" t="s">
        <v>144</v>
      </c>
      <c r="BM331" s="148" t="s">
        <v>350</v>
      </c>
    </row>
    <row r="332" spans="1:65" s="14" customFormat="1">
      <c r="B332" s="160"/>
      <c r="D332" s="150" t="s">
        <v>152</v>
      </c>
      <c r="E332" s="161" t="s">
        <v>1</v>
      </c>
      <c r="F332" s="162" t="s">
        <v>304</v>
      </c>
      <c r="H332" s="163">
        <v>84.65</v>
      </c>
      <c r="L332" s="195"/>
      <c r="M332" s="164"/>
      <c r="N332" s="165"/>
      <c r="O332" s="165"/>
      <c r="P332" s="165"/>
      <c r="Q332" s="165"/>
      <c r="R332" s="165"/>
      <c r="S332" s="165"/>
      <c r="T332" s="166"/>
      <c r="AT332" s="161" t="s">
        <v>152</v>
      </c>
      <c r="AU332" s="161" t="s">
        <v>82</v>
      </c>
      <c r="AV332" s="14" t="s">
        <v>82</v>
      </c>
      <c r="AW332" s="14" t="s">
        <v>28</v>
      </c>
      <c r="AX332" s="14" t="s">
        <v>72</v>
      </c>
      <c r="AY332" s="161" t="s">
        <v>137</v>
      </c>
    </row>
    <row r="333" spans="1:65" s="14" customFormat="1">
      <c r="B333" s="160"/>
      <c r="D333" s="150" t="s">
        <v>152</v>
      </c>
      <c r="E333" s="161" t="s">
        <v>1</v>
      </c>
      <c r="F333" s="162" t="s">
        <v>340</v>
      </c>
      <c r="H333" s="163">
        <v>7.4850000000000003</v>
      </c>
      <c r="L333" s="195"/>
      <c r="M333" s="164"/>
      <c r="N333" s="165"/>
      <c r="O333" s="165"/>
      <c r="P333" s="165"/>
      <c r="Q333" s="165"/>
      <c r="R333" s="165"/>
      <c r="S333" s="165"/>
      <c r="T333" s="166"/>
      <c r="AT333" s="161" t="s">
        <v>152</v>
      </c>
      <c r="AU333" s="161" t="s">
        <v>82</v>
      </c>
      <c r="AV333" s="14" t="s">
        <v>82</v>
      </c>
      <c r="AW333" s="14" t="s">
        <v>28</v>
      </c>
      <c r="AX333" s="14" t="s">
        <v>72</v>
      </c>
      <c r="AY333" s="161" t="s">
        <v>137</v>
      </c>
    </row>
    <row r="334" spans="1:65" s="16" customFormat="1">
      <c r="B334" s="182"/>
      <c r="D334" s="150" t="s">
        <v>152</v>
      </c>
      <c r="E334" s="183" t="s">
        <v>1</v>
      </c>
      <c r="F334" s="184" t="s">
        <v>344</v>
      </c>
      <c r="H334" s="185">
        <v>92.135000000000005</v>
      </c>
      <c r="L334" s="195"/>
      <c r="M334" s="186"/>
      <c r="N334" s="187"/>
      <c r="O334" s="187"/>
      <c r="P334" s="187"/>
      <c r="Q334" s="187"/>
      <c r="R334" s="187"/>
      <c r="S334" s="187"/>
      <c r="T334" s="188"/>
      <c r="AT334" s="183" t="s">
        <v>152</v>
      </c>
      <c r="AU334" s="183" t="s">
        <v>82</v>
      </c>
      <c r="AV334" s="16" t="s">
        <v>158</v>
      </c>
      <c r="AW334" s="16" t="s">
        <v>28</v>
      </c>
      <c r="AX334" s="16" t="s">
        <v>72</v>
      </c>
      <c r="AY334" s="183" t="s">
        <v>137</v>
      </c>
    </row>
    <row r="335" spans="1:65" s="14" customFormat="1">
      <c r="B335" s="160"/>
      <c r="D335" s="150" t="s">
        <v>152</v>
      </c>
      <c r="E335" s="161" t="s">
        <v>1</v>
      </c>
      <c r="F335" s="162" t="s">
        <v>296</v>
      </c>
      <c r="H335" s="163">
        <v>231.75</v>
      </c>
      <c r="L335" s="195"/>
      <c r="M335" s="164"/>
      <c r="N335" s="165"/>
      <c r="O335" s="165"/>
      <c r="P335" s="165"/>
      <c r="Q335" s="165"/>
      <c r="R335" s="165"/>
      <c r="S335" s="165"/>
      <c r="T335" s="166"/>
      <c r="AT335" s="161" t="s">
        <v>152</v>
      </c>
      <c r="AU335" s="161" t="s">
        <v>82</v>
      </c>
      <c r="AV335" s="14" t="s">
        <v>82</v>
      </c>
      <c r="AW335" s="14" t="s">
        <v>28</v>
      </c>
      <c r="AX335" s="14" t="s">
        <v>72</v>
      </c>
      <c r="AY335" s="161" t="s">
        <v>137</v>
      </c>
    </row>
    <row r="336" spans="1:65" s="14" customFormat="1">
      <c r="B336" s="160"/>
      <c r="D336" s="150" t="s">
        <v>152</v>
      </c>
      <c r="E336" s="161" t="s">
        <v>1</v>
      </c>
      <c r="F336" s="162" t="s">
        <v>263</v>
      </c>
      <c r="H336" s="163">
        <v>96</v>
      </c>
      <c r="L336" s="195"/>
      <c r="M336" s="164"/>
      <c r="N336" s="165"/>
      <c r="O336" s="165"/>
      <c r="P336" s="165"/>
      <c r="Q336" s="165"/>
      <c r="R336" s="165"/>
      <c r="S336" s="165"/>
      <c r="T336" s="166"/>
      <c r="AT336" s="161" t="s">
        <v>152</v>
      </c>
      <c r="AU336" s="161" t="s">
        <v>82</v>
      </c>
      <c r="AV336" s="14" t="s">
        <v>82</v>
      </c>
      <c r="AW336" s="14" t="s">
        <v>28</v>
      </c>
      <c r="AX336" s="14" t="s">
        <v>72</v>
      </c>
      <c r="AY336" s="161" t="s">
        <v>137</v>
      </c>
    </row>
    <row r="337" spans="1:65" s="16" customFormat="1">
      <c r="B337" s="182"/>
      <c r="D337" s="150" t="s">
        <v>152</v>
      </c>
      <c r="E337" s="183" t="s">
        <v>1</v>
      </c>
      <c r="F337" s="184" t="s">
        <v>344</v>
      </c>
      <c r="H337" s="185">
        <v>327.75</v>
      </c>
      <c r="L337" s="195"/>
      <c r="M337" s="186"/>
      <c r="N337" s="187"/>
      <c r="O337" s="187"/>
      <c r="P337" s="187"/>
      <c r="Q337" s="187"/>
      <c r="R337" s="187"/>
      <c r="S337" s="187"/>
      <c r="T337" s="188"/>
      <c r="AT337" s="183" t="s">
        <v>152</v>
      </c>
      <c r="AU337" s="183" t="s">
        <v>82</v>
      </c>
      <c r="AV337" s="16" t="s">
        <v>158</v>
      </c>
      <c r="AW337" s="16" t="s">
        <v>28</v>
      </c>
      <c r="AX337" s="16" t="s">
        <v>72</v>
      </c>
      <c r="AY337" s="183" t="s">
        <v>137</v>
      </c>
    </row>
    <row r="338" spans="1:65" s="14" customFormat="1">
      <c r="B338" s="160"/>
      <c r="D338" s="150" t="s">
        <v>152</v>
      </c>
      <c r="E338" s="161" t="s">
        <v>1</v>
      </c>
      <c r="F338" s="162" t="s">
        <v>264</v>
      </c>
      <c r="H338" s="163">
        <v>376.42500000000001</v>
      </c>
      <c r="L338" s="195"/>
      <c r="M338" s="164"/>
      <c r="N338" s="165"/>
      <c r="O338" s="165"/>
      <c r="P338" s="165"/>
      <c r="Q338" s="165"/>
      <c r="R338" s="165"/>
      <c r="S338" s="165"/>
      <c r="T338" s="166"/>
      <c r="AT338" s="161" t="s">
        <v>152</v>
      </c>
      <c r="AU338" s="161" t="s">
        <v>82</v>
      </c>
      <c r="AV338" s="14" t="s">
        <v>82</v>
      </c>
      <c r="AW338" s="14" t="s">
        <v>28</v>
      </c>
      <c r="AX338" s="14" t="s">
        <v>72</v>
      </c>
      <c r="AY338" s="161" t="s">
        <v>137</v>
      </c>
    </row>
    <row r="339" spans="1:65" s="16" customFormat="1">
      <c r="B339" s="182"/>
      <c r="D339" s="150" t="s">
        <v>152</v>
      </c>
      <c r="E339" s="183" t="s">
        <v>1</v>
      </c>
      <c r="F339" s="184" t="s">
        <v>344</v>
      </c>
      <c r="H339" s="185">
        <v>376.42500000000001</v>
      </c>
      <c r="L339" s="195"/>
      <c r="M339" s="186"/>
      <c r="N339" s="187"/>
      <c r="O339" s="187"/>
      <c r="P339" s="187"/>
      <c r="Q339" s="187"/>
      <c r="R339" s="187"/>
      <c r="S339" s="187"/>
      <c r="T339" s="188"/>
      <c r="AT339" s="183" t="s">
        <v>152</v>
      </c>
      <c r="AU339" s="183" t="s">
        <v>82</v>
      </c>
      <c r="AV339" s="16" t="s">
        <v>158</v>
      </c>
      <c r="AW339" s="16" t="s">
        <v>28</v>
      </c>
      <c r="AX339" s="16" t="s">
        <v>72</v>
      </c>
      <c r="AY339" s="183" t="s">
        <v>137</v>
      </c>
    </row>
    <row r="340" spans="1:65" s="15" customFormat="1">
      <c r="B340" s="167"/>
      <c r="D340" s="150" t="s">
        <v>152</v>
      </c>
      <c r="E340" s="168" t="s">
        <v>1</v>
      </c>
      <c r="F340" s="169" t="s">
        <v>157</v>
      </c>
      <c r="H340" s="170">
        <v>796.31</v>
      </c>
      <c r="L340" s="195"/>
      <c r="M340" s="171"/>
      <c r="N340" s="172"/>
      <c r="O340" s="172"/>
      <c r="P340" s="172"/>
      <c r="Q340" s="172"/>
      <c r="R340" s="172"/>
      <c r="S340" s="172"/>
      <c r="T340" s="173"/>
      <c r="AT340" s="168" t="s">
        <v>152</v>
      </c>
      <c r="AU340" s="168" t="s">
        <v>82</v>
      </c>
      <c r="AV340" s="15" t="s">
        <v>144</v>
      </c>
      <c r="AW340" s="15" t="s">
        <v>28</v>
      </c>
      <c r="AX340" s="15" t="s">
        <v>80</v>
      </c>
      <c r="AY340" s="168" t="s">
        <v>137</v>
      </c>
    </row>
    <row r="341" spans="1:65" s="2" customFormat="1" ht="16.5" customHeight="1">
      <c r="A341" s="30"/>
      <c r="B341" s="137"/>
      <c r="C341" s="138">
        <v>58</v>
      </c>
      <c r="D341" s="138" t="s">
        <v>139</v>
      </c>
      <c r="E341" s="139" t="s">
        <v>351</v>
      </c>
      <c r="F341" s="140" t="s">
        <v>352</v>
      </c>
      <c r="G341" s="141" t="s">
        <v>142</v>
      </c>
      <c r="H341" s="142">
        <v>30.35</v>
      </c>
      <c r="I341" s="318">
        <v>0</v>
      </c>
      <c r="J341" s="143">
        <f>ROUND(I341*H341,2)</f>
        <v>0</v>
      </c>
      <c r="K341" s="140" t="s">
        <v>143</v>
      </c>
      <c r="L341" s="195"/>
      <c r="M341" s="144" t="s">
        <v>1</v>
      </c>
      <c r="N341" s="145" t="s">
        <v>37</v>
      </c>
      <c r="O341" s="146">
        <v>0.30499999999999999</v>
      </c>
      <c r="P341" s="146">
        <f>O341*H341</f>
        <v>9.2567500000000003</v>
      </c>
      <c r="Q341" s="146">
        <v>0.11</v>
      </c>
      <c r="R341" s="146">
        <f>Q341*H341</f>
        <v>3.3385000000000002</v>
      </c>
      <c r="S341" s="146">
        <v>0</v>
      </c>
      <c r="T341" s="147">
        <f>S341*H341</f>
        <v>0</v>
      </c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  <c r="AE341" s="30"/>
      <c r="AR341" s="148" t="s">
        <v>144</v>
      </c>
      <c r="AT341" s="148" t="s">
        <v>139</v>
      </c>
      <c r="AU341" s="148" t="s">
        <v>82</v>
      </c>
      <c r="AY341" s="18" t="s">
        <v>137</v>
      </c>
      <c r="BE341" s="149">
        <f>IF(N341="základní",J341,0)</f>
        <v>0</v>
      </c>
      <c r="BF341" s="149">
        <f>IF(N341="snížená",J341,0)</f>
        <v>0</v>
      </c>
      <c r="BG341" s="149">
        <f>IF(N341="zákl. přenesená",J341,0)</f>
        <v>0</v>
      </c>
      <c r="BH341" s="149">
        <f>IF(N341="sníž. přenesená",J341,0)</f>
        <v>0</v>
      </c>
      <c r="BI341" s="149">
        <f>IF(N341="nulová",J341,0)</f>
        <v>0</v>
      </c>
      <c r="BJ341" s="18" t="s">
        <v>80</v>
      </c>
      <c r="BK341" s="149">
        <f>ROUND(I341*H341,2)</f>
        <v>0</v>
      </c>
      <c r="BL341" s="18" t="s">
        <v>144</v>
      </c>
      <c r="BM341" s="148" t="s">
        <v>353</v>
      </c>
    </row>
    <row r="342" spans="1:65" s="12" customFormat="1" ht="22.95" customHeight="1">
      <c r="B342" s="125"/>
      <c r="C342" s="224"/>
      <c r="D342" s="225" t="s">
        <v>71</v>
      </c>
      <c r="E342" s="226" t="s">
        <v>176</v>
      </c>
      <c r="F342" s="226" t="s">
        <v>354</v>
      </c>
      <c r="G342" s="224"/>
      <c r="H342" s="224"/>
      <c r="I342" s="224"/>
      <c r="J342" s="227">
        <f>SUM(J343:J345)</f>
        <v>0</v>
      </c>
      <c r="K342" s="224"/>
      <c r="L342" s="233"/>
      <c r="M342" s="229"/>
      <c r="N342" s="230"/>
      <c r="O342" s="230"/>
      <c r="P342" s="231">
        <f>SUM(P343:P346)</f>
        <v>0</v>
      </c>
      <c r="Q342" s="230"/>
      <c r="R342" s="231">
        <f>SUM(R343:R346)</f>
        <v>0</v>
      </c>
      <c r="S342" s="230"/>
      <c r="T342" s="232">
        <f>SUM(T343:T346)</f>
        <v>0</v>
      </c>
      <c r="U342" s="224"/>
      <c r="V342" s="224"/>
      <c r="W342" s="224"/>
      <c r="AR342" s="126" t="s">
        <v>80</v>
      </c>
      <c r="AT342" s="133" t="s">
        <v>71</v>
      </c>
      <c r="AU342" s="133" t="s">
        <v>80</v>
      </c>
      <c r="AY342" s="126" t="s">
        <v>137</v>
      </c>
      <c r="BK342" s="134">
        <f>SUM(BK343:BK346)</f>
        <v>0</v>
      </c>
    </row>
    <row r="343" spans="1:65" s="2" customFormat="1" ht="16.5" customHeight="1">
      <c r="A343" s="30"/>
      <c r="B343" s="137"/>
      <c r="C343" s="138">
        <v>59</v>
      </c>
      <c r="D343" s="138" t="s">
        <v>139</v>
      </c>
      <c r="E343" s="139" t="s">
        <v>355</v>
      </c>
      <c r="F343" s="140" t="s">
        <v>356</v>
      </c>
      <c r="G343" s="141" t="s">
        <v>242</v>
      </c>
      <c r="H343" s="142">
        <v>17</v>
      </c>
      <c r="I343" s="318">
        <v>0</v>
      </c>
      <c r="J343" s="143">
        <f>ROUND(I343*H343,2)</f>
        <v>0</v>
      </c>
      <c r="K343" s="140" t="s">
        <v>148</v>
      </c>
      <c r="L343" s="195"/>
      <c r="M343" s="144" t="s">
        <v>1</v>
      </c>
      <c r="N343" s="145" t="s">
        <v>37</v>
      </c>
      <c r="O343" s="146">
        <v>0</v>
      </c>
      <c r="P343" s="146">
        <f>O343*H343</f>
        <v>0</v>
      </c>
      <c r="Q343" s="146">
        <v>0</v>
      </c>
      <c r="R343" s="146">
        <f>Q343*H343</f>
        <v>0</v>
      </c>
      <c r="S343" s="146">
        <v>0</v>
      </c>
      <c r="T343" s="147">
        <f>S343*H343</f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48" t="s">
        <v>144</v>
      </c>
      <c r="AT343" s="148" t="s">
        <v>139</v>
      </c>
      <c r="AU343" s="148" t="s">
        <v>82</v>
      </c>
      <c r="AY343" s="18" t="s">
        <v>137</v>
      </c>
      <c r="BE343" s="149">
        <f>IF(N343="základní",J343,0)</f>
        <v>0</v>
      </c>
      <c r="BF343" s="149">
        <f>IF(N343="snížená",J343,0)</f>
        <v>0</v>
      </c>
      <c r="BG343" s="149">
        <f>IF(N343="zákl. přenesená",J343,0)</f>
        <v>0</v>
      </c>
      <c r="BH343" s="149">
        <f>IF(N343="sníž. přenesená",J343,0)</f>
        <v>0</v>
      </c>
      <c r="BI343" s="149">
        <f>IF(N343="nulová",J343,0)</f>
        <v>0</v>
      </c>
      <c r="BJ343" s="18" t="s">
        <v>80</v>
      </c>
      <c r="BK343" s="149">
        <f>ROUND(I343*H343,2)</f>
        <v>0</v>
      </c>
      <c r="BL343" s="18" t="s">
        <v>144</v>
      </c>
      <c r="BM343" s="148" t="s">
        <v>357</v>
      </c>
    </row>
    <row r="344" spans="1:65" s="2" customFormat="1" ht="38.4">
      <c r="A344" s="30"/>
      <c r="B344" s="31"/>
      <c r="C344" s="30"/>
      <c r="D344" s="150" t="s">
        <v>150</v>
      </c>
      <c r="E344" s="30"/>
      <c r="F344" s="151" t="s">
        <v>358</v>
      </c>
      <c r="G344" s="30"/>
      <c r="H344" s="30"/>
      <c r="I344" s="30"/>
      <c r="J344" s="30"/>
      <c r="K344" s="30"/>
      <c r="L344" s="195"/>
      <c r="M344" s="152"/>
      <c r="N344" s="153"/>
      <c r="O344" s="56"/>
      <c r="P344" s="56"/>
      <c r="Q344" s="56"/>
      <c r="R344" s="56"/>
      <c r="S344" s="56"/>
      <c r="T344" s="57"/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  <c r="AE344" s="30"/>
      <c r="AT344" s="18" t="s">
        <v>150</v>
      </c>
      <c r="AU344" s="18" t="s">
        <v>82</v>
      </c>
    </row>
    <row r="345" spans="1:65" s="2" customFormat="1" ht="16.5" customHeight="1">
      <c r="A345" s="30"/>
      <c r="B345" s="137"/>
      <c r="C345" s="138">
        <v>60</v>
      </c>
      <c r="D345" s="138" t="s">
        <v>139</v>
      </c>
      <c r="E345" s="139" t="s">
        <v>359</v>
      </c>
      <c r="F345" s="140" t="s">
        <v>360</v>
      </c>
      <c r="G345" s="141" t="s">
        <v>242</v>
      </c>
      <c r="H345" s="142">
        <v>15</v>
      </c>
      <c r="I345" s="318">
        <v>0</v>
      </c>
      <c r="J345" s="143">
        <f>ROUND(I345*H345,2)</f>
        <v>0</v>
      </c>
      <c r="K345" s="140" t="s">
        <v>148</v>
      </c>
      <c r="L345" s="195"/>
      <c r="M345" s="144" t="s">
        <v>1</v>
      </c>
      <c r="N345" s="145" t="s">
        <v>37</v>
      </c>
      <c r="O345" s="146">
        <v>0</v>
      </c>
      <c r="P345" s="146">
        <f>O345*H345</f>
        <v>0</v>
      </c>
      <c r="Q345" s="146">
        <v>0</v>
      </c>
      <c r="R345" s="146">
        <f>Q345*H345</f>
        <v>0</v>
      </c>
      <c r="S345" s="146">
        <v>0</v>
      </c>
      <c r="T345" s="147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48" t="s">
        <v>144</v>
      </c>
      <c r="AT345" s="148" t="s">
        <v>139</v>
      </c>
      <c r="AU345" s="148" t="s">
        <v>82</v>
      </c>
      <c r="AY345" s="18" t="s">
        <v>137</v>
      </c>
      <c r="BE345" s="149">
        <f>IF(N345="základní",J345,0)</f>
        <v>0</v>
      </c>
      <c r="BF345" s="149">
        <f>IF(N345="snížená",J345,0)</f>
        <v>0</v>
      </c>
      <c r="BG345" s="149">
        <f>IF(N345="zákl. přenesená",J345,0)</f>
        <v>0</v>
      </c>
      <c r="BH345" s="149">
        <f>IF(N345="sníž. přenesená",J345,0)</f>
        <v>0</v>
      </c>
      <c r="BI345" s="149">
        <f>IF(N345="nulová",J345,0)</f>
        <v>0</v>
      </c>
      <c r="BJ345" s="18" t="s">
        <v>80</v>
      </c>
      <c r="BK345" s="149">
        <f>ROUND(I345*H345,2)</f>
        <v>0</v>
      </c>
      <c r="BL345" s="18" t="s">
        <v>144</v>
      </c>
      <c r="BM345" s="148" t="s">
        <v>361</v>
      </c>
    </row>
    <row r="346" spans="1:65" s="2" customFormat="1" ht="28.8">
      <c r="A346" s="30"/>
      <c r="B346" s="31"/>
      <c r="C346" s="30"/>
      <c r="D346" s="150" t="s">
        <v>150</v>
      </c>
      <c r="E346" s="30"/>
      <c r="F346" s="151" t="s">
        <v>362</v>
      </c>
      <c r="G346" s="30"/>
      <c r="H346" s="30"/>
      <c r="I346" s="30"/>
      <c r="J346" s="30"/>
      <c r="K346" s="30"/>
      <c r="L346" s="195"/>
      <c r="M346" s="152"/>
      <c r="N346" s="153"/>
      <c r="O346" s="56"/>
      <c r="P346" s="56"/>
      <c r="Q346" s="56"/>
      <c r="R346" s="56"/>
      <c r="S346" s="56"/>
      <c r="T346" s="57"/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T346" s="18" t="s">
        <v>150</v>
      </c>
      <c r="AU346" s="18" t="s">
        <v>82</v>
      </c>
    </row>
    <row r="347" spans="1:65" s="12" customFormat="1" ht="22.95" customHeight="1">
      <c r="B347" s="125"/>
      <c r="D347" s="126" t="s">
        <v>71</v>
      </c>
      <c r="E347" s="135" t="s">
        <v>180</v>
      </c>
      <c r="F347" s="135" t="s">
        <v>363</v>
      </c>
      <c r="J347" s="136">
        <f>SUM(J348:J428)</f>
        <v>0</v>
      </c>
      <c r="L347" s="223"/>
      <c r="M347" s="129"/>
      <c r="N347" s="130"/>
      <c r="O347" s="130"/>
      <c r="P347" s="131">
        <f>P348+SUM(P349:P431)</f>
        <v>895.84839500000021</v>
      </c>
      <c r="Q347" s="130"/>
      <c r="R347" s="131">
        <f>R348+SUM(R349:R431)</f>
        <v>35.508633800000005</v>
      </c>
      <c r="S347" s="130"/>
      <c r="T347" s="132">
        <f>T348+SUM(T349:T431)</f>
        <v>61.505854999999997</v>
      </c>
      <c r="AR347" s="126" t="s">
        <v>80</v>
      </c>
      <c r="AT347" s="133" t="s">
        <v>71</v>
      </c>
      <c r="AU347" s="133" t="s">
        <v>80</v>
      </c>
      <c r="AY347" s="126" t="s">
        <v>137</v>
      </c>
      <c r="BK347" s="134">
        <f>BK348+SUM(BK349:BK431)</f>
        <v>0</v>
      </c>
    </row>
    <row r="348" spans="1:65" s="2" customFormat="1" ht="16.5" customHeight="1">
      <c r="A348" s="30"/>
      <c r="B348" s="137"/>
      <c r="C348" s="138">
        <v>61</v>
      </c>
      <c r="D348" s="138" t="s">
        <v>139</v>
      </c>
      <c r="E348" s="139" t="s">
        <v>364</v>
      </c>
      <c r="F348" s="140" t="s">
        <v>365</v>
      </c>
      <c r="G348" s="141" t="s">
        <v>242</v>
      </c>
      <c r="H348" s="142">
        <v>117.5</v>
      </c>
      <c r="I348" s="318">
        <v>0</v>
      </c>
      <c r="J348" s="143">
        <f>ROUND(I348*H348,2)</f>
        <v>0</v>
      </c>
      <c r="K348" s="140" t="s">
        <v>143</v>
      </c>
      <c r="L348" s="195"/>
      <c r="M348" s="144" t="s">
        <v>1</v>
      </c>
      <c r="N348" s="145" t="s">
        <v>37</v>
      </c>
      <c r="O348" s="146">
        <v>0.26800000000000002</v>
      </c>
      <c r="P348" s="146">
        <f>O348*H348</f>
        <v>31.490000000000002</v>
      </c>
      <c r="Q348" s="146">
        <v>0.15540000000000001</v>
      </c>
      <c r="R348" s="146">
        <f>Q348*H348</f>
        <v>18.259500000000003</v>
      </c>
      <c r="S348" s="146">
        <v>0</v>
      </c>
      <c r="T348" s="147">
        <f>S348*H348</f>
        <v>0</v>
      </c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R348" s="148" t="s">
        <v>144</v>
      </c>
      <c r="AT348" s="148" t="s">
        <v>139</v>
      </c>
      <c r="AU348" s="148" t="s">
        <v>82</v>
      </c>
      <c r="AY348" s="18" t="s">
        <v>137</v>
      </c>
      <c r="BE348" s="149">
        <f>IF(N348="základní",J348,0)</f>
        <v>0</v>
      </c>
      <c r="BF348" s="149">
        <f>IF(N348="snížená",J348,0)</f>
        <v>0</v>
      </c>
      <c r="BG348" s="149">
        <f>IF(N348="zákl. přenesená",J348,0)</f>
        <v>0</v>
      </c>
      <c r="BH348" s="149">
        <f>IF(N348="sníž. přenesená",J348,0)</f>
        <v>0</v>
      </c>
      <c r="BI348" s="149">
        <f>IF(N348="nulová",J348,0)</f>
        <v>0</v>
      </c>
      <c r="BJ348" s="18" t="s">
        <v>80</v>
      </c>
      <c r="BK348" s="149">
        <f>ROUND(I348*H348,2)</f>
        <v>0</v>
      </c>
      <c r="BL348" s="18" t="s">
        <v>144</v>
      </c>
      <c r="BM348" s="148" t="s">
        <v>366</v>
      </c>
    </row>
    <row r="349" spans="1:65" s="14" customFormat="1">
      <c r="B349" s="160"/>
      <c r="D349" s="150" t="s">
        <v>152</v>
      </c>
      <c r="E349" s="161" t="s">
        <v>1</v>
      </c>
      <c r="F349" s="162" t="s">
        <v>367</v>
      </c>
      <c r="H349" s="163">
        <v>117.5</v>
      </c>
      <c r="L349" s="195"/>
      <c r="M349" s="164"/>
      <c r="N349" s="165"/>
      <c r="O349" s="165"/>
      <c r="P349" s="165"/>
      <c r="Q349" s="165"/>
      <c r="R349" s="165"/>
      <c r="S349" s="165"/>
      <c r="T349" s="166"/>
      <c r="AT349" s="161" t="s">
        <v>152</v>
      </c>
      <c r="AU349" s="161" t="s">
        <v>82</v>
      </c>
      <c r="AV349" s="14" t="s">
        <v>82</v>
      </c>
      <c r="AW349" s="14" t="s">
        <v>28</v>
      </c>
      <c r="AX349" s="14" t="s">
        <v>72</v>
      </c>
      <c r="AY349" s="161" t="s">
        <v>137</v>
      </c>
    </row>
    <row r="350" spans="1:65" s="15" customFormat="1">
      <c r="B350" s="167"/>
      <c r="D350" s="150" t="s">
        <v>152</v>
      </c>
      <c r="E350" s="168" t="s">
        <v>1</v>
      </c>
      <c r="F350" s="169" t="s">
        <v>157</v>
      </c>
      <c r="H350" s="170">
        <v>117.5</v>
      </c>
      <c r="L350" s="195"/>
      <c r="M350" s="171"/>
      <c r="N350" s="172"/>
      <c r="O350" s="172"/>
      <c r="P350" s="172"/>
      <c r="Q350" s="172"/>
      <c r="R350" s="172"/>
      <c r="S350" s="172"/>
      <c r="T350" s="173"/>
      <c r="AT350" s="168" t="s">
        <v>152</v>
      </c>
      <c r="AU350" s="168" t="s">
        <v>82</v>
      </c>
      <c r="AV350" s="15" t="s">
        <v>144</v>
      </c>
      <c r="AW350" s="15" t="s">
        <v>28</v>
      </c>
      <c r="AX350" s="15" t="s">
        <v>80</v>
      </c>
      <c r="AY350" s="168" t="s">
        <v>137</v>
      </c>
    </row>
    <row r="351" spans="1:65" s="2" customFormat="1" ht="16.5" customHeight="1">
      <c r="A351" s="30"/>
      <c r="B351" s="137"/>
      <c r="C351" s="174">
        <v>62</v>
      </c>
      <c r="D351" s="174" t="s">
        <v>184</v>
      </c>
      <c r="E351" s="175" t="s">
        <v>368</v>
      </c>
      <c r="F351" s="176" t="s">
        <v>369</v>
      </c>
      <c r="G351" s="177" t="s">
        <v>242</v>
      </c>
      <c r="H351" s="178">
        <v>53.35</v>
      </c>
      <c r="I351" s="320">
        <v>0</v>
      </c>
      <c r="J351" s="179">
        <f t="shared" ref="J351:J356" si="10">ROUND(I351*H351,2)</f>
        <v>0</v>
      </c>
      <c r="K351" s="176" t="s">
        <v>148</v>
      </c>
      <c r="L351" s="209"/>
      <c r="M351" s="180" t="s">
        <v>1</v>
      </c>
      <c r="N351" s="181" t="s">
        <v>37</v>
      </c>
      <c r="O351" s="146">
        <v>0</v>
      </c>
      <c r="P351" s="146">
        <f t="shared" ref="P351:P356" si="11">O351*H351</f>
        <v>0</v>
      </c>
      <c r="Q351" s="146">
        <v>0.08</v>
      </c>
      <c r="R351" s="146">
        <f t="shared" ref="R351:R356" si="12">Q351*H351</f>
        <v>4.2679999999999998</v>
      </c>
      <c r="S351" s="146">
        <v>0</v>
      </c>
      <c r="T351" s="147">
        <f t="shared" ref="T351:T356" si="13"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48" t="s">
        <v>176</v>
      </c>
      <c r="AT351" s="148" t="s">
        <v>184</v>
      </c>
      <c r="AU351" s="148" t="s">
        <v>82</v>
      </c>
      <c r="AY351" s="18" t="s">
        <v>137</v>
      </c>
      <c r="BE351" s="149">
        <f t="shared" ref="BE351:BE356" si="14">IF(N351="základní",J351,0)</f>
        <v>0</v>
      </c>
      <c r="BF351" s="149">
        <f t="shared" ref="BF351:BF356" si="15">IF(N351="snížená",J351,0)</f>
        <v>0</v>
      </c>
      <c r="BG351" s="149">
        <f t="shared" ref="BG351:BG356" si="16">IF(N351="zákl. přenesená",J351,0)</f>
        <v>0</v>
      </c>
      <c r="BH351" s="149">
        <f t="shared" ref="BH351:BH356" si="17">IF(N351="sníž. přenesená",J351,0)</f>
        <v>0</v>
      </c>
      <c r="BI351" s="149">
        <f t="shared" ref="BI351:BI356" si="18">IF(N351="nulová",J351,0)</f>
        <v>0</v>
      </c>
      <c r="BJ351" s="18" t="s">
        <v>80</v>
      </c>
      <c r="BK351" s="149">
        <f t="shared" ref="BK351:BK356" si="19">ROUND(I351*H351,2)</f>
        <v>0</v>
      </c>
      <c r="BL351" s="18" t="s">
        <v>144</v>
      </c>
      <c r="BM351" s="148" t="s">
        <v>370</v>
      </c>
    </row>
    <row r="352" spans="1:65" s="2" customFormat="1" ht="16.5" customHeight="1">
      <c r="A352" s="30"/>
      <c r="B352" s="137"/>
      <c r="C352" s="174">
        <v>63</v>
      </c>
      <c r="D352" s="174" t="s">
        <v>184</v>
      </c>
      <c r="E352" s="175" t="s">
        <v>371</v>
      </c>
      <c r="F352" s="176" t="s">
        <v>372</v>
      </c>
      <c r="G352" s="177" t="s">
        <v>242</v>
      </c>
      <c r="H352" s="178">
        <v>38.5</v>
      </c>
      <c r="I352" s="320">
        <v>0</v>
      </c>
      <c r="J352" s="179">
        <f t="shared" si="10"/>
        <v>0</v>
      </c>
      <c r="K352" s="176" t="s">
        <v>148</v>
      </c>
      <c r="L352" s="209"/>
      <c r="M352" s="180" t="s">
        <v>1</v>
      </c>
      <c r="N352" s="181" t="s">
        <v>37</v>
      </c>
      <c r="O352" s="146">
        <v>0</v>
      </c>
      <c r="P352" s="146">
        <f t="shared" si="11"/>
        <v>0</v>
      </c>
      <c r="Q352" s="146">
        <v>0.08</v>
      </c>
      <c r="R352" s="146">
        <f t="shared" si="12"/>
        <v>3.08</v>
      </c>
      <c r="S352" s="146">
        <v>0</v>
      </c>
      <c r="T352" s="147">
        <f t="shared" si="13"/>
        <v>0</v>
      </c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R352" s="148" t="s">
        <v>176</v>
      </c>
      <c r="AT352" s="148" t="s">
        <v>184</v>
      </c>
      <c r="AU352" s="148" t="s">
        <v>82</v>
      </c>
      <c r="AY352" s="18" t="s">
        <v>137</v>
      </c>
      <c r="BE352" s="149">
        <f t="shared" si="14"/>
        <v>0</v>
      </c>
      <c r="BF352" s="149">
        <f t="shared" si="15"/>
        <v>0</v>
      </c>
      <c r="BG352" s="149">
        <f t="shared" si="16"/>
        <v>0</v>
      </c>
      <c r="BH352" s="149">
        <f t="shared" si="17"/>
        <v>0</v>
      </c>
      <c r="BI352" s="149">
        <f t="shared" si="18"/>
        <v>0</v>
      </c>
      <c r="BJ352" s="18" t="s">
        <v>80</v>
      </c>
      <c r="BK352" s="149">
        <f t="shared" si="19"/>
        <v>0</v>
      </c>
      <c r="BL352" s="18" t="s">
        <v>144</v>
      </c>
      <c r="BM352" s="148" t="s">
        <v>373</v>
      </c>
    </row>
    <row r="353" spans="1:65" s="2" customFormat="1" ht="16.5" customHeight="1">
      <c r="A353" s="30"/>
      <c r="B353" s="137"/>
      <c r="C353" s="174">
        <v>64</v>
      </c>
      <c r="D353" s="174" t="s">
        <v>184</v>
      </c>
      <c r="E353" s="175" t="s">
        <v>374</v>
      </c>
      <c r="F353" s="176" t="s">
        <v>375</v>
      </c>
      <c r="G353" s="177" t="s">
        <v>242</v>
      </c>
      <c r="H353" s="178">
        <v>4.4000000000000004</v>
      </c>
      <c r="I353" s="320">
        <v>0</v>
      </c>
      <c r="J353" s="179">
        <f t="shared" si="10"/>
        <v>0</v>
      </c>
      <c r="K353" s="176" t="s">
        <v>148</v>
      </c>
      <c r="L353" s="209"/>
      <c r="M353" s="180" t="s">
        <v>1</v>
      </c>
      <c r="N353" s="181" t="s">
        <v>37</v>
      </c>
      <c r="O353" s="146">
        <v>0</v>
      </c>
      <c r="P353" s="146">
        <f t="shared" si="11"/>
        <v>0</v>
      </c>
      <c r="Q353" s="146">
        <v>0.08</v>
      </c>
      <c r="R353" s="146">
        <f t="shared" si="12"/>
        <v>0.35200000000000004</v>
      </c>
      <c r="S353" s="146">
        <v>0</v>
      </c>
      <c r="T353" s="147">
        <f t="shared" si="13"/>
        <v>0</v>
      </c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R353" s="148" t="s">
        <v>176</v>
      </c>
      <c r="AT353" s="148" t="s">
        <v>184</v>
      </c>
      <c r="AU353" s="148" t="s">
        <v>82</v>
      </c>
      <c r="AY353" s="18" t="s">
        <v>137</v>
      </c>
      <c r="BE353" s="149">
        <f t="shared" si="14"/>
        <v>0</v>
      </c>
      <c r="BF353" s="149">
        <f t="shared" si="15"/>
        <v>0</v>
      </c>
      <c r="BG353" s="149">
        <f t="shared" si="16"/>
        <v>0</v>
      </c>
      <c r="BH353" s="149">
        <f t="shared" si="17"/>
        <v>0</v>
      </c>
      <c r="BI353" s="149">
        <f t="shared" si="18"/>
        <v>0</v>
      </c>
      <c r="BJ353" s="18" t="s">
        <v>80</v>
      </c>
      <c r="BK353" s="149">
        <f t="shared" si="19"/>
        <v>0</v>
      </c>
      <c r="BL353" s="18" t="s">
        <v>144</v>
      </c>
      <c r="BM353" s="148" t="s">
        <v>376</v>
      </c>
    </row>
    <row r="354" spans="1:65" s="2" customFormat="1" ht="16.5" customHeight="1">
      <c r="A354" s="30"/>
      <c r="B354" s="137"/>
      <c r="C354" s="174">
        <v>65</v>
      </c>
      <c r="D354" s="174" t="s">
        <v>184</v>
      </c>
      <c r="E354" s="175" t="s">
        <v>377</v>
      </c>
      <c r="F354" s="176" t="s">
        <v>378</v>
      </c>
      <c r="G354" s="177" t="s">
        <v>242</v>
      </c>
      <c r="H354" s="178">
        <v>30</v>
      </c>
      <c r="I354" s="320">
        <v>0</v>
      </c>
      <c r="J354" s="179">
        <f t="shared" si="10"/>
        <v>0</v>
      </c>
      <c r="K354" s="176" t="s">
        <v>148</v>
      </c>
      <c r="L354" s="209"/>
      <c r="M354" s="180" t="s">
        <v>1</v>
      </c>
      <c r="N354" s="181" t="s">
        <v>37</v>
      </c>
      <c r="O354" s="146">
        <v>0</v>
      </c>
      <c r="P354" s="146">
        <f t="shared" si="11"/>
        <v>0</v>
      </c>
      <c r="Q354" s="146">
        <v>0.08</v>
      </c>
      <c r="R354" s="146">
        <f t="shared" si="12"/>
        <v>2.4</v>
      </c>
      <c r="S354" s="146">
        <v>0</v>
      </c>
      <c r="T354" s="147">
        <f t="shared" si="13"/>
        <v>0</v>
      </c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R354" s="148" t="s">
        <v>176</v>
      </c>
      <c r="AT354" s="148" t="s">
        <v>184</v>
      </c>
      <c r="AU354" s="148" t="s">
        <v>82</v>
      </c>
      <c r="AY354" s="18" t="s">
        <v>137</v>
      </c>
      <c r="BE354" s="149">
        <f t="shared" si="14"/>
        <v>0</v>
      </c>
      <c r="BF354" s="149">
        <f t="shared" si="15"/>
        <v>0</v>
      </c>
      <c r="BG354" s="149">
        <f t="shared" si="16"/>
        <v>0</v>
      </c>
      <c r="BH354" s="149">
        <f t="shared" si="17"/>
        <v>0</v>
      </c>
      <c r="BI354" s="149">
        <f t="shared" si="18"/>
        <v>0</v>
      </c>
      <c r="BJ354" s="18" t="s">
        <v>80</v>
      </c>
      <c r="BK354" s="149">
        <f t="shared" si="19"/>
        <v>0</v>
      </c>
      <c r="BL354" s="18" t="s">
        <v>144</v>
      </c>
      <c r="BM354" s="148" t="s">
        <v>379</v>
      </c>
    </row>
    <row r="355" spans="1:65" s="2" customFormat="1" ht="16.5" customHeight="1">
      <c r="A355" s="30"/>
      <c r="B355" s="137"/>
      <c r="C355" s="138">
        <v>66</v>
      </c>
      <c r="D355" s="138" t="s">
        <v>139</v>
      </c>
      <c r="E355" s="139" t="s">
        <v>380</v>
      </c>
      <c r="F355" s="140" t="s">
        <v>381</v>
      </c>
      <c r="G355" s="141" t="s">
        <v>242</v>
      </c>
      <c r="H355" s="142">
        <v>117.5</v>
      </c>
      <c r="I355" s="318">
        <v>0</v>
      </c>
      <c r="J355" s="143">
        <f t="shared" si="10"/>
        <v>0</v>
      </c>
      <c r="K355" s="140" t="s">
        <v>143</v>
      </c>
      <c r="L355" s="195"/>
      <c r="M355" s="144" t="s">
        <v>1</v>
      </c>
      <c r="N355" s="145" t="s">
        <v>37</v>
      </c>
      <c r="O355" s="146">
        <v>0.19600000000000001</v>
      </c>
      <c r="P355" s="146">
        <f t="shared" si="11"/>
        <v>23.03</v>
      </c>
      <c r="Q355" s="146">
        <v>0</v>
      </c>
      <c r="R355" s="146">
        <f t="shared" si="12"/>
        <v>0</v>
      </c>
      <c r="S355" s="146">
        <v>0</v>
      </c>
      <c r="T355" s="147">
        <f t="shared" si="13"/>
        <v>0</v>
      </c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  <c r="AE355" s="30"/>
      <c r="AR355" s="148" t="s">
        <v>144</v>
      </c>
      <c r="AT355" s="148" t="s">
        <v>139</v>
      </c>
      <c r="AU355" s="148" t="s">
        <v>82</v>
      </c>
      <c r="AY355" s="18" t="s">
        <v>137</v>
      </c>
      <c r="BE355" s="149">
        <f t="shared" si="14"/>
        <v>0</v>
      </c>
      <c r="BF355" s="149">
        <f t="shared" si="15"/>
        <v>0</v>
      </c>
      <c r="BG355" s="149">
        <f t="shared" si="16"/>
        <v>0</v>
      </c>
      <c r="BH355" s="149">
        <f t="shared" si="17"/>
        <v>0</v>
      </c>
      <c r="BI355" s="149">
        <f t="shared" si="18"/>
        <v>0</v>
      </c>
      <c r="BJ355" s="18" t="s">
        <v>80</v>
      </c>
      <c r="BK355" s="149">
        <f t="shared" si="19"/>
        <v>0</v>
      </c>
      <c r="BL355" s="18" t="s">
        <v>144</v>
      </c>
      <c r="BM355" s="148" t="s">
        <v>382</v>
      </c>
    </row>
    <row r="356" spans="1:65" s="2" customFormat="1" ht="16.5" customHeight="1">
      <c r="A356" s="30"/>
      <c r="B356" s="137"/>
      <c r="C356" s="138">
        <v>67</v>
      </c>
      <c r="D356" s="138" t="s">
        <v>139</v>
      </c>
      <c r="E356" s="139" t="s">
        <v>383</v>
      </c>
      <c r="F356" s="140" t="s">
        <v>384</v>
      </c>
      <c r="G356" s="141" t="s">
        <v>242</v>
      </c>
      <c r="H356" s="142">
        <v>18.5</v>
      </c>
      <c r="I356" s="318">
        <v>0</v>
      </c>
      <c r="J356" s="143">
        <f t="shared" si="10"/>
        <v>0</v>
      </c>
      <c r="K356" s="140" t="s">
        <v>148</v>
      </c>
      <c r="L356" s="195"/>
      <c r="M356" s="144" t="s">
        <v>1</v>
      </c>
      <c r="N356" s="145" t="s">
        <v>37</v>
      </c>
      <c r="O356" s="146">
        <v>0.94</v>
      </c>
      <c r="P356" s="146">
        <f t="shared" si="11"/>
        <v>17.39</v>
      </c>
      <c r="Q356" s="146">
        <v>0.25564999999999999</v>
      </c>
      <c r="R356" s="146">
        <f t="shared" si="12"/>
        <v>4.7295249999999998</v>
      </c>
      <c r="S356" s="146">
        <v>0</v>
      </c>
      <c r="T356" s="147">
        <f t="shared" si="13"/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48" t="s">
        <v>144</v>
      </c>
      <c r="AT356" s="148" t="s">
        <v>139</v>
      </c>
      <c r="AU356" s="148" t="s">
        <v>82</v>
      </c>
      <c r="AY356" s="18" t="s">
        <v>137</v>
      </c>
      <c r="BE356" s="149">
        <f t="shared" si="14"/>
        <v>0</v>
      </c>
      <c r="BF356" s="149">
        <f t="shared" si="15"/>
        <v>0</v>
      </c>
      <c r="BG356" s="149">
        <f t="shared" si="16"/>
        <v>0</v>
      </c>
      <c r="BH356" s="149">
        <f t="shared" si="17"/>
        <v>0</v>
      </c>
      <c r="BI356" s="149">
        <f t="shared" si="18"/>
        <v>0</v>
      </c>
      <c r="BJ356" s="18" t="s">
        <v>80</v>
      </c>
      <c r="BK356" s="149">
        <f t="shared" si="19"/>
        <v>0</v>
      </c>
      <c r="BL356" s="18" t="s">
        <v>144</v>
      </c>
      <c r="BM356" s="148" t="s">
        <v>385</v>
      </c>
    </row>
    <row r="357" spans="1:65" s="2" customFormat="1" ht="38.4">
      <c r="A357" s="30"/>
      <c r="B357" s="31"/>
      <c r="C357" s="30"/>
      <c r="D357" s="150" t="s">
        <v>150</v>
      </c>
      <c r="E357" s="30"/>
      <c r="F357" s="151" t="s">
        <v>386</v>
      </c>
      <c r="G357" s="30"/>
      <c r="H357" s="30"/>
      <c r="I357" s="30"/>
      <c r="J357" s="30"/>
      <c r="K357" s="30"/>
      <c r="L357" s="195"/>
      <c r="M357" s="152"/>
      <c r="N357" s="153"/>
      <c r="O357" s="56"/>
      <c r="P357" s="56"/>
      <c r="Q357" s="56"/>
      <c r="R357" s="56"/>
      <c r="S357" s="56"/>
      <c r="T357" s="57"/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T357" s="18" t="s">
        <v>150</v>
      </c>
      <c r="AU357" s="18" t="s">
        <v>82</v>
      </c>
    </row>
    <row r="358" spans="1:65" s="2" customFormat="1" ht="21.75" customHeight="1">
      <c r="A358" s="30"/>
      <c r="B358" s="137"/>
      <c r="C358" s="138">
        <v>68</v>
      </c>
      <c r="D358" s="138" t="s">
        <v>139</v>
      </c>
      <c r="E358" s="139" t="s">
        <v>387</v>
      </c>
      <c r="F358" s="140" t="s">
        <v>388</v>
      </c>
      <c r="G358" s="141" t="s">
        <v>142</v>
      </c>
      <c r="H358" s="142">
        <v>357.3</v>
      </c>
      <c r="I358" s="318">
        <v>0</v>
      </c>
      <c r="J358" s="143">
        <f>ROUND(I358*H358,2)</f>
        <v>0</v>
      </c>
      <c r="K358" s="140" t="s">
        <v>143</v>
      </c>
      <c r="L358" s="195"/>
      <c r="M358" s="144" t="s">
        <v>1</v>
      </c>
      <c r="N358" s="145" t="s">
        <v>37</v>
      </c>
      <c r="O358" s="146">
        <v>0.11</v>
      </c>
      <c r="P358" s="146">
        <f>O358*H358</f>
        <v>39.303000000000004</v>
      </c>
      <c r="Q358" s="146">
        <v>0</v>
      </c>
      <c r="R358" s="146">
        <f>Q358*H358</f>
        <v>0</v>
      </c>
      <c r="S358" s="146">
        <v>0</v>
      </c>
      <c r="T358" s="147">
        <f>S358*H358</f>
        <v>0</v>
      </c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R358" s="148" t="s">
        <v>144</v>
      </c>
      <c r="AT358" s="148" t="s">
        <v>139</v>
      </c>
      <c r="AU358" s="148" t="s">
        <v>82</v>
      </c>
      <c r="AY358" s="18" t="s">
        <v>137</v>
      </c>
      <c r="BE358" s="149">
        <f>IF(N358="základní",J358,0)</f>
        <v>0</v>
      </c>
      <c r="BF358" s="149">
        <f>IF(N358="snížená",J358,0)</f>
        <v>0</v>
      </c>
      <c r="BG358" s="149">
        <f>IF(N358="zákl. přenesená",J358,0)</f>
        <v>0</v>
      </c>
      <c r="BH358" s="149">
        <f>IF(N358="sníž. přenesená",J358,0)</f>
        <v>0</v>
      </c>
      <c r="BI358" s="149">
        <f>IF(N358="nulová",J358,0)</f>
        <v>0</v>
      </c>
      <c r="BJ358" s="18" t="s">
        <v>80</v>
      </c>
      <c r="BK358" s="149">
        <f>ROUND(I358*H358,2)</f>
        <v>0</v>
      </c>
      <c r="BL358" s="18" t="s">
        <v>144</v>
      </c>
      <c r="BM358" s="148" t="s">
        <v>389</v>
      </c>
    </row>
    <row r="359" spans="1:65" s="14" customFormat="1">
      <c r="B359" s="160"/>
      <c r="D359" s="150" t="s">
        <v>152</v>
      </c>
      <c r="E359" s="161" t="s">
        <v>1</v>
      </c>
      <c r="F359" s="162" t="s">
        <v>390</v>
      </c>
      <c r="H359" s="163">
        <v>125.55</v>
      </c>
      <c r="L359" s="160"/>
      <c r="M359" s="164"/>
      <c r="N359" s="165"/>
      <c r="O359" s="165"/>
      <c r="P359" s="165"/>
      <c r="Q359" s="165"/>
      <c r="R359" s="165"/>
      <c r="S359" s="165"/>
      <c r="T359" s="166"/>
      <c r="AT359" s="161" t="s">
        <v>152</v>
      </c>
      <c r="AU359" s="161" t="s">
        <v>82</v>
      </c>
      <c r="AV359" s="14" t="s">
        <v>82</v>
      </c>
      <c r="AW359" s="14" t="s">
        <v>28</v>
      </c>
      <c r="AX359" s="14" t="s">
        <v>72</v>
      </c>
      <c r="AY359" s="161" t="s">
        <v>137</v>
      </c>
    </row>
    <row r="360" spans="1:65" s="14" customFormat="1">
      <c r="B360" s="160"/>
      <c r="D360" s="150" t="s">
        <v>152</v>
      </c>
      <c r="E360" s="161" t="s">
        <v>1</v>
      </c>
      <c r="F360" s="162" t="s">
        <v>296</v>
      </c>
      <c r="H360" s="163">
        <v>231.75</v>
      </c>
      <c r="L360" s="160"/>
      <c r="M360" s="164"/>
      <c r="N360" s="165"/>
      <c r="O360" s="165"/>
      <c r="P360" s="165"/>
      <c r="Q360" s="165"/>
      <c r="R360" s="165"/>
      <c r="S360" s="165"/>
      <c r="T360" s="166"/>
      <c r="AT360" s="161" t="s">
        <v>152</v>
      </c>
      <c r="AU360" s="161" t="s">
        <v>82</v>
      </c>
      <c r="AV360" s="14" t="s">
        <v>82</v>
      </c>
      <c r="AW360" s="14" t="s">
        <v>28</v>
      </c>
      <c r="AX360" s="14" t="s">
        <v>72</v>
      </c>
      <c r="AY360" s="161" t="s">
        <v>137</v>
      </c>
    </row>
    <row r="361" spans="1:65" s="15" customFormat="1">
      <c r="B361" s="167"/>
      <c r="D361" s="150" t="s">
        <v>152</v>
      </c>
      <c r="E361" s="168" t="s">
        <v>1</v>
      </c>
      <c r="F361" s="169" t="s">
        <v>157</v>
      </c>
      <c r="H361" s="170">
        <v>357.3</v>
      </c>
      <c r="L361" s="167"/>
      <c r="M361" s="171"/>
      <c r="N361" s="172"/>
      <c r="O361" s="172"/>
      <c r="P361" s="172"/>
      <c r="Q361" s="172"/>
      <c r="R361" s="172"/>
      <c r="S361" s="172"/>
      <c r="T361" s="173"/>
      <c r="AT361" s="168" t="s">
        <v>152</v>
      </c>
      <c r="AU361" s="168" t="s">
        <v>82</v>
      </c>
      <c r="AV361" s="15" t="s">
        <v>144</v>
      </c>
      <c r="AW361" s="15" t="s">
        <v>28</v>
      </c>
      <c r="AX361" s="15" t="s">
        <v>80</v>
      </c>
      <c r="AY361" s="168" t="s">
        <v>137</v>
      </c>
    </row>
    <row r="362" spans="1:65" s="2" customFormat="1" ht="24.15" customHeight="1">
      <c r="A362" s="30"/>
      <c r="B362" s="137"/>
      <c r="C362" s="138">
        <v>69</v>
      </c>
      <c r="D362" s="138" t="s">
        <v>139</v>
      </c>
      <c r="E362" s="139" t="s">
        <v>391</v>
      </c>
      <c r="F362" s="140" t="s">
        <v>392</v>
      </c>
      <c r="G362" s="141" t="s">
        <v>142</v>
      </c>
      <c r="H362" s="142">
        <v>10719</v>
      </c>
      <c r="I362" s="318">
        <v>0</v>
      </c>
      <c r="J362" s="143">
        <f>ROUND(I362*H362,2)</f>
        <v>0</v>
      </c>
      <c r="K362" s="140" t="s">
        <v>143</v>
      </c>
      <c r="L362" s="195"/>
      <c r="M362" s="144" t="s">
        <v>1</v>
      </c>
      <c r="N362" s="145" t="s">
        <v>37</v>
      </c>
      <c r="O362" s="146">
        <v>0</v>
      </c>
      <c r="P362" s="146">
        <f>O362*H362</f>
        <v>0</v>
      </c>
      <c r="Q362" s="146">
        <v>0</v>
      </c>
      <c r="R362" s="146">
        <f>Q362*H362</f>
        <v>0</v>
      </c>
      <c r="S362" s="146">
        <v>0</v>
      </c>
      <c r="T362" s="147">
        <f>S362*H362</f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48" t="s">
        <v>144</v>
      </c>
      <c r="AT362" s="148" t="s">
        <v>139</v>
      </c>
      <c r="AU362" s="148" t="s">
        <v>82</v>
      </c>
      <c r="AY362" s="18" t="s">
        <v>137</v>
      </c>
      <c r="BE362" s="149">
        <f>IF(N362="základní",J362,0)</f>
        <v>0</v>
      </c>
      <c r="BF362" s="149">
        <f>IF(N362="snížená",J362,0)</f>
        <v>0</v>
      </c>
      <c r="BG362" s="149">
        <f>IF(N362="zákl. přenesená",J362,0)</f>
        <v>0</v>
      </c>
      <c r="BH362" s="149">
        <f>IF(N362="sníž. přenesená",J362,0)</f>
        <v>0</v>
      </c>
      <c r="BI362" s="149">
        <f>IF(N362="nulová",J362,0)</f>
        <v>0</v>
      </c>
      <c r="BJ362" s="18" t="s">
        <v>80</v>
      </c>
      <c r="BK362" s="149">
        <f>ROUND(I362*H362,2)</f>
        <v>0</v>
      </c>
      <c r="BL362" s="18" t="s">
        <v>144</v>
      </c>
      <c r="BM362" s="148" t="s">
        <v>393</v>
      </c>
    </row>
    <row r="363" spans="1:65" s="14" customFormat="1">
      <c r="B363" s="160"/>
      <c r="D363" s="150" t="s">
        <v>152</v>
      </c>
      <c r="F363" s="162" t="s">
        <v>394</v>
      </c>
      <c r="H363" s="163">
        <v>10719</v>
      </c>
      <c r="L363" s="195"/>
      <c r="M363" s="164"/>
      <c r="N363" s="165"/>
      <c r="O363" s="165"/>
      <c r="P363" s="165"/>
      <c r="Q363" s="165"/>
      <c r="R363" s="165"/>
      <c r="S363" s="165"/>
      <c r="T363" s="166"/>
      <c r="AT363" s="161" t="s">
        <v>152</v>
      </c>
      <c r="AU363" s="161" t="s">
        <v>82</v>
      </c>
      <c r="AV363" s="14" t="s">
        <v>82</v>
      </c>
      <c r="AW363" s="14" t="s">
        <v>3</v>
      </c>
      <c r="AX363" s="14" t="s">
        <v>80</v>
      </c>
      <c r="AY363" s="161" t="s">
        <v>137</v>
      </c>
    </row>
    <row r="364" spans="1:65" s="2" customFormat="1" ht="21.75" customHeight="1">
      <c r="A364" s="30"/>
      <c r="B364" s="137"/>
      <c r="C364" s="138">
        <v>70</v>
      </c>
      <c r="D364" s="138" t="s">
        <v>139</v>
      </c>
      <c r="E364" s="139" t="s">
        <v>395</v>
      </c>
      <c r="F364" s="140" t="s">
        <v>396</v>
      </c>
      <c r="G364" s="141" t="s">
        <v>142</v>
      </c>
      <c r="H364" s="142">
        <v>357.3</v>
      </c>
      <c r="I364" s="318">
        <v>0</v>
      </c>
      <c r="J364" s="143">
        <f>ROUND(I364*H364,2)</f>
        <v>0</v>
      </c>
      <c r="K364" s="140" t="s">
        <v>143</v>
      </c>
      <c r="L364" s="195"/>
      <c r="M364" s="144" t="s">
        <v>1</v>
      </c>
      <c r="N364" s="145" t="s">
        <v>37</v>
      </c>
      <c r="O364" s="146">
        <v>6.9000000000000006E-2</v>
      </c>
      <c r="P364" s="146">
        <f>O364*H364</f>
        <v>24.653700000000004</v>
      </c>
      <c r="Q364" s="146">
        <v>0</v>
      </c>
      <c r="R364" s="146">
        <f>Q364*H364</f>
        <v>0</v>
      </c>
      <c r="S364" s="146">
        <v>0</v>
      </c>
      <c r="T364" s="147">
        <f>S364*H364</f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48" t="s">
        <v>144</v>
      </c>
      <c r="AT364" s="148" t="s">
        <v>139</v>
      </c>
      <c r="AU364" s="148" t="s">
        <v>82</v>
      </c>
      <c r="AY364" s="18" t="s">
        <v>137</v>
      </c>
      <c r="BE364" s="149">
        <f>IF(N364="základní",J364,0)</f>
        <v>0</v>
      </c>
      <c r="BF364" s="149">
        <f>IF(N364="snížená",J364,0)</f>
        <v>0</v>
      </c>
      <c r="BG364" s="149">
        <f>IF(N364="zákl. přenesená",J364,0)</f>
        <v>0</v>
      </c>
      <c r="BH364" s="149">
        <f>IF(N364="sníž. přenesená",J364,0)</f>
        <v>0</v>
      </c>
      <c r="BI364" s="149">
        <f>IF(N364="nulová",J364,0)</f>
        <v>0</v>
      </c>
      <c r="BJ364" s="18" t="s">
        <v>80</v>
      </c>
      <c r="BK364" s="149">
        <f>ROUND(I364*H364,2)</f>
        <v>0</v>
      </c>
      <c r="BL364" s="18" t="s">
        <v>144</v>
      </c>
      <c r="BM364" s="148" t="s">
        <v>397</v>
      </c>
    </row>
    <row r="365" spans="1:65" s="14" customFormat="1">
      <c r="B365" s="160"/>
      <c r="D365" s="150" t="s">
        <v>152</v>
      </c>
      <c r="E365" s="161" t="s">
        <v>1</v>
      </c>
      <c r="F365" s="162" t="s">
        <v>390</v>
      </c>
      <c r="H365" s="163">
        <v>125.55</v>
      </c>
      <c r="L365" s="195"/>
      <c r="M365" s="164"/>
      <c r="N365" s="165"/>
      <c r="O365" s="165"/>
      <c r="P365" s="165"/>
      <c r="Q365" s="165"/>
      <c r="R365" s="165"/>
      <c r="S365" s="165"/>
      <c r="T365" s="166"/>
      <c r="AT365" s="161" t="s">
        <v>152</v>
      </c>
      <c r="AU365" s="161" t="s">
        <v>82</v>
      </c>
      <c r="AV365" s="14" t="s">
        <v>82</v>
      </c>
      <c r="AW365" s="14" t="s">
        <v>28</v>
      </c>
      <c r="AX365" s="14" t="s">
        <v>72</v>
      </c>
      <c r="AY365" s="161" t="s">
        <v>137</v>
      </c>
    </row>
    <row r="366" spans="1:65" s="14" customFormat="1">
      <c r="B366" s="160"/>
      <c r="D366" s="150" t="s">
        <v>152</v>
      </c>
      <c r="E366" s="161" t="s">
        <v>1</v>
      </c>
      <c r="F366" s="162" t="s">
        <v>296</v>
      </c>
      <c r="H366" s="163">
        <v>231.75</v>
      </c>
      <c r="L366" s="195"/>
      <c r="M366" s="164"/>
      <c r="N366" s="165"/>
      <c r="O366" s="165"/>
      <c r="P366" s="165"/>
      <c r="Q366" s="165"/>
      <c r="R366" s="165"/>
      <c r="S366" s="165"/>
      <c r="T366" s="166"/>
      <c r="AT366" s="161" t="s">
        <v>152</v>
      </c>
      <c r="AU366" s="161" t="s">
        <v>82</v>
      </c>
      <c r="AV366" s="14" t="s">
        <v>82</v>
      </c>
      <c r="AW366" s="14" t="s">
        <v>28</v>
      </c>
      <c r="AX366" s="14" t="s">
        <v>72</v>
      </c>
      <c r="AY366" s="161" t="s">
        <v>137</v>
      </c>
    </row>
    <row r="367" spans="1:65" s="15" customFormat="1">
      <c r="B367" s="167"/>
      <c r="D367" s="150" t="s">
        <v>152</v>
      </c>
      <c r="E367" s="168" t="s">
        <v>1</v>
      </c>
      <c r="F367" s="169" t="s">
        <v>157</v>
      </c>
      <c r="H367" s="170">
        <v>357.3</v>
      </c>
      <c r="L367" s="195"/>
      <c r="M367" s="171"/>
      <c r="N367" s="172"/>
      <c r="O367" s="172"/>
      <c r="P367" s="172"/>
      <c r="Q367" s="172"/>
      <c r="R367" s="172"/>
      <c r="S367" s="172"/>
      <c r="T367" s="173"/>
      <c r="AT367" s="168" t="s">
        <v>152</v>
      </c>
      <c r="AU367" s="168" t="s">
        <v>82</v>
      </c>
      <c r="AV367" s="15" t="s">
        <v>144</v>
      </c>
      <c r="AW367" s="15" t="s">
        <v>28</v>
      </c>
      <c r="AX367" s="15" t="s">
        <v>80</v>
      </c>
      <c r="AY367" s="168" t="s">
        <v>137</v>
      </c>
    </row>
    <row r="368" spans="1:65" s="2" customFormat="1" ht="16.5" customHeight="1">
      <c r="A368" s="30"/>
      <c r="B368" s="137"/>
      <c r="C368" s="138">
        <v>71</v>
      </c>
      <c r="D368" s="138" t="s">
        <v>139</v>
      </c>
      <c r="E368" s="139" t="s">
        <v>398</v>
      </c>
      <c r="F368" s="140" t="s">
        <v>399</v>
      </c>
      <c r="G368" s="141" t="s">
        <v>142</v>
      </c>
      <c r="H368" s="142">
        <v>125.55</v>
      </c>
      <c r="I368" s="318">
        <v>0</v>
      </c>
      <c r="J368" s="143">
        <f>ROUND(I368*H368,2)</f>
        <v>0</v>
      </c>
      <c r="K368" s="140" t="s">
        <v>143</v>
      </c>
      <c r="L368" s="195"/>
      <c r="M368" s="144" t="s">
        <v>1</v>
      </c>
      <c r="N368" s="145" t="s">
        <v>37</v>
      </c>
      <c r="O368" s="146">
        <v>4.9000000000000002E-2</v>
      </c>
      <c r="P368" s="146">
        <f>O368*H368</f>
        <v>6.1519500000000003</v>
      </c>
      <c r="Q368" s="146">
        <v>0</v>
      </c>
      <c r="R368" s="146">
        <f>Q368*H368</f>
        <v>0</v>
      </c>
      <c r="S368" s="146">
        <v>0</v>
      </c>
      <c r="T368" s="147">
        <f>S368*H368</f>
        <v>0</v>
      </c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R368" s="148" t="s">
        <v>144</v>
      </c>
      <c r="AT368" s="148" t="s">
        <v>139</v>
      </c>
      <c r="AU368" s="148" t="s">
        <v>82</v>
      </c>
      <c r="AY368" s="18" t="s">
        <v>137</v>
      </c>
      <c r="BE368" s="149">
        <f>IF(N368="základní",J368,0)</f>
        <v>0</v>
      </c>
      <c r="BF368" s="149">
        <f>IF(N368="snížená",J368,0)</f>
        <v>0</v>
      </c>
      <c r="BG368" s="149">
        <f>IF(N368="zákl. přenesená",J368,0)</f>
        <v>0</v>
      </c>
      <c r="BH368" s="149">
        <f>IF(N368="sníž. přenesená",J368,0)</f>
        <v>0</v>
      </c>
      <c r="BI368" s="149">
        <f>IF(N368="nulová",J368,0)</f>
        <v>0</v>
      </c>
      <c r="BJ368" s="18" t="s">
        <v>80</v>
      </c>
      <c r="BK368" s="149">
        <f>ROUND(I368*H368,2)</f>
        <v>0</v>
      </c>
      <c r="BL368" s="18" t="s">
        <v>144</v>
      </c>
      <c r="BM368" s="148" t="s">
        <v>400</v>
      </c>
    </row>
    <row r="369" spans="1:65" s="14" customFormat="1">
      <c r="B369" s="160"/>
      <c r="D369" s="150" t="s">
        <v>152</v>
      </c>
      <c r="E369" s="161" t="s">
        <v>1</v>
      </c>
      <c r="F369" s="162" t="s">
        <v>390</v>
      </c>
      <c r="H369" s="163">
        <v>125.55</v>
      </c>
      <c r="L369" s="195"/>
      <c r="M369" s="164"/>
      <c r="N369" s="165"/>
      <c r="O369" s="165"/>
      <c r="P369" s="165"/>
      <c r="Q369" s="165"/>
      <c r="R369" s="165"/>
      <c r="S369" s="165"/>
      <c r="T369" s="166"/>
      <c r="AT369" s="161" t="s">
        <v>152</v>
      </c>
      <c r="AU369" s="161" t="s">
        <v>82</v>
      </c>
      <c r="AV369" s="14" t="s">
        <v>82</v>
      </c>
      <c r="AW369" s="14" t="s">
        <v>28</v>
      </c>
      <c r="AX369" s="14" t="s">
        <v>72</v>
      </c>
      <c r="AY369" s="161" t="s">
        <v>137</v>
      </c>
    </row>
    <row r="370" spans="1:65" s="15" customFormat="1">
      <c r="B370" s="167"/>
      <c r="D370" s="150" t="s">
        <v>152</v>
      </c>
      <c r="E370" s="168" t="s">
        <v>1</v>
      </c>
      <c r="F370" s="169" t="s">
        <v>157</v>
      </c>
      <c r="H370" s="170">
        <v>125.55</v>
      </c>
      <c r="L370" s="195"/>
      <c r="M370" s="171"/>
      <c r="N370" s="172"/>
      <c r="O370" s="172"/>
      <c r="P370" s="172"/>
      <c r="Q370" s="172"/>
      <c r="R370" s="172"/>
      <c r="S370" s="172"/>
      <c r="T370" s="173"/>
      <c r="AT370" s="168" t="s">
        <v>152</v>
      </c>
      <c r="AU370" s="168" t="s">
        <v>82</v>
      </c>
      <c r="AV370" s="15" t="s">
        <v>144</v>
      </c>
      <c r="AW370" s="15" t="s">
        <v>28</v>
      </c>
      <c r="AX370" s="15" t="s">
        <v>80</v>
      </c>
      <c r="AY370" s="168" t="s">
        <v>137</v>
      </c>
    </row>
    <row r="371" spans="1:65" s="2" customFormat="1" ht="16.5" customHeight="1">
      <c r="A371" s="30"/>
      <c r="B371" s="137"/>
      <c r="C371" s="138">
        <v>72</v>
      </c>
      <c r="D371" s="138" t="s">
        <v>139</v>
      </c>
      <c r="E371" s="139" t="s">
        <v>401</v>
      </c>
      <c r="F371" s="140" t="s">
        <v>402</v>
      </c>
      <c r="G371" s="141" t="s">
        <v>142</v>
      </c>
      <c r="H371" s="142">
        <v>3766.5</v>
      </c>
      <c r="I371" s="318">
        <v>0</v>
      </c>
      <c r="J371" s="143">
        <f>ROUND(I371*H371,2)</f>
        <v>0</v>
      </c>
      <c r="K371" s="140" t="s">
        <v>143</v>
      </c>
      <c r="L371" s="195"/>
      <c r="M371" s="144" t="s">
        <v>1</v>
      </c>
      <c r="N371" s="145" t="s">
        <v>37</v>
      </c>
      <c r="O371" s="146">
        <v>0</v>
      </c>
      <c r="P371" s="146">
        <f>O371*H371</f>
        <v>0</v>
      </c>
      <c r="Q371" s="146">
        <v>0</v>
      </c>
      <c r="R371" s="146">
        <f>Q371*H371</f>
        <v>0</v>
      </c>
      <c r="S371" s="146">
        <v>0</v>
      </c>
      <c r="T371" s="147">
        <f>S371*H371</f>
        <v>0</v>
      </c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R371" s="148" t="s">
        <v>144</v>
      </c>
      <c r="AT371" s="148" t="s">
        <v>139</v>
      </c>
      <c r="AU371" s="148" t="s">
        <v>82</v>
      </c>
      <c r="AY371" s="18" t="s">
        <v>137</v>
      </c>
      <c r="BE371" s="149">
        <f>IF(N371="základní",J371,0)</f>
        <v>0</v>
      </c>
      <c r="BF371" s="149">
        <f>IF(N371="snížená",J371,0)</f>
        <v>0</v>
      </c>
      <c r="BG371" s="149">
        <f>IF(N371="zákl. přenesená",J371,0)</f>
        <v>0</v>
      </c>
      <c r="BH371" s="149">
        <f>IF(N371="sníž. přenesená",J371,0)</f>
        <v>0</v>
      </c>
      <c r="BI371" s="149">
        <f>IF(N371="nulová",J371,0)</f>
        <v>0</v>
      </c>
      <c r="BJ371" s="18" t="s">
        <v>80</v>
      </c>
      <c r="BK371" s="149">
        <f>ROUND(I371*H371,2)</f>
        <v>0</v>
      </c>
      <c r="BL371" s="18" t="s">
        <v>144</v>
      </c>
      <c r="BM371" s="148" t="s">
        <v>403</v>
      </c>
    </row>
    <row r="372" spans="1:65" s="14" customFormat="1">
      <c r="B372" s="160"/>
      <c r="D372" s="150" t="s">
        <v>152</v>
      </c>
      <c r="F372" s="162" t="s">
        <v>404</v>
      </c>
      <c r="H372" s="163">
        <v>3766.5</v>
      </c>
      <c r="L372" s="195"/>
      <c r="M372" s="164"/>
      <c r="N372" s="165"/>
      <c r="O372" s="165"/>
      <c r="P372" s="165"/>
      <c r="Q372" s="165"/>
      <c r="R372" s="165"/>
      <c r="S372" s="165"/>
      <c r="T372" s="166"/>
      <c r="AT372" s="161" t="s">
        <v>152</v>
      </c>
      <c r="AU372" s="161" t="s">
        <v>82</v>
      </c>
      <c r="AV372" s="14" t="s">
        <v>82</v>
      </c>
      <c r="AW372" s="14" t="s">
        <v>3</v>
      </c>
      <c r="AX372" s="14" t="s">
        <v>80</v>
      </c>
      <c r="AY372" s="161" t="s">
        <v>137</v>
      </c>
    </row>
    <row r="373" spans="1:65" s="2" customFormat="1" ht="16.5" customHeight="1">
      <c r="A373" s="30"/>
      <c r="B373" s="137"/>
      <c r="C373" s="138">
        <v>73</v>
      </c>
      <c r="D373" s="138" t="s">
        <v>139</v>
      </c>
      <c r="E373" s="139" t="s">
        <v>405</v>
      </c>
      <c r="F373" s="140" t="s">
        <v>406</v>
      </c>
      <c r="G373" s="141" t="s">
        <v>142</v>
      </c>
      <c r="H373" s="142">
        <v>125.55</v>
      </c>
      <c r="I373" s="318">
        <v>0</v>
      </c>
      <c r="J373" s="143">
        <f>ROUND(I373*H373,2)</f>
        <v>0</v>
      </c>
      <c r="K373" s="140" t="s">
        <v>143</v>
      </c>
      <c r="L373" s="195"/>
      <c r="M373" s="144" t="s">
        <v>1</v>
      </c>
      <c r="N373" s="145" t="s">
        <v>37</v>
      </c>
      <c r="O373" s="146">
        <v>3.3000000000000002E-2</v>
      </c>
      <c r="P373" s="146">
        <f>O373*H373</f>
        <v>4.1431500000000003</v>
      </c>
      <c r="Q373" s="146">
        <v>0</v>
      </c>
      <c r="R373" s="146">
        <f>Q373*H373</f>
        <v>0</v>
      </c>
      <c r="S373" s="146">
        <v>0</v>
      </c>
      <c r="T373" s="147">
        <f>S373*H373</f>
        <v>0</v>
      </c>
      <c r="U373" s="30"/>
      <c r="V373" s="30"/>
      <c r="W373" s="30"/>
      <c r="X373" s="30"/>
      <c r="Y373" s="30"/>
      <c r="Z373" s="30"/>
      <c r="AA373" s="30"/>
      <c r="AB373" s="30"/>
      <c r="AC373" s="30"/>
      <c r="AD373" s="30"/>
      <c r="AE373" s="30"/>
      <c r="AR373" s="148" t="s">
        <v>144</v>
      </c>
      <c r="AT373" s="148" t="s">
        <v>139</v>
      </c>
      <c r="AU373" s="148" t="s">
        <v>82</v>
      </c>
      <c r="AY373" s="18" t="s">
        <v>137</v>
      </c>
      <c r="BE373" s="149">
        <f>IF(N373="základní",J373,0)</f>
        <v>0</v>
      </c>
      <c r="BF373" s="149">
        <f>IF(N373="snížená",J373,0)</f>
        <v>0</v>
      </c>
      <c r="BG373" s="149">
        <f>IF(N373="zákl. přenesená",J373,0)</f>
        <v>0</v>
      </c>
      <c r="BH373" s="149">
        <f>IF(N373="sníž. přenesená",J373,0)</f>
        <v>0</v>
      </c>
      <c r="BI373" s="149">
        <f>IF(N373="nulová",J373,0)</f>
        <v>0</v>
      </c>
      <c r="BJ373" s="18" t="s">
        <v>80</v>
      </c>
      <c r="BK373" s="149">
        <f>ROUND(I373*H373,2)</f>
        <v>0</v>
      </c>
      <c r="BL373" s="18" t="s">
        <v>144</v>
      </c>
      <c r="BM373" s="148" t="s">
        <v>407</v>
      </c>
    </row>
    <row r="374" spans="1:65" s="14" customFormat="1">
      <c r="B374" s="160"/>
      <c r="D374" s="150" t="s">
        <v>152</v>
      </c>
      <c r="E374" s="161" t="s">
        <v>1</v>
      </c>
      <c r="F374" s="162" t="s">
        <v>390</v>
      </c>
      <c r="H374" s="163">
        <v>125.55</v>
      </c>
      <c r="L374" s="195"/>
      <c r="M374" s="164"/>
      <c r="N374" s="165"/>
      <c r="O374" s="165"/>
      <c r="P374" s="165"/>
      <c r="Q374" s="165"/>
      <c r="R374" s="165"/>
      <c r="S374" s="165"/>
      <c r="T374" s="166"/>
      <c r="AT374" s="161" t="s">
        <v>152</v>
      </c>
      <c r="AU374" s="161" t="s">
        <v>82</v>
      </c>
      <c r="AV374" s="14" t="s">
        <v>82</v>
      </c>
      <c r="AW374" s="14" t="s">
        <v>28</v>
      </c>
      <c r="AX374" s="14" t="s">
        <v>72</v>
      </c>
      <c r="AY374" s="161" t="s">
        <v>137</v>
      </c>
    </row>
    <row r="375" spans="1:65" s="15" customFormat="1">
      <c r="B375" s="167"/>
      <c r="D375" s="150" t="s">
        <v>152</v>
      </c>
      <c r="E375" s="168" t="s">
        <v>1</v>
      </c>
      <c r="F375" s="169" t="s">
        <v>157</v>
      </c>
      <c r="H375" s="170">
        <v>125.55</v>
      </c>
      <c r="L375" s="195"/>
      <c r="M375" s="171"/>
      <c r="N375" s="172"/>
      <c r="O375" s="172"/>
      <c r="P375" s="172"/>
      <c r="Q375" s="172"/>
      <c r="R375" s="172"/>
      <c r="S375" s="172"/>
      <c r="T375" s="173"/>
      <c r="AT375" s="168" t="s">
        <v>152</v>
      </c>
      <c r="AU375" s="168" t="s">
        <v>82</v>
      </c>
      <c r="AV375" s="15" t="s">
        <v>144</v>
      </c>
      <c r="AW375" s="15" t="s">
        <v>28</v>
      </c>
      <c r="AX375" s="15" t="s">
        <v>80</v>
      </c>
      <c r="AY375" s="168" t="s">
        <v>137</v>
      </c>
    </row>
    <row r="376" spans="1:65" s="2" customFormat="1" ht="21.75" customHeight="1">
      <c r="A376" s="30"/>
      <c r="B376" s="137"/>
      <c r="C376" s="138">
        <v>74</v>
      </c>
      <c r="D376" s="138" t="s">
        <v>139</v>
      </c>
      <c r="E376" s="139" t="s">
        <v>408</v>
      </c>
      <c r="F376" s="140" t="s">
        <v>409</v>
      </c>
      <c r="G376" s="141" t="s">
        <v>142</v>
      </c>
      <c r="H376" s="142">
        <v>30.35</v>
      </c>
      <c r="I376" s="318">
        <v>0</v>
      </c>
      <c r="J376" s="143">
        <f>ROUND(I376*H376,2)</f>
        <v>0</v>
      </c>
      <c r="K376" s="140" t="s">
        <v>143</v>
      </c>
      <c r="L376" s="195"/>
      <c r="M376" s="144" t="s">
        <v>1</v>
      </c>
      <c r="N376" s="145" t="s">
        <v>37</v>
      </c>
      <c r="O376" s="146">
        <v>0.105</v>
      </c>
      <c r="P376" s="146">
        <f>O376*H376</f>
        <v>3.18675</v>
      </c>
      <c r="Q376" s="146">
        <v>1.2999999999999999E-4</v>
      </c>
      <c r="R376" s="146">
        <f>Q376*H376</f>
        <v>3.9455000000000002E-3</v>
      </c>
      <c r="S376" s="146">
        <v>0</v>
      </c>
      <c r="T376" s="147">
        <f>S376*H376</f>
        <v>0</v>
      </c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R376" s="148" t="s">
        <v>144</v>
      </c>
      <c r="AT376" s="148" t="s">
        <v>139</v>
      </c>
      <c r="AU376" s="148" t="s">
        <v>82</v>
      </c>
      <c r="AY376" s="18" t="s">
        <v>137</v>
      </c>
      <c r="BE376" s="149">
        <f>IF(N376="základní",J376,0)</f>
        <v>0</v>
      </c>
      <c r="BF376" s="149">
        <f>IF(N376="snížená",J376,0)</f>
        <v>0</v>
      </c>
      <c r="BG376" s="149">
        <f>IF(N376="zákl. přenesená",J376,0)</f>
        <v>0</v>
      </c>
      <c r="BH376" s="149">
        <f>IF(N376="sníž. přenesená",J376,0)</f>
        <v>0</v>
      </c>
      <c r="BI376" s="149">
        <f>IF(N376="nulová",J376,0)</f>
        <v>0</v>
      </c>
      <c r="BJ376" s="18" t="s">
        <v>80</v>
      </c>
      <c r="BK376" s="149">
        <f>ROUND(I376*H376,2)</f>
        <v>0</v>
      </c>
      <c r="BL376" s="18" t="s">
        <v>144</v>
      </c>
      <c r="BM376" s="148" t="s">
        <v>410</v>
      </c>
    </row>
    <row r="377" spans="1:65" s="13" customFormat="1">
      <c r="B377" s="154"/>
      <c r="D377" s="150" t="s">
        <v>152</v>
      </c>
      <c r="E377" s="155" t="s">
        <v>1</v>
      </c>
      <c r="F377" s="156" t="s">
        <v>411</v>
      </c>
      <c r="H377" s="155" t="s">
        <v>1</v>
      </c>
      <c r="L377" s="195"/>
      <c r="M377" s="157"/>
      <c r="N377" s="158"/>
      <c r="O377" s="158"/>
      <c r="P377" s="158"/>
      <c r="Q377" s="158"/>
      <c r="R377" s="158"/>
      <c r="S377" s="158"/>
      <c r="T377" s="159"/>
      <c r="AT377" s="155" t="s">
        <v>152</v>
      </c>
      <c r="AU377" s="155" t="s">
        <v>82</v>
      </c>
      <c r="AV377" s="13" t="s">
        <v>80</v>
      </c>
      <c r="AW377" s="13" t="s">
        <v>28</v>
      </c>
      <c r="AX377" s="13" t="s">
        <v>72</v>
      </c>
      <c r="AY377" s="155" t="s">
        <v>137</v>
      </c>
    </row>
    <row r="378" spans="1:65" s="14" customFormat="1">
      <c r="B378" s="160"/>
      <c r="D378" s="150" t="s">
        <v>152</v>
      </c>
      <c r="E378" s="161" t="s">
        <v>1</v>
      </c>
      <c r="F378" s="162" t="s">
        <v>412</v>
      </c>
      <c r="H378" s="163">
        <v>30.35</v>
      </c>
      <c r="L378" s="195"/>
      <c r="M378" s="164"/>
      <c r="N378" s="165"/>
      <c r="O378" s="165"/>
      <c r="P378" s="165"/>
      <c r="Q378" s="165"/>
      <c r="R378" s="165"/>
      <c r="S378" s="165"/>
      <c r="T378" s="166"/>
      <c r="AT378" s="161" t="s">
        <v>152</v>
      </c>
      <c r="AU378" s="161" t="s">
        <v>82</v>
      </c>
      <c r="AV378" s="14" t="s">
        <v>82</v>
      </c>
      <c r="AW378" s="14" t="s">
        <v>28</v>
      </c>
      <c r="AX378" s="14" t="s">
        <v>72</v>
      </c>
      <c r="AY378" s="161" t="s">
        <v>137</v>
      </c>
    </row>
    <row r="379" spans="1:65" s="15" customFormat="1">
      <c r="B379" s="167"/>
      <c r="D379" s="150" t="s">
        <v>152</v>
      </c>
      <c r="E379" s="168" t="s">
        <v>1</v>
      </c>
      <c r="F379" s="169" t="s">
        <v>157</v>
      </c>
      <c r="H379" s="170">
        <v>30.35</v>
      </c>
      <c r="L379" s="195"/>
      <c r="M379" s="171"/>
      <c r="N379" s="172"/>
      <c r="O379" s="172"/>
      <c r="P379" s="172"/>
      <c r="Q379" s="172"/>
      <c r="R379" s="172"/>
      <c r="S379" s="172"/>
      <c r="T379" s="173"/>
      <c r="AT379" s="168" t="s">
        <v>152</v>
      </c>
      <c r="AU379" s="168" t="s">
        <v>82</v>
      </c>
      <c r="AV379" s="15" t="s">
        <v>144</v>
      </c>
      <c r="AW379" s="15" t="s">
        <v>28</v>
      </c>
      <c r="AX379" s="15" t="s">
        <v>80</v>
      </c>
      <c r="AY379" s="168" t="s">
        <v>137</v>
      </c>
    </row>
    <row r="380" spans="1:65" s="2" customFormat="1" ht="24.15" customHeight="1">
      <c r="A380" s="30"/>
      <c r="B380" s="137"/>
      <c r="C380" s="138">
        <v>75</v>
      </c>
      <c r="D380" s="138" t="s">
        <v>139</v>
      </c>
      <c r="E380" s="139" t="s">
        <v>413</v>
      </c>
      <c r="F380" s="140" t="s">
        <v>414</v>
      </c>
      <c r="G380" s="141" t="s">
        <v>142</v>
      </c>
      <c r="H380" s="142">
        <v>376.42500000000001</v>
      </c>
      <c r="I380" s="318">
        <v>0</v>
      </c>
      <c r="J380" s="143">
        <f>ROUND(I380*H380,2)</f>
        <v>0</v>
      </c>
      <c r="K380" s="140" t="s">
        <v>143</v>
      </c>
      <c r="L380" s="195"/>
      <c r="M380" s="144" t="s">
        <v>1</v>
      </c>
      <c r="N380" s="145" t="s">
        <v>37</v>
      </c>
      <c r="O380" s="146">
        <v>0.126</v>
      </c>
      <c r="P380" s="146">
        <f>O380*H380</f>
        <v>47.429549999999999</v>
      </c>
      <c r="Q380" s="146">
        <v>2.1000000000000001E-4</v>
      </c>
      <c r="R380" s="146">
        <f>Q380*H380</f>
        <v>7.9049250000000001E-2</v>
      </c>
      <c r="S380" s="146">
        <v>0</v>
      </c>
      <c r="T380" s="147">
        <f>S380*H380</f>
        <v>0</v>
      </c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R380" s="148" t="s">
        <v>144</v>
      </c>
      <c r="AT380" s="148" t="s">
        <v>139</v>
      </c>
      <c r="AU380" s="148" t="s">
        <v>82</v>
      </c>
      <c r="AY380" s="18" t="s">
        <v>137</v>
      </c>
      <c r="BE380" s="149">
        <f>IF(N380="základní",J380,0)</f>
        <v>0</v>
      </c>
      <c r="BF380" s="149">
        <f>IF(N380="snížená",J380,0)</f>
        <v>0</v>
      </c>
      <c r="BG380" s="149">
        <f>IF(N380="zákl. přenesená",J380,0)</f>
        <v>0</v>
      </c>
      <c r="BH380" s="149">
        <f>IF(N380="sníž. přenesená",J380,0)</f>
        <v>0</v>
      </c>
      <c r="BI380" s="149">
        <f>IF(N380="nulová",J380,0)</f>
        <v>0</v>
      </c>
      <c r="BJ380" s="18" t="s">
        <v>80</v>
      </c>
      <c r="BK380" s="149">
        <f>ROUND(I380*H380,2)</f>
        <v>0</v>
      </c>
      <c r="BL380" s="18" t="s">
        <v>144</v>
      </c>
      <c r="BM380" s="148" t="s">
        <v>415</v>
      </c>
    </row>
    <row r="381" spans="1:65" s="14" customFormat="1">
      <c r="B381" s="160"/>
      <c r="D381" s="150" t="s">
        <v>152</v>
      </c>
      <c r="E381" s="161" t="s">
        <v>1</v>
      </c>
      <c r="F381" s="162" t="s">
        <v>264</v>
      </c>
      <c r="H381" s="163">
        <v>376.42500000000001</v>
      </c>
      <c r="L381" s="195"/>
      <c r="M381" s="164"/>
      <c r="N381" s="165"/>
      <c r="O381" s="165"/>
      <c r="P381" s="165"/>
      <c r="Q381" s="165"/>
      <c r="R381" s="165"/>
      <c r="S381" s="165"/>
      <c r="T381" s="166"/>
      <c r="AT381" s="161" t="s">
        <v>152</v>
      </c>
      <c r="AU381" s="161" t="s">
        <v>82</v>
      </c>
      <c r="AV381" s="14" t="s">
        <v>82</v>
      </c>
      <c r="AW381" s="14" t="s">
        <v>28</v>
      </c>
      <c r="AX381" s="14" t="s">
        <v>72</v>
      </c>
      <c r="AY381" s="161" t="s">
        <v>137</v>
      </c>
    </row>
    <row r="382" spans="1:65" s="15" customFormat="1">
      <c r="B382" s="167"/>
      <c r="D382" s="150" t="s">
        <v>152</v>
      </c>
      <c r="E382" s="168" t="s">
        <v>1</v>
      </c>
      <c r="F382" s="169" t="s">
        <v>157</v>
      </c>
      <c r="H382" s="170">
        <v>376.42500000000001</v>
      </c>
      <c r="L382" s="195"/>
      <c r="M382" s="171"/>
      <c r="N382" s="172"/>
      <c r="O382" s="172"/>
      <c r="P382" s="172"/>
      <c r="Q382" s="172"/>
      <c r="R382" s="172"/>
      <c r="S382" s="172"/>
      <c r="T382" s="173"/>
      <c r="AT382" s="168" t="s">
        <v>152</v>
      </c>
      <c r="AU382" s="168" t="s">
        <v>82</v>
      </c>
      <c r="AV382" s="15" t="s">
        <v>144</v>
      </c>
      <c r="AW382" s="15" t="s">
        <v>28</v>
      </c>
      <c r="AX382" s="15" t="s">
        <v>80</v>
      </c>
      <c r="AY382" s="168" t="s">
        <v>137</v>
      </c>
    </row>
    <row r="383" spans="1:65" s="2" customFormat="1" ht="16.5" customHeight="1">
      <c r="A383" s="30"/>
      <c r="B383" s="137"/>
      <c r="C383" s="138">
        <v>76</v>
      </c>
      <c r="D383" s="138" t="s">
        <v>139</v>
      </c>
      <c r="E383" s="139" t="s">
        <v>416</v>
      </c>
      <c r="F383" s="140" t="s">
        <v>417</v>
      </c>
      <c r="G383" s="141" t="s">
        <v>142</v>
      </c>
      <c r="H383" s="142">
        <v>4.5</v>
      </c>
      <c r="I383" s="318">
        <v>0</v>
      </c>
      <c r="J383" s="143">
        <f>ROUND(I383*H383,2)</f>
        <v>0</v>
      </c>
      <c r="K383" s="140" t="s">
        <v>143</v>
      </c>
      <c r="L383" s="195"/>
      <c r="M383" s="144" t="s">
        <v>1</v>
      </c>
      <c r="N383" s="145" t="s">
        <v>37</v>
      </c>
      <c r="O383" s="146">
        <v>0.28399999999999997</v>
      </c>
      <c r="P383" s="146">
        <f>O383*H383</f>
        <v>1.2779999999999998</v>
      </c>
      <c r="Q383" s="146">
        <v>0</v>
      </c>
      <c r="R383" s="146">
        <f>Q383*H383</f>
        <v>0</v>
      </c>
      <c r="S383" s="146">
        <v>0.26100000000000001</v>
      </c>
      <c r="T383" s="147">
        <f>S383*H383</f>
        <v>1.1745000000000001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148" t="s">
        <v>144</v>
      </c>
      <c r="AT383" s="148" t="s">
        <v>139</v>
      </c>
      <c r="AU383" s="148" t="s">
        <v>82</v>
      </c>
      <c r="AY383" s="18" t="s">
        <v>137</v>
      </c>
      <c r="BE383" s="149">
        <f>IF(N383="základní",J383,0)</f>
        <v>0</v>
      </c>
      <c r="BF383" s="149">
        <f>IF(N383="snížená",J383,0)</f>
        <v>0</v>
      </c>
      <c r="BG383" s="149">
        <f>IF(N383="zákl. přenesená",J383,0)</f>
        <v>0</v>
      </c>
      <c r="BH383" s="149">
        <f>IF(N383="sníž. přenesená",J383,0)</f>
        <v>0</v>
      </c>
      <c r="BI383" s="149">
        <f>IF(N383="nulová",J383,0)</f>
        <v>0</v>
      </c>
      <c r="BJ383" s="18" t="s">
        <v>80</v>
      </c>
      <c r="BK383" s="149">
        <f>ROUND(I383*H383,2)</f>
        <v>0</v>
      </c>
      <c r="BL383" s="18" t="s">
        <v>144</v>
      </c>
      <c r="BM383" s="148" t="s">
        <v>418</v>
      </c>
    </row>
    <row r="384" spans="1:65" s="14" customFormat="1">
      <c r="B384" s="160"/>
      <c r="D384" s="150" t="s">
        <v>152</v>
      </c>
      <c r="E384" s="161" t="s">
        <v>1</v>
      </c>
      <c r="F384" s="162" t="s">
        <v>419</v>
      </c>
      <c r="H384" s="163">
        <v>4.5</v>
      </c>
      <c r="L384" s="160"/>
      <c r="M384" s="164"/>
      <c r="N384" s="165"/>
      <c r="O384" s="165"/>
      <c r="P384" s="165"/>
      <c r="Q384" s="165"/>
      <c r="R384" s="165"/>
      <c r="S384" s="165"/>
      <c r="T384" s="166"/>
      <c r="AT384" s="161" t="s">
        <v>152</v>
      </c>
      <c r="AU384" s="161" t="s">
        <v>82</v>
      </c>
      <c r="AV384" s="14" t="s">
        <v>82</v>
      </c>
      <c r="AW384" s="14" t="s">
        <v>28</v>
      </c>
      <c r="AX384" s="14" t="s">
        <v>72</v>
      </c>
      <c r="AY384" s="161" t="s">
        <v>137</v>
      </c>
    </row>
    <row r="385" spans="1:65" s="15" customFormat="1">
      <c r="B385" s="167"/>
      <c r="D385" s="150" t="s">
        <v>152</v>
      </c>
      <c r="E385" s="168" t="s">
        <v>1</v>
      </c>
      <c r="F385" s="169" t="s">
        <v>157</v>
      </c>
      <c r="H385" s="170">
        <v>4.5</v>
      </c>
      <c r="L385" s="167"/>
      <c r="M385" s="171"/>
      <c r="N385" s="172"/>
      <c r="O385" s="172"/>
      <c r="P385" s="172"/>
      <c r="Q385" s="172"/>
      <c r="R385" s="172"/>
      <c r="S385" s="172"/>
      <c r="T385" s="173"/>
      <c r="AT385" s="168" t="s">
        <v>152</v>
      </c>
      <c r="AU385" s="168" t="s">
        <v>82</v>
      </c>
      <c r="AV385" s="15" t="s">
        <v>144</v>
      </c>
      <c r="AW385" s="15" t="s">
        <v>28</v>
      </c>
      <c r="AX385" s="15" t="s">
        <v>80</v>
      </c>
      <c r="AY385" s="168" t="s">
        <v>137</v>
      </c>
    </row>
    <row r="386" spans="1:65" s="2" customFormat="1" ht="16.5" customHeight="1">
      <c r="A386" s="30"/>
      <c r="B386" s="137"/>
      <c r="C386" s="138">
        <v>77</v>
      </c>
      <c r="D386" s="138" t="s">
        <v>139</v>
      </c>
      <c r="E386" s="139" t="s">
        <v>420</v>
      </c>
      <c r="F386" s="140" t="s">
        <v>421</v>
      </c>
      <c r="G386" s="141" t="s">
        <v>142</v>
      </c>
      <c r="H386" s="142">
        <v>30.69</v>
      </c>
      <c r="I386" s="318">
        <v>0</v>
      </c>
      <c r="J386" s="143">
        <f>ROUND(I386*H386,2)</f>
        <v>0</v>
      </c>
      <c r="K386" s="140" t="s">
        <v>143</v>
      </c>
      <c r="L386" s="195"/>
      <c r="M386" s="144" t="s">
        <v>1</v>
      </c>
      <c r="N386" s="145" t="s">
        <v>37</v>
      </c>
      <c r="O386" s="146">
        <v>0.30099999999999999</v>
      </c>
      <c r="P386" s="146">
        <f>O386*H386</f>
        <v>9.2376900000000006</v>
      </c>
      <c r="Q386" s="146">
        <v>0</v>
      </c>
      <c r="R386" s="146">
        <f>Q386*H386</f>
        <v>0</v>
      </c>
      <c r="S386" s="146">
        <v>0.09</v>
      </c>
      <c r="T386" s="147">
        <f>S386*H386</f>
        <v>2.7621000000000002</v>
      </c>
      <c r="U386" s="30"/>
      <c r="V386" s="30"/>
      <c r="W386" s="30"/>
      <c r="X386" s="30"/>
      <c r="Y386" s="30"/>
      <c r="Z386" s="30"/>
      <c r="AA386" s="30"/>
      <c r="AB386" s="30"/>
      <c r="AC386" s="30"/>
      <c r="AD386" s="30"/>
      <c r="AE386" s="30"/>
      <c r="AR386" s="148" t="s">
        <v>144</v>
      </c>
      <c r="AT386" s="148" t="s">
        <v>139</v>
      </c>
      <c r="AU386" s="148" t="s">
        <v>82</v>
      </c>
      <c r="AY386" s="18" t="s">
        <v>137</v>
      </c>
      <c r="BE386" s="149">
        <f>IF(N386="základní",J386,0)</f>
        <v>0</v>
      </c>
      <c r="BF386" s="149">
        <f>IF(N386="snížená",J386,0)</f>
        <v>0</v>
      </c>
      <c r="BG386" s="149">
        <f>IF(N386="zákl. přenesená",J386,0)</f>
        <v>0</v>
      </c>
      <c r="BH386" s="149">
        <f>IF(N386="sníž. přenesená",J386,0)</f>
        <v>0</v>
      </c>
      <c r="BI386" s="149">
        <f>IF(N386="nulová",J386,0)</f>
        <v>0</v>
      </c>
      <c r="BJ386" s="18" t="s">
        <v>80</v>
      </c>
      <c r="BK386" s="149">
        <f>ROUND(I386*H386,2)</f>
        <v>0</v>
      </c>
      <c r="BL386" s="18" t="s">
        <v>144</v>
      </c>
      <c r="BM386" s="148" t="s">
        <v>422</v>
      </c>
    </row>
    <row r="387" spans="1:65" s="2" customFormat="1" ht="16.5" customHeight="1">
      <c r="A387" s="30"/>
      <c r="B387" s="137"/>
      <c r="C387" s="138">
        <v>78</v>
      </c>
      <c r="D387" s="138" t="s">
        <v>139</v>
      </c>
      <c r="E387" s="139" t="s">
        <v>423</v>
      </c>
      <c r="F387" s="140" t="s">
        <v>424</v>
      </c>
      <c r="G387" s="141" t="s">
        <v>142</v>
      </c>
      <c r="H387" s="142">
        <v>11.16</v>
      </c>
      <c r="I387" s="318">
        <v>0</v>
      </c>
      <c r="J387" s="143">
        <f>ROUND(I387*H387,2)</f>
        <v>0</v>
      </c>
      <c r="K387" s="140" t="s">
        <v>143</v>
      </c>
      <c r="L387" s="195"/>
      <c r="M387" s="144" t="s">
        <v>1</v>
      </c>
      <c r="N387" s="145" t="s">
        <v>37</v>
      </c>
      <c r="O387" s="146">
        <v>0.16200000000000001</v>
      </c>
      <c r="P387" s="146">
        <f>O387*H387</f>
        <v>1.80792</v>
      </c>
      <c r="Q387" s="146">
        <v>0</v>
      </c>
      <c r="R387" s="146">
        <f>Q387*H387</f>
        <v>0</v>
      </c>
      <c r="S387" s="146">
        <v>3.5000000000000003E-2</v>
      </c>
      <c r="T387" s="147">
        <f>S387*H387</f>
        <v>0.39060000000000006</v>
      </c>
      <c r="U387" s="30"/>
      <c r="V387" s="30"/>
      <c r="W387" s="30"/>
      <c r="X387" s="30"/>
      <c r="Y387" s="30"/>
      <c r="Z387" s="30"/>
      <c r="AA387" s="30"/>
      <c r="AB387" s="30"/>
      <c r="AC387" s="30"/>
      <c r="AD387" s="30"/>
      <c r="AE387" s="30"/>
      <c r="AR387" s="148" t="s">
        <v>144</v>
      </c>
      <c r="AT387" s="148" t="s">
        <v>139</v>
      </c>
      <c r="AU387" s="148" t="s">
        <v>82</v>
      </c>
      <c r="AY387" s="18" t="s">
        <v>137</v>
      </c>
      <c r="BE387" s="149">
        <f>IF(N387="základní",J387,0)</f>
        <v>0</v>
      </c>
      <c r="BF387" s="149">
        <f>IF(N387="snížená",J387,0)</f>
        <v>0</v>
      </c>
      <c r="BG387" s="149">
        <f>IF(N387="zákl. přenesená",J387,0)</f>
        <v>0</v>
      </c>
      <c r="BH387" s="149">
        <f>IF(N387="sníž. přenesená",J387,0)</f>
        <v>0</v>
      </c>
      <c r="BI387" s="149">
        <f>IF(N387="nulová",J387,0)</f>
        <v>0</v>
      </c>
      <c r="BJ387" s="18" t="s">
        <v>80</v>
      </c>
      <c r="BK387" s="149">
        <f>ROUND(I387*H387,2)</f>
        <v>0</v>
      </c>
      <c r="BL387" s="18" t="s">
        <v>144</v>
      </c>
      <c r="BM387" s="148" t="s">
        <v>425</v>
      </c>
    </row>
    <row r="388" spans="1:65" s="2" customFormat="1" ht="28.8">
      <c r="A388" s="30"/>
      <c r="B388" s="31"/>
      <c r="C388" s="30"/>
      <c r="D388" s="150" t="s">
        <v>150</v>
      </c>
      <c r="E388" s="30"/>
      <c r="F388" s="151" t="s">
        <v>426</v>
      </c>
      <c r="G388" s="30"/>
      <c r="H388" s="30"/>
      <c r="I388" s="30"/>
      <c r="J388" s="30"/>
      <c r="K388" s="30"/>
      <c r="L388" s="195"/>
      <c r="M388" s="152"/>
      <c r="N388" s="153"/>
      <c r="O388" s="56"/>
      <c r="P388" s="56"/>
      <c r="Q388" s="56"/>
      <c r="R388" s="56"/>
      <c r="S388" s="56"/>
      <c r="T388" s="57"/>
      <c r="U388" s="30"/>
      <c r="V388" s="30"/>
      <c r="W388" s="30"/>
      <c r="X388" s="30"/>
      <c r="Y388" s="30"/>
      <c r="Z388" s="30"/>
      <c r="AA388" s="30"/>
      <c r="AB388" s="30"/>
      <c r="AC388" s="30"/>
      <c r="AD388" s="30"/>
      <c r="AE388" s="30"/>
      <c r="AT388" s="18" t="s">
        <v>150</v>
      </c>
      <c r="AU388" s="18" t="s">
        <v>82</v>
      </c>
    </row>
    <row r="389" spans="1:65" s="2" customFormat="1" ht="16.5" customHeight="1">
      <c r="A389" s="30"/>
      <c r="B389" s="137"/>
      <c r="C389" s="138">
        <v>79</v>
      </c>
      <c r="D389" s="138" t="s">
        <v>139</v>
      </c>
      <c r="E389" s="139" t="s">
        <v>427</v>
      </c>
      <c r="F389" s="140" t="s">
        <v>428</v>
      </c>
      <c r="G389" s="141" t="s">
        <v>142</v>
      </c>
      <c r="H389" s="142">
        <v>39.9</v>
      </c>
      <c r="I389" s="318">
        <v>0</v>
      </c>
      <c r="J389" s="143">
        <f>ROUND(I389*H389,2)</f>
        <v>0</v>
      </c>
      <c r="K389" s="140" t="s">
        <v>148</v>
      </c>
      <c r="L389" s="195"/>
      <c r="M389" s="144" t="s">
        <v>1</v>
      </c>
      <c r="N389" s="145" t="s">
        <v>37</v>
      </c>
      <c r="O389" s="146">
        <v>0.61199999999999999</v>
      </c>
      <c r="P389" s="146">
        <f>O389*H389</f>
        <v>24.418799999999997</v>
      </c>
      <c r="Q389" s="146">
        <v>0</v>
      </c>
      <c r="R389" s="146">
        <f>Q389*H389</f>
        <v>0</v>
      </c>
      <c r="S389" s="146">
        <v>6.2E-2</v>
      </c>
      <c r="T389" s="147">
        <f>S389*H389</f>
        <v>2.4737999999999998</v>
      </c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R389" s="148" t="s">
        <v>144</v>
      </c>
      <c r="AT389" s="148" t="s">
        <v>139</v>
      </c>
      <c r="AU389" s="148" t="s">
        <v>82</v>
      </c>
      <c r="AY389" s="18" t="s">
        <v>137</v>
      </c>
      <c r="BE389" s="149">
        <f>IF(N389="základní",J389,0)</f>
        <v>0</v>
      </c>
      <c r="BF389" s="149">
        <f>IF(N389="snížená",J389,0)</f>
        <v>0</v>
      </c>
      <c r="BG389" s="149">
        <f>IF(N389="zákl. přenesená",J389,0)</f>
        <v>0</v>
      </c>
      <c r="BH389" s="149">
        <f>IF(N389="sníž. přenesená",J389,0)</f>
        <v>0</v>
      </c>
      <c r="BI389" s="149">
        <f>IF(N389="nulová",J389,0)</f>
        <v>0</v>
      </c>
      <c r="BJ389" s="18" t="s">
        <v>80</v>
      </c>
      <c r="BK389" s="149">
        <f>ROUND(I389*H389,2)</f>
        <v>0</v>
      </c>
      <c r="BL389" s="18" t="s">
        <v>144</v>
      </c>
      <c r="BM389" s="148" t="s">
        <v>429</v>
      </c>
    </row>
    <row r="390" spans="1:65" s="2" customFormat="1" ht="115.2">
      <c r="A390" s="30"/>
      <c r="B390" s="31"/>
      <c r="C390" s="30"/>
      <c r="D390" s="150" t="s">
        <v>150</v>
      </c>
      <c r="E390" s="30"/>
      <c r="F390" s="151" t="s">
        <v>430</v>
      </c>
      <c r="G390" s="30"/>
      <c r="H390" s="30"/>
      <c r="I390" s="30"/>
      <c r="J390" s="30"/>
      <c r="K390" s="30"/>
      <c r="L390" s="195"/>
      <c r="M390" s="152"/>
      <c r="N390" s="153"/>
      <c r="O390" s="56"/>
      <c r="P390" s="56"/>
      <c r="Q390" s="56"/>
      <c r="R390" s="56"/>
      <c r="S390" s="56"/>
      <c r="T390" s="57"/>
      <c r="U390" s="30"/>
      <c r="V390" s="30"/>
      <c r="W390" s="30"/>
      <c r="X390" s="30"/>
      <c r="Y390" s="30"/>
      <c r="Z390" s="30"/>
      <c r="AA390" s="30"/>
      <c r="AB390" s="30"/>
      <c r="AC390" s="30"/>
      <c r="AD390" s="30"/>
      <c r="AE390" s="30"/>
      <c r="AT390" s="18" t="s">
        <v>150</v>
      </c>
      <c r="AU390" s="18" t="s">
        <v>82</v>
      </c>
    </row>
    <row r="391" spans="1:65" s="14" customFormat="1">
      <c r="B391" s="160"/>
      <c r="D391" s="150" t="s">
        <v>152</v>
      </c>
      <c r="E391" s="161" t="s">
        <v>1</v>
      </c>
      <c r="F391" s="162" t="s">
        <v>431</v>
      </c>
      <c r="H391" s="163">
        <v>39.9</v>
      </c>
      <c r="L391" s="195"/>
      <c r="M391" s="164"/>
      <c r="N391" s="165"/>
      <c r="O391" s="165"/>
      <c r="P391" s="165"/>
      <c r="Q391" s="165"/>
      <c r="R391" s="165"/>
      <c r="S391" s="165"/>
      <c r="T391" s="166"/>
      <c r="AT391" s="161" t="s">
        <v>152</v>
      </c>
      <c r="AU391" s="161" t="s">
        <v>82</v>
      </c>
      <c r="AV391" s="14" t="s">
        <v>82</v>
      </c>
      <c r="AW391" s="14" t="s">
        <v>28</v>
      </c>
      <c r="AX391" s="14" t="s">
        <v>72</v>
      </c>
      <c r="AY391" s="161" t="s">
        <v>137</v>
      </c>
    </row>
    <row r="392" spans="1:65" s="15" customFormat="1">
      <c r="B392" s="167"/>
      <c r="D392" s="150" t="s">
        <v>152</v>
      </c>
      <c r="E392" s="168" t="s">
        <v>1</v>
      </c>
      <c r="F392" s="169" t="s">
        <v>157</v>
      </c>
      <c r="H392" s="170">
        <v>39.9</v>
      </c>
      <c r="L392" s="195"/>
      <c r="M392" s="171"/>
      <c r="N392" s="172"/>
      <c r="O392" s="172"/>
      <c r="P392" s="172"/>
      <c r="Q392" s="172"/>
      <c r="R392" s="172"/>
      <c r="S392" s="172"/>
      <c r="T392" s="173"/>
      <c r="AT392" s="168" t="s">
        <v>152</v>
      </c>
      <c r="AU392" s="168" t="s">
        <v>82</v>
      </c>
      <c r="AV392" s="15" t="s">
        <v>144</v>
      </c>
      <c r="AW392" s="15" t="s">
        <v>28</v>
      </c>
      <c r="AX392" s="15" t="s">
        <v>80</v>
      </c>
      <c r="AY392" s="168" t="s">
        <v>137</v>
      </c>
    </row>
    <row r="393" spans="1:65" s="2" customFormat="1" ht="16.5" customHeight="1">
      <c r="A393" s="30"/>
      <c r="B393" s="137"/>
      <c r="C393" s="138">
        <v>80</v>
      </c>
      <c r="D393" s="138" t="s">
        <v>139</v>
      </c>
      <c r="E393" s="139" t="s">
        <v>432</v>
      </c>
      <c r="F393" s="140" t="s">
        <v>433</v>
      </c>
      <c r="G393" s="141" t="s">
        <v>142</v>
      </c>
      <c r="H393" s="142">
        <v>8</v>
      </c>
      <c r="I393" s="318">
        <v>0</v>
      </c>
      <c r="J393" s="143">
        <f>ROUND(I393*H393,2)</f>
        <v>0</v>
      </c>
      <c r="K393" s="140" t="s">
        <v>143</v>
      </c>
      <c r="L393" s="195"/>
      <c r="M393" s="144" t="s">
        <v>1</v>
      </c>
      <c r="N393" s="145" t="s">
        <v>37</v>
      </c>
      <c r="O393" s="146">
        <v>0.93899999999999995</v>
      </c>
      <c r="P393" s="146">
        <f>O393*H393</f>
        <v>7.5119999999999996</v>
      </c>
      <c r="Q393" s="146">
        <v>0</v>
      </c>
      <c r="R393" s="146">
        <f>Q393*H393</f>
        <v>0</v>
      </c>
      <c r="S393" s="146">
        <v>7.5999999999999998E-2</v>
      </c>
      <c r="T393" s="147">
        <f>S393*H393</f>
        <v>0.60799999999999998</v>
      </c>
      <c r="U393" s="30"/>
      <c r="V393" s="30"/>
      <c r="W393" s="30"/>
      <c r="X393" s="30"/>
      <c r="Y393" s="30"/>
      <c r="Z393" s="30"/>
      <c r="AA393" s="30"/>
      <c r="AB393" s="30"/>
      <c r="AC393" s="30"/>
      <c r="AD393" s="30"/>
      <c r="AE393" s="30"/>
      <c r="AR393" s="148" t="s">
        <v>144</v>
      </c>
      <c r="AT393" s="148" t="s">
        <v>139</v>
      </c>
      <c r="AU393" s="148" t="s">
        <v>82</v>
      </c>
      <c r="AY393" s="18" t="s">
        <v>137</v>
      </c>
      <c r="BE393" s="149">
        <f>IF(N393="základní",J393,0)</f>
        <v>0</v>
      </c>
      <c r="BF393" s="149">
        <f>IF(N393="snížená",J393,0)</f>
        <v>0</v>
      </c>
      <c r="BG393" s="149">
        <f>IF(N393="zákl. přenesená",J393,0)</f>
        <v>0</v>
      </c>
      <c r="BH393" s="149">
        <f>IF(N393="sníž. přenesená",J393,0)</f>
        <v>0</v>
      </c>
      <c r="BI393" s="149">
        <f>IF(N393="nulová",J393,0)</f>
        <v>0</v>
      </c>
      <c r="BJ393" s="18" t="s">
        <v>80</v>
      </c>
      <c r="BK393" s="149">
        <f>ROUND(I393*H393,2)</f>
        <v>0</v>
      </c>
      <c r="BL393" s="18" t="s">
        <v>144</v>
      </c>
      <c r="BM393" s="148" t="s">
        <v>434</v>
      </c>
    </row>
    <row r="394" spans="1:65" s="2" customFormat="1" ht="28.8">
      <c r="A394" s="30"/>
      <c r="B394" s="31"/>
      <c r="C394" s="30"/>
      <c r="D394" s="150" t="s">
        <v>150</v>
      </c>
      <c r="E394" s="30"/>
      <c r="F394" s="151" t="s">
        <v>435</v>
      </c>
      <c r="G394" s="30"/>
      <c r="H394" s="30"/>
      <c r="I394" s="30"/>
      <c r="J394" s="30"/>
      <c r="K394" s="30"/>
      <c r="L394" s="195"/>
      <c r="M394" s="152"/>
      <c r="N394" s="153"/>
      <c r="O394" s="56"/>
      <c r="P394" s="56"/>
      <c r="Q394" s="56"/>
      <c r="R394" s="56"/>
      <c r="S394" s="56"/>
      <c r="T394" s="57"/>
      <c r="U394" s="30"/>
      <c r="V394" s="30"/>
      <c r="W394" s="30"/>
      <c r="X394" s="30"/>
      <c r="Y394" s="30"/>
      <c r="Z394" s="30"/>
      <c r="AA394" s="30"/>
      <c r="AB394" s="30"/>
      <c r="AC394" s="30"/>
      <c r="AD394" s="30"/>
      <c r="AE394" s="30"/>
      <c r="AT394" s="18" t="s">
        <v>150</v>
      </c>
      <c r="AU394" s="18" t="s">
        <v>82</v>
      </c>
    </row>
    <row r="395" spans="1:65" s="2" customFormat="1" ht="16.5" customHeight="1">
      <c r="A395" s="30"/>
      <c r="B395" s="137"/>
      <c r="C395" s="138">
        <v>81</v>
      </c>
      <c r="D395" s="138" t="s">
        <v>139</v>
      </c>
      <c r="E395" s="139" t="s">
        <v>436</v>
      </c>
      <c r="F395" s="140" t="s">
        <v>437</v>
      </c>
      <c r="G395" s="141" t="s">
        <v>242</v>
      </c>
      <c r="H395" s="142">
        <v>21.5</v>
      </c>
      <c r="I395" s="318">
        <v>0</v>
      </c>
      <c r="J395" s="143">
        <f>ROUND(I395*H395,2)</f>
        <v>0</v>
      </c>
      <c r="K395" s="140" t="s">
        <v>148</v>
      </c>
      <c r="L395" s="195"/>
      <c r="M395" s="144" t="s">
        <v>1</v>
      </c>
      <c r="N395" s="145" t="s">
        <v>37</v>
      </c>
      <c r="O395" s="146">
        <v>0.155</v>
      </c>
      <c r="P395" s="146">
        <f>O395*H395</f>
        <v>3.3325</v>
      </c>
      <c r="Q395" s="146">
        <v>0</v>
      </c>
      <c r="R395" s="146">
        <f>Q395*H395</f>
        <v>0</v>
      </c>
      <c r="S395" s="146">
        <v>9.7999999999999997E-3</v>
      </c>
      <c r="T395" s="147">
        <f>S395*H395</f>
        <v>0.2107</v>
      </c>
      <c r="U395" s="30"/>
      <c r="V395" s="30"/>
      <c r="W395" s="30"/>
      <c r="X395" s="30"/>
      <c r="Y395" s="30"/>
      <c r="Z395" s="30"/>
      <c r="AA395" s="30"/>
      <c r="AB395" s="30"/>
      <c r="AC395" s="30"/>
      <c r="AD395" s="30"/>
      <c r="AE395" s="30"/>
      <c r="AR395" s="148" t="s">
        <v>144</v>
      </c>
      <c r="AT395" s="148" t="s">
        <v>139</v>
      </c>
      <c r="AU395" s="148" t="s">
        <v>82</v>
      </c>
      <c r="AY395" s="18" t="s">
        <v>137</v>
      </c>
      <c r="BE395" s="149">
        <f>IF(N395="základní",J395,0)</f>
        <v>0</v>
      </c>
      <c r="BF395" s="149">
        <f>IF(N395="snížená",J395,0)</f>
        <v>0</v>
      </c>
      <c r="BG395" s="149">
        <f>IF(N395="zákl. přenesená",J395,0)</f>
        <v>0</v>
      </c>
      <c r="BH395" s="149">
        <f>IF(N395="sníž. přenesená",J395,0)</f>
        <v>0</v>
      </c>
      <c r="BI395" s="149">
        <f>IF(N395="nulová",J395,0)</f>
        <v>0</v>
      </c>
      <c r="BJ395" s="18" t="s">
        <v>80</v>
      </c>
      <c r="BK395" s="149">
        <f>ROUND(I395*H395,2)</f>
        <v>0</v>
      </c>
      <c r="BL395" s="18" t="s">
        <v>144</v>
      </c>
      <c r="BM395" s="148" t="s">
        <v>438</v>
      </c>
    </row>
    <row r="396" spans="1:65" s="2" customFormat="1" ht="19.2">
      <c r="A396" s="30"/>
      <c r="B396" s="31"/>
      <c r="C396" s="30"/>
      <c r="D396" s="150" t="s">
        <v>150</v>
      </c>
      <c r="E396" s="30"/>
      <c r="F396" s="151" t="s">
        <v>439</v>
      </c>
      <c r="G396" s="30"/>
      <c r="H396" s="30"/>
      <c r="I396" s="30"/>
      <c r="J396" s="30"/>
      <c r="K396" s="30"/>
      <c r="L396" s="195"/>
      <c r="M396" s="152"/>
      <c r="N396" s="153"/>
      <c r="O396" s="56"/>
      <c r="P396" s="56"/>
      <c r="Q396" s="56"/>
      <c r="R396" s="56"/>
      <c r="S396" s="56"/>
      <c r="T396" s="57"/>
      <c r="U396" s="30"/>
      <c r="V396" s="30"/>
      <c r="W396" s="30"/>
      <c r="X396" s="30"/>
      <c r="Y396" s="30"/>
      <c r="Z396" s="30"/>
      <c r="AA396" s="30"/>
      <c r="AB396" s="30"/>
      <c r="AC396" s="30"/>
      <c r="AD396" s="30"/>
      <c r="AE396" s="30"/>
      <c r="AT396" s="18" t="s">
        <v>150</v>
      </c>
      <c r="AU396" s="18" t="s">
        <v>82</v>
      </c>
    </row>
    <row r="397" spans="1:65" s="2" customFormat="1" ht="21.75" customHeight="1">
      <c r="A397" s="30"/>
      <c r="B397" s="137"/>
      <c r="C397" s="138">
        <v>82</v>
      </c>
      <c r="D397" s="138" t="s">
        <v>139</v>
      </c>
      <c r="E397" s="139" t="s">
        <v>440</v>
      </c>
      <c r="F397" s="140" t="s">
        <v>441</v>
      </c>
      <c r="G397" s="141" t="s">
        <v>142</v>
      </c>
      <c r="H397" s="142">
        <v>30.35</v>
      </c>
      <c r="I397" s="318">
        <v>0</v>
      </c>
      <c r="J397" s="143">
        <f>ROUND(I397*H397,2)</f>
        <v>0</v>
      </c>
      <c r="K397" s="140" t="s">
        <v>143</v>
      </c>
      <c r="L397" s="195"/>
      <c r="M397" s="144" t="s">
        <v>1</v>
      </c>
      <c r="N397" s="145" t="s">
        <v>37</v>
      </c>
      <c r="O397" s="146">
        <v>0.03</v>
      </c>
      <c r="P397" s="146">
        <f>O397*H397</f>
        <v>0.91049999999999998</v>
      </c>
      <c r="Q397" s="146">
        <v>0</v>
      </c>
      <c r="R397" s="146">
        <f>Q397*H397</f>
        <v>0</v>
      </c>
      <c r="S397" s="146">
        <v>4.0000000000000001E-3</v>
      </c>
      <c r="T397" s="147">
        <f>S397*H397</f>
        <v>0.12140000000000001</v>
      </c>
      <c r="U397" s="30"/>
      <c r="V397" s="30"/>
      <c r="W397" s="30"/>
      <c r="X397" s="30"/>
      <c r="Y397" s="30"/>
      <c r="Z397" s="30"/>
      <c r="AA397" s="30"/>
      <c r="AB397" s="30"/>
      <c r="AC397" s="30"/>
      <c r="AD397" s="30"/>
      <c r="AE397" s="30"/>
      <c r="AR397" s="148" t="s">
        <v>144</v>
      </c>
      <c r="AT397" s="148" t="s">
        <v>139</v>
      </c>
      <c r="AU397" s="148" t="s">
        <v>82</v>
      </c>
      <c r="AY397" s="18" t="s">
        <v>137</v>
      </c>
      <c r="BE397" s="149">
        <f>IF(N397="základní",J397,0)</f>
        <v>0</v>
      </c>
      <c r="BF397" s="149">
        <f>IF(N397="snížená",J397,0)</f>
        <v>0</v>
      </c>
      <c r="BG397" s="149">
        <f>IF(N397="zákl. přenesená",J397,0)</f>
        <v>0</v>
      </c>
      <c r="BH397" s="149">
        <f>IF(N397="sníž. přenesená",J397,0)</f>
        <v>0</v>
      </c>
      <c r="BI397" s="149">
        <f>IF(N397="nulová",J397,0)</f>
        <v>0</v>
      </c>
      <c r="BJ397" s="18" t="s">
        <v>80</v>
      </c>
      <c r="BK397" s="149">
        <f>ROUND(I397*H397,2)</f>
        <v>0</v>
      </c>
      <c r="BL397" s="18" t="s">
        <v>144</v>
      </c>
      <c r="BM397" s="148" t="s">
        <v>442</v>
      </c>
    </row>
    <row r="398" spans="1:65" s="13" customFormat="1">
      <c r="B398" s="154"/>
      <c r="D398" s="150" t="s">
        <v>152</v>
      </c>
      <c r="E398" s="155" t="s">
        <v>1</v>
      </c>
      <c r="F398" s="156" t="s">
        <v>411</v>
      </c>
      <c r="H398" s="155" t="s">
        <v>1</v>
      </c>
      <c r="L398" s="154"/>
      <c r="M398" s="157"/>
      <c r="N398" s="158"/>
      <c r="O398" s="158"/>
      <c r="P398" s="158"/>
      <c r="Q398" s="158"/>
      <c r="R398" s="158"/>
      <c r="S398" s="158"/>
      <c r="T398" s="159"/>
      <c r="AT398" s="155" t="s">
        <v>152</v>
      </c>
      <c r="AU398" s="155" t="s">
        <v>82</v>
      </c>
      <c r="AV398" s="13" t="s">
        <v>80</v>
      </c>
      <c r="AW398" s="13" t="s">
        <v>28</v>
      </c>
      <c r="AX398" s="13" t="s">
        <v>72</v>
      </c>
      <c r="AY398" s="155" t="s">
        <v>137</v>
      </c>
    </row>
    <row r="399" spans="1:65" s="14" customFormat="1">
      <c r="B399" s="160"/>
      <c r="D399" s="150" t="s">
        <v>152</v>
      </c>
      <c r="E399" s="161" t="s">
        <v>1</v>
      </c>
      <c r="F399" s="162" t="s">
        <v>412</v>
      </c>
      <c r="H399" s="163">
        <v>30.35</v>
      </c>
      <c r="L399" s="160"/>
      <c r="M399" s="164"/>
      <c r="N399" s="165"/>
      <c r="O399" s="165"/>
      <c r="P399" s="165"/>
      <c r="Q399" s="165"/>
      <c r="R399" s="165"/>
      <c r="S399" s="165"/>
      <c r="T399" s="166"/>
      <c r="AT399" s="161" t="s">
        <v>152</v>
      </c>
      <c r="AU399" s="161" t="s">
        <v>82</v>
      </c>
      <c r="AV399" s="14" t="s">
        <v>82</v>
      </c>
      <c r="AW399" s="14" t="s">
        <v>28</v>
      </c>
      <c r="AX399" s="14" t="s">
        <v>72</v>
      </c>
      <c r="AY399" s="161" t="s">
        <v>137</v>
      </c>
    </row>
    <row r="400" spans="1:65" s="15" customFormat="1">
      <c r="B400" s="167"/>
      <c r="D400" s="150" t="s">
        <v>152</v>
      </c>
      <c r="E400" s="168" t="s">
        <v>1</v>
      </c>
      <c r="F400" s="169" t="s">
        <v>157</v>
      </c>
      <c r="H400" s="170">
        <v>30.35</v>
      </c>
      <c r="L400" s="167"/>
      <c r="M400" s="171"/>
      <c r="N400" s="172"/>
      <c r="O400" s="172"/>
      <c r="P400" s="172"/>
      <c r="Q400" s="172"/>
      <c r="R400" s="172"/>
      <c r="S400" s="172"/>
      <c r="T400" s="173"/>
      <c r="AT400" s="168" t="s">
        <v>152</v>
      </c>
      <c r="AU400" s="168" t="s">
        <v>82</v>
      </c>
      <c r="AV400" s="15" t="s">
        <v>144</v>
      </c>
      <c r="AW400" s="15" t="s">
        <v>28</v>
      </c>
      <c r="AX400" s="15" t="s">
        <v>80</v>
      </c>
      <c r="AY400" s="168" t="s">
        <v>137</v>
      </c>
    </row>
    <row r="401" spans="1:65" s="2" customFormat="1" ht="21.75" customHeight="1">
      <c r="A401" s="30"/>
      <c r="B401" s="137"/>
      <c r="C401" s="138">
        <v>83</v>
      </c>
      <c r="D401" s="138" t="s">
        <v>139</v>
      </c>
      <c r="E401" s="139" t="s">
        <v>443</v>
      </c>
      <c r="F401" s="140" t="s">
        <v>444</v>
      </c>
      <c r="G401" s="141" t="s">
        <v>142</v>
      </c>
      <c r="H401" s="142">
        <v>154.4</v>
      </c>
      <c r="I401" s="318">
        <v>0</v>
      </c>
      <c r="J401" s="143">
        <f>ROUND(I401*H401,2)</f>
        <v>0</v>
      </c>
      <c r="K401" s="140" t="s">
        <v>143</v>
      </c>
      <c r="L401" s="195"/>
      <c r="M401" s="144" t="s">
        <v>1</v>
      </c>
      <c r="N401" s="145" t="s">
        <v>37</v>
      </c>
      <c r="O401" s="146">
        <v>0.03</v>
      </c>
      <c r="P401" s="146">
        <f>O401*H401</f>
        <v>4.6319999999999997</v>
      </c>
      <c r="Q401" s="146">
        <v>0</v>
      </c>
      <c r="R401" s="146">
        <f>Q401*H401</f>
        <v>0</v>
      </c>
      <c r="S401" s="146">
        <v>4.0000000000000001E-3</v>
      </c>
      <c r="T401" s="147">
        <f>S401*H401</f>
        <v>0.61760000000000004</v>
      </c>
      <c r="U401" s="30"/>
      <c r="V401" s="30"/>
      <c r="W401" s="30"/>
      <c r="X401" s="30"/>
      <c r="Y401" s="30"/>
      <c r="Z401" s="30"/>
      <c r="AA401" s="30"/>
      <c r="AB401" s="30"/>
      <c r="AC401" s="30"/>
      <c r="AD401" s="30"/>
      <c r="AE401" s="30"/>
      <c r="AR401" s="148" t="s">
        <v>144</v>
      </c>
      <c r="AT401" s="148" t="s">
        <v>139</v>
      </c>
      <c r="AU401" s="148" t="s">
        <v>82</v>
      </c>
      <c r="AY401" s="18" t="s">
        <v>137</v>
      </c>
      <c r="BE401" s="149">
        <f>IF(N401="základní",J401,0)</f>
        <v>0</v>
      </c>
      <c r="BF401" s="149">
        <f>IF(N401="snížená",J401,0)</f>
        <v>0</v>
      </c>
      <c r="BG401" s="149">
        <f>IF(N401="zákl. přenesená",J401,0)</f>
        <v>0</v>
      </c>
      <c r="BH401" s="149">
        <f>IF(N401="sníž. přenesená",J401,0)</f>
        <v>0</v>
      </c>
      <c r="BI401" s="149">
        <f>IF(N401="nulová",J401,0)</f>
        <v>0</v>
      </c>
      <c r="BJ401" s="18" t="s">
        <v>80</v>
      </c>
      <c r="BK401" s="149">
        <f>ROUND(I401*H401,2)</f>
        <v>0</v>
      </c>
      <c r="BL401" s="18" t="s">
        <v>144</v>
      </c>
      <c r="BM401" s="148" t="s">
        <v>445</v>
      </c>
    </row>
    <row r="402" spans="1:65" s="13" customFormat="1">
      <c r="B402" s="154"/>
      <c r="D402" s="150" t="s">
        <v>152</v>
      </c>
      <c r="E402" s="155" t="s">
        <v>1</v>
      </c>
      <c r="F402" s="156" t="s">
        <v>411</v>
      </c>
      <c r="H402" s="155" t="s">
        <v>1</v>
      </c>
      <c r="L402" s="195"/>
      <c r="M402" s="157"/>
      <c r="N402" s="158"/>
      <c r="O402" s="158"/>
      <c r="P402" s="158"/>
      <c r="Q402" s="158"/>
      <c r="R402" s="158"/>
      <c r="S402" s="158"/>
      <c r="T402" s="159"/>
      <c r="AT402" s="155" t="s">
        <v>152</v>
      </c>
      <c r="AU402" s="155" t="s">
        <v>82</v>
      </c>
      <c r="AV402" s="13" t="s">
        <v>80</v>
      </c>
      <c r="AW402" s="13" t="s">
        <v>28</v>
      </c>
      <c r="AX402" s="13" t="s">
        <v>72</v>
      </c>
      <c r="AY402" s="155" t="s">
        <v>137</v>
      </c>
    </row>
    <row r="403" spans="1:65" s="14" customFormat="1">
      <c r="B403" s="160"/>
      <c r="D403" s="150" t="s">
        <v>152</v>
      </c>
      <c r="E403" s="161" t="s">
        <v>1</v>
      </c>
      <c r="F403" s="162" t="s">
        <v>446</v>
      </c>
      <c r="H403" s="163">
        <v>154.4</v>
      </c>
      <c r="L403" s="195"/>
      <c r="M403" s="164"/>
      <c r="N403" s="165"/>
      <c r="O403" s="165"/>
      <c r="P403" s="165"/>
      <c r="Q403" s="165"/>
      <c r="R403" s="165"/>
      <c r="S403" s="165"/>
      <c r="T403" s="166"/>
      <c r="AT403" s="161" t="s">
        <v>152</v>
      </c>
      <c r="AU403" s="161" t="s">
        <v>82</v>
      </c>
      <c r="AV403" s="14" t="s">
        <v>82</v>
      </c>
      <c r="AW403" s="14" t="s">
        <v>28</v>
      </c>
      <c r="AX403" s="14" t="s">
        <v>72</v>
      </c>
      <c r="AY403" s="161" t="s">
        <v>137</v>
      </c>
    </row>
    <row r="404" spans="1:65" s="15" customFormat="1">
      <c r="B404" s="167"/>
      <c r="D404" s="150" t="s">
        <v>152</v>
      </c>
      <c r="E404" s="168" t="s">
        <v>1</v>
      </c>
      <c r="F404" s="169" t="s">
        <v>157</v>
      </c>
      <c r="H404" s="170">
        <v>154.4</v>
      </c>
      <c r="L404" s="195"/>
      <c r="M404" s="171"/>
      <c r="N404" s="172"/>
      <c r="O404" s="172"/>
      <c r="P404" s="172"/>
      <c r="Q404" s="172"/>
      <c r="R404" s="172"/>
      <c r="S404" s="172"/>
      <c r="T404" s="173"/>
      <c r="AT404" s="168" t="s">
        <v>152</v>
      </c>
      <c r="AU404" s="168" t="s">
        <v>82</v>
      </c>
      <c r="AV404" s="15" t="s">
        <v>144</v>
      </c>
      <c r="AW404" s="15" t="s">
        <v>28</v>
      </c>
      <c r="AX404" s="15" t="s">
        <v>80</v>
      </c>
      <c r="AY404" s="168" t="s">
        <v>137</v>
      </c>
    </row>
    <row r="405" spans="1:65" s="2" customFormat="1" ht="16.5" customHeight="1">
      <c r="A405" s="30"/>
      <c r="B405" s="137"/>
      <c r="C405" s="138">
        <v>84</v>
      </c>
      <c r="D405" s="138" t="s">
        <v>139</v>
      </c>
      <c r="E405" s="139" t="s">
        <v>447</v>
      </c>
      <c r="F405" s="140" t="s">
        <v>448</v>
      </c>
      <c r="G405" s="141" t="s">
        <v>142</v>
      </c>
      <c r="H405" s="142">
        <v>323.88499999999999</v>
      </c>
      <c r="I405" s="318">
        <v>0</v>
      </c>
      <c r="J405" s="143">
        <f>ROUND(I405*H405,2)</f>
        <v>0</v>
      </c>
      <c r="K405" s="140" t="s">
        <v>143</v>
      </c>
      <c r="L405" s="195"/>
      <c r="M405" s="144" t="s">
        <v>1</v>
      </c>
      <c r="N405" s="145" t="s">
        <v>37</v>
      </c>
      <c r="O405" s="146">
        <v>0.11600000000000001</v>
      </c>
      <c r="P405" s="146">
        <f>O405*H405</f>
        <v>37.570660000000004</v>
      </c>
      <c r="Q405" s="146">
        <v>0</v>
      </c>
      <c r="R405" s="146">
        <f>Q405*H405</f>
        <v>0</v>
      </c>
      <c r="S405" s="146">
        <v>1.6E-2</v>
      </c>
      <c r="T405" s="147">
        <f>S405*H405</f>
        <v>5.1821599999999997</v>
      </c>
      <c r="U405" s="30"/>
      <c r="V405" s="30"/>
      <c r="W405" s="30"/>
      <c r="X405" s="30"/>
      <c r="Y405" s="30"/>
      <c r="Z405" s="30"/>
      <c r="AA405" s="30"/>
      <c r="AB405" s="30"/>
      <c r="AC405" s="30"/>
      <c r="AD405" s="30"/>
      <c r="AE405" s="30"/>
      <c r="AR405" s="148" t="s">
        <v>144</v>
      </c>
      <c r="AT405" s="148" t="s">
        <v>139</v>
      </c>
      <c r="AU405" s="148" t="s">
        <v>82</v>
      </c>
      <c r="AY405" s="18" t="s">
        <v>137</v>
      </c>
      <c r="BE405" s="149">
        <f>IF(N405="základní",J405,0)</f>
        <v>0</v>
      </c>
      <c r="BF405" s="149">
        <f>IF(N405="snížená",J405,0)</f>
        <v>0</v>
      </c>
      <c r="BG405" s="149">
        <f>IF(N405="zákl. přenesená",J405,0)</f>
        <v>0</v>
      </c>
      <c r="BH405" s="149">
        <f>IF(N405="sníž. přenesená",J405,0)</f>
        <v>0</v>
      </c>
      <c r="BI405" s="149">
        <f>IF(N405="nulová",J405,0)</f>
        <v>0</v>
      </c>
      <c r="BJ405" s="18" t="s">
        <v>80</v>
      </c>
      <c r="BK405" s="149">
        <f>ROUND(I405*H405,2)</f>
        <v>0</v>
      </c>
      <c r="BL405" s="18" t="s">
        <v>144</v>
      </c>
      <c r="BM405" s="148" t="s">
        <v>449</v>
      </c>
    </row>
    <row r="406" spans="1:65" s="14" customFormat="1">
      <c r="B406" s="160"/>
      <c r="D406" s="150" t="s">
        <v>152</v>
      </c>
      <c r="E406" s="161" t="s">
        <v>1</v>
      </c>
      <c r="F406" s="162" t="s">
        <v>450</v>
      </c>
      <c r="H406" s="163">
        <v>92.135000000000005</v>
      </c>
      <c r="L406" s="195"/>
      <c r="M406" s="164"/>
      <c r="N406" s="165"/>
      <c r="O406" s="165"/>
      <c r="P406" s="165"/>
      <c r="Q406" s="165"/>
      <c r="R406" s="165"/>
      <c r="S406" s="165"/>
      <c r="T406" s="166"/>
      <c r="AT406" s="161" t="s">
        <v>152</v>
      </c>
      <c r="AU406" s="161" t="s">
        <v>82</v>
      </c>
      <c r="AV406" s="14" t="s">
        <v>82</v>
      </c>
      <c r="AW406" s="14" t="s">
        <v>28</v>
      </c>
      <c r="AX406" s="14" t="s">
        <v>72</v>
      </c>
      <c r="AY406" s="161" t="s">
        <v>137</v>
      </c>
    </row>
    <row r="407" spans="1:65" s="14" customFormat="1">
      <c r="B407" s="160"/>
      <c r="D407" s="150" t="s">
        <v>152</v>
      </c>
      <c r="E407" s="161" t="s">
        <v>1</v>
      </c>
      <c r="F407" s="162" t="s">
        <v>296</v>
      </c>
      <c r="H407" s="163">
        <v>231.75</v>
      </c>
      <c r="L407" s="195"/>
      <c r="M407" s="164"/>
      <c r="N407" s="165"/>
      <c r="O407" s="165"/>
      <c r="P407" s="165"/>
      <c r="Q407" s="165"/>
      <c r="R407" s="165"/>
      <c r="S407" s="165"/>
      <c r="T407" s="166"/>
      <c r="AT407" s="161" t="s">
        <v>152</v>
      </c>
      <c r="AU407" s="161" t="s">
        <v>82</v>
      </c>
      <c r="AV407" s="14" t="s">
        <v>82</v>
      </c>
      <c r="AW407" s="14" t="s">
        <v>28</v>
      </c>
      <c r="AX407" s="14" t="s">
        <v>72</v>
      </c>
      <c r="AY407" s="161" t="s">
        <v>137</v>
      </c>
    </row>
    <row r="408" spans="1:65" s="15" customFormat="1">
      <c r="B408" s="167"/>
      <c r="D408" s="150" t="s">
        <v>152</v>
      </c>
      <c r="E408" s="168" t="s">
        <v>1</v>
      </c>
      <c r="F408" s="169" t="s">
        <v>157</v>
      </c>
      <c r="H408" s="170">
        <v>323.88499999999999</v>
      </c>
      <c r="L408" s="195"/>
      <c r="M408" s="171"/>
      <c r="N408" s="172"/>
      <c r="O408" s="172"/>
      <c r="P408" s="172"/>
      <c r="Q408" s="172"/>
      <c r="R408" s="172"/>
      <c r="S408" s="172"/>
      <c r="T408" s="173"/>
      <c r="AT408" s="168" t="s">
        <v>152</v>
      </c>
      <c r="AU408" s="168" t="s">
        <v>82</v>
      </c>
      <c r="AV408" s="15" t="s">
        <v>144</v>
      </c>
      <c r="AW408" s="15" t="s">
        <v>28</v>
      </c>
      <c r="AX408" s="15" t="s">
        <v>80</v>
      </c>
      <c r="AY408" s="168" t="s">
        <v>137</v>
      </c>
    </row>
    <row r="409" spans="1:65" s="2" customFormat="1" ht="16.5" customHeight="1">
      <c r="A409" s="30"/>
      <c r="B409" s="137"/>
      <c r="C409" s="138">
        <v>85</v>
      </c>
      <c r="D409" s="138" t="s">
        <v>139</v>
      </c>
      <c r="E409" s="139" t="s">
        <v>447</v>
      </c>
      <c r="F409" s="140" t="s">
        <v>448</v>
      </c>
      <c r="G409" s="141" t="s">
        <v>142</v>
      </c>
      <c r="H409" s="142">
        <v>472.42500000000001</v>
      </c>
      <c r="I409" s="318">
        <v>0</v>
      </c>
      <c r="J409" s="143">
        <f>ROUND(I409*H409,2)</f>
        <v>0</v>
      </c>
      <c r="K409" s="140" t="s">
        <v>143</v>
      </c>
      <c r="L409" s="195"/>
      <c r="M409" s="144" t="s">
        <v>1</v>
      </c>
      <c r="N409" s="145" t="s">
        <v>37</v>
      </c>
      <c r="O409" s="146">
        <v>0.11600000000000001</v>
      </c>
      <c r="P409" s="146">
        <f>O409*H409</f>
        <v>54.801300000000005</v>
      </c>
      <c r="Q409" s="146">
        <v>0</v>
      </c>
      <c r="R409" s="146">
        <f>Q409*H409</f>
        <v>0</v>
      </c>
      <c r="S409" s="146">
        <v>1.6E-2</v>
      </c>
      <c r="T409" s="147">
        <f>S409*H409</f>
        <v>7.5588000000000006</v>
      </c>
      <c r="U409" s="30"/>
      <c r="V409" s="30"/>
      <c r="W409" s="30"/>
      <c r="X409" s="30"/>
      <c r="Y409" s="30"/>
      <c r="Z409" s="30"/>
      <c r="AA409" s="30"/>
      <c r="AB409" s="30"/>
      <c r="AC409" s="30"/>
      <c r="AD409" s="30"/>
      <c r="AE409" s="30"/>
      <c r="AR409" s="148" t="s">
        <v>144</v>
      </c>
      <c r="AT409" s="148" t="s">
        <v>139</v>
      </c>
      <c r="AU409" s="148" t="s">
        <v>82</v>
      </c>
      <c r="AY409" s="18" t="s">
        <v>137</v>
      </c>
      <c r="BE409" s="149">
        <f>IF(N409="základní",J409,0)</f>
        <v>0</v>
      </c>
      <c r="BF409" s="149">
        <f>IF(N409="snížená",J409,0)</f>
        <v>0</v>
      </c>
      <c r="BG409" s="149">
        <f>IF(N409="zákl. přenesená",J409,0)</f>
        <v>0</v>
      </c>
      <c r="BH409" s="149">
        <f>IF(N409="sníž. přenesená",J409,0)</f>
        <v>0</v>
      </c>
      <c r="BI409" s="149">
        <f>IF(N409="nulová",J409,0)</f>
        <v>0</v>
      </c>
      <c r="BJ409" s="18" t="s">
        <v>80</v>
      </c>
      <c r="BK409" s="149">
        <f>ROUND(I409*H409,2)</f>
        <v>0</v>
      </c>
      <c r="BL409" s="18" t="s">
        <v>144</v>
      </c>
      <c r="BM409" s="148" t="s">
        <v>451</v>
      </c>
    </row>
    <row r="410" spans="1:65" s="14" customFormat="1">
      <c r="B410" s="160"/>
      <c r="D410" s="150" t="s">
        <v>152</v>
      </c>
      <c r="E410" s="161" t="s">
        <v>1</v>
      </c>
      <c r="F410" s="162" t="s">
        <v>263</v>
      </c>
      <c r="H410" s="163">
        <v>96</v>
      </c>
      <c r="L410" s="195"/>
      <c r="M410" s="164"/>
      <c r="N410" s="165"/>
      <c r="O410" s="165"/>
      <c r="P410" s="165"/>
      <c r="Q410" s="165"/>
      <c r="R410" s="165"/>
      <c r="S410" s="165"/>
      <c r="T410" s="166"/>
      <c r="AT410" s="161" t="s">
        <v>152</v>
      </c>
      <c r="AU410" s="161" t="s">
        <v>82</v>
      </c>
      <c r="AV410" s="14" t="s">
        <v>82</v>
      </c>
      <c r="AW410" s="14" t="s">
        <v>28</v>
      </c>
      <c r="AX410" s="14" t="s">
        <v>72</v>
      </c>
      <c r="AY410" s="161" t="s">
        <v>137</v>
      </c>
    </row>
    <row r="411" spans="1:65" s="14" customFormat="1">
      <c r="B411" s="160"/>
      <c r="D411" s="150" t="s">
        <v>152</v>
      </c>
      <c r="E411" s="161" t="s">
        <v>1</v>
      </c>
      <c r="F411" s="162" t="s">
        <v>264</v>
      </c>
      <c r="H411" s="163">
        <v>376.42500000000001</v>
      </c>
      <c r="L411" s="195"/>
      <c r="M411" s="164"/>
      <c r="N411" s="165"/>
      <c r="O411" s="165"/>
      <c r="P411" s="165"/>
      <c r="Q411" s="165"/>
      <c r="R411" s="165"/>
      <c r="S411" s="165"/>
      <c r="T411" s="166"/>
      <c r="AT411" s="161" t="s">
        <v>152</v>
      </c>
      <c r="AU411" s="161" t="s">
        <v>82</v>
      </c>
      <c r="AV411" s="14" t="s">
        <v>82</v>
      </c>
      <c r="AW411" s="14" t="s">
        <v>28</v>
      </c>
      <c r="AX411" s="14" t="s">
        <v>72</v>
      </c>
      <c r="AY411" s="161" t="s">
        <v>137</v>
      </c>
    </row>
    <row r="412" spans="1:65" s="15" customFormat="1">
      <c r="B412" s="167"/>
      <c r="D412" s="150" t="s">
        <v>152</v>
      </c>
      <c r="E412" s="168" t="s">
        <v>1</v>
      </c>
      <c r="F412" s="169" t="s">
        <v>157</v>
      </c>
      <c r="H412" s="170">
        <v>472.42500000000001</v>
      </c>
      <c r="L412" s="195"/>
      <c r="M412" s="171"/>
      <c r="N412" s="172"/>
      <c r="O412" s="172"/>
      <c r="P412" s="172"/>
      <c r="Q412" s="172"/>
      <c r="R412" s="172"/>
      <c r="S412" s="172"/>
      <c r="T412" s="173"/>
      <c r="AT412" s="168" t="s">
        <v>152</v>
      </c>
      <c r="AU412" s="168" t="s">
        <v>82</v>
      </c>
      <c r="AV412" s="15" t="s">
        <v>144</v>
      </c>
      <c r="AW412" s="15" t="s">
        <v>28</v>
      </c>
      <c r="AX412" s="15" t="s">
        <v>80</v>
      </c>
      <c r="AY412" s="168" t="s">
        <v>137</v>
      </c>
    </row>
    <row r="413" spans="1:65" s="2" customFormat="1" ht="16.5" customHeight="1">
      <c r="A413" s="30"/>
      <c r="B413" s="137"/>
      <c r="C413" s="138">
        <v>86</v>
      </c>
      <c r="D413" s="138" t="s">
        <v>139</v>
      </c>
      <c r="E413" s="139" t="s">
        <v>452</v>
      </c>
      <c r="F413" s="140" t="s">
        <v>453</v>
      </c>
      <c r="G413" s="141" t="s">
        <v>142</v>
      </c>
      <c r="H413" s="142">
        <v>19</v>
      </c>
      <c r="I413" s="318">
        <v>0</v>
      </c>
      <c r="J413" s="143">
        <f>ROUND(I413*H413,2)</f>
        <v>0</v>
      </c>
      <c r="K413" s="140" t="s">
        <v>143</v>
      </c>
      <c r="L413" s="195"/>
      <c r="M413" s="144" t="s">
        <v>1</v>
      </c>
      <c r="N413" s="145" t="s">
        <v>37</v>
      </c>
      <c r="O413" s="146">
        <v>0.3</v>
      </c>
      <c r="P413" s="146">
        <f>O413*H413</f>
        <v>5.7</v>
      </c>
      <c r="Q413" s="146">
        <v>0</v>
      </c>
      <c r="R413" s="146">
        <f>Q413*H413</f>
        <v>0</v>
      </c>
      <c r="S413" s="146">
        <v>6.8000000000000005E-2</v>
      </c>
      <c r="T413" s="147">
        <f>S413*H413</f>
        <v>1.292</v>
      </c>
      <c r="U413" s="30"/>
      <c r="V413" s="30"/>
      <c r="W413" s="30"/>
      <c r="X413" s="30"/>
      <c r="Y413" s="30"/>
      <c r="Z413" s="30"/>
      <c r="AA413" s="30"/>
      <c r="AB413" s="30"/>
      <c r="AC413" s="30"/>
      <c r="AD413" s="30"/>
      <c r="AE413" s="30"/>
      <c r="AR413" s="148" t="s">
        <v>144</v>
      </c>
      <c r="AT413" s="148" t="s">
        <v>139</v>
      </c>
      <c r="AU413" s="148" t="s">
        <v>82</v>
      </c>
      <c r="AY413" s="18" t="s">
        <v>137</v>
      </c>
      <c r="BE413" s="149">
        <f>IF(N413="základní",J413,0)</f>
        <v>0</v>
      </c>
      <c r="BF413" s="149">
        <f>IF(N413="snížená",J413,0)</f>
        <v>0</v>
      </c>
      <c r="BG413" s="149">
        <f>IF(N413="zákl. přenesená",J413,0)</f>
        <v>0</v>
      </c>
      <c r="BH413" s="149">
        <f>IF(N413="sníž. přenesená",J413,0)</f>
        <v>0</v>
      </c>
      <c r="BI413" s="149">
        <f>IF(N413="nulová",J413,0)</f>
        <v>0</v>
      </c>
      <c r="BJ413" s="18" t="s">
        <v>80</v>
      </c>
      <c r="BK413" s="149">
        <f>ROUND(I413*H413,2)</f>
        <v>0</v>
      </c>
      <c r="BL413" s="18" t="s">
        <v>144</v>
      </c>
      <c r="BM413" s="148" t="s">
        <v>454</v>
      </c>
    </row>
    <row r="414" spans="1:65" s="2" customFormat="1" ht="16.5" customHeight="1">
      <c r="A414" s="30"/>
      <c r="B414" s="137"/>
      <c r="C414" s="138">
        <v>87</v>
      </c>
      <c r="D414" s="138" t="s">
        <v>139</v>
      </c>
      <c r="E414" s="139" t="s">
        <v>455</v>
      </c>
      <c r="F414" s="140" t="s">
        <v>456</v>
      </c>
      <c r="G414" s="141" t="s">
        <v>142</v>
      </c>
      <c r="H414" s="142">
        <v>71.099999999999994</v>
      </c>
      <c r="I414" s="318">
        <v>0</v>
      </c>
      <c r="J414" s="143">
        <f>ROUND(I414*H414,2)</f>
        <v>0</v>
      </c>
      <c r="K414" s="140" t="s">
        <v>143</v>
      </c>
      <c r="L414" s="195"/>
      <c r="M414" s="144" t="s">
        <v>1</v>
      </c>
      <c r="N414" s="145" t="s">
        <v>37</v>
      </c>
      <c r="O414" s="146">
        <v>0.39</v>
      </c>
      <c r="P414" s="146">
        <f>O414*H414</f>
        <v>27.728999999999999</v>
      </c>
      <c r="Q414" s="146">
        <v>0</v>
      </c>
      <c r="R414" s="146">
        <f>Q414*H414</f>
        <v>0</v>
      </c>
      <c r="S414" s="146">
        <v>8.8999999999999996E-2</v>
      </c>
      <c r="T414" s="147">
        <f>S414*H414</f>
        <v>6.3278999999999996</v>
      </c>
      <c r="U414" s="30"/>
      <c r="V414" s="30"/>
      <c r="W414" s="30"/>
      <c r="X414" s="30"/>
      <c r="Y414" s="30"/>
      <c r="Z414" s="30"/>
      <c r="AA414" s="30"/>
      <c r="AB414" s="30"/>
      <c r="AC414" s="30"/>
      <c r="AD414" s="30"/>
      <c r="AE414" s="30"/>
      <c r="AR414" s="148" t="s">
        <v>144</v>
      </c>
      <c r="AT414" s="148" t="s">
        <v>139</v>
      </c>
      <c r="AU414" s="148" t="s">
        <v>82</v>
      </c>
      <c r="AY414" s="18" t="s">
        <v>137</v>
      </c>
      <c r="BE414" s="149">
        <f>IF(N414="základní",J414,0)</f>
        <v>0</v>
      </c>
      <c r="BF414" s="149">
        <f>IF(N414="snížená",J414,0)</f>
        <v>0</v>
      </c>
      <c r="BG414" s="149">
        <f>IF(N414="zákl. přenesená",J414,0)</f>
        <v>0</v>
      </c>
      <c r="BH414" s="149">
        <f>IF(N414="sníž. přenesená",J414,0)</f>
        <v>0</v>
      </c>
      <c r="BI414" s="149">
        <f>IF(N414="nulová",J414,0)</f>
        <v>0</v>
      </c>
      <c r="BJ414" s="18" t="s">
        <v>80</v>
      </c>
      <c r="BK414" s="149">
        <f>ROUND(I414*H414,2)</f>
        <v>0</v>
      </c>
      <c r="BL414" s="18" t="s">
        <v>144</v>
      </c>
      <c r="BM414" s="148" t="s">
        <v>457</v>
      </c>
    </row>
    <row r="415" spans="1:65" s="14" customFormat="1">
      <c r="B415" s="160"/>
      <c r="D415" s="150" t="s">
        <v>152</v>
      </c>
      <c r="E415" s="161" t="s">
        <v>1</v>
      </c>
      <c r="F415" s="162" t="s">
        <v>288</v>
      </c>
      <c r="H415" s="163">
        <v>27.9</v>
      </c>
      <c r="L415" s="195"/>
      <c r="M415" s="164"/>
      <c r="N415" s="165"/>
      <c r="O415" s="165"/>
      <c r="P415" s="165"/>
      <c r="Q415" s="165"/>
      <c r="R415" s="165"/>
      <c r="S415" s="165"/>
      <c r="T415" s="166"/>
      <c r="AT415" s="161" t="s">
        <v>152</v>
      </c>
      <c r="AU415" s="161" t="s">
        <v>82</v>
      </c>
      <c r="AV415" s="14" t="s">
        <v>82</v>
      </c>
      <c r="AW415" s="14" t="s">
        <v>28</v>
      </c>
      <c r="AX415" s="14" t="s">
        <v>72</v>
      </c>
      <c r="AY415" s="161" t="s">
        <v>137</v>
      </c>
    </row>
    <row r="416" spans="1:65" s="14" customFormat="1">
      <c r="B416" s="160"/>
      <c r="D416" s="150" t="s">
        <v>152</v>
      </c>
      <c r="E416" s="161" t="s">
        <v>1</v>
      </c>
      <c r="F416" s="162" t="s">
        <v>289</v>
      </c>
      <c r="H416" s="163">
        <v>43.2</v>
      </c>
      <c r="L416" s="195"/>
      <c r="M416" s="164"/>
      <c r="N416" s="165"/>
      <c r="O416" s="165"/>
      <c r="P416" s="165"/>
      <c r="Q416" s="165"/>
      <c r="R416" s="165"/>
      <c r="S416" s="165"/>
      <c r="T416" s="166"/>
      <c r="AT416" s="161" t="s">
        <v>152</v>
      </c>
      <c r="AU416" s="161" t="s">
        <v>82</v>
      </c>
      <c r="AV416" s="14" t="s">
        <v>82</v>
      </c>
      <c r="AW416" s="14" t="s">
        <v>28</v>
      </c>
      <c r="AX416" s="14" t="s">
        <v>72</v>
      </c>
      <c r="AY416" s="161" t="s">
        <v>137</v>
      </c>
    </row>
    <row r="417" spans="1:65" s="15" customFormat="1">
      <c r="B417" s="167"/>
      <c r="D417" s="150" t="s">
        <v>152</v>
      </c>
      <c r="E417" s="168" t="s">
        <v>1</v>
      </c>
      <c r="F417" s="169" t="s">
        <v>157</v>
      </c>
      <c r="H417" s="170">
        <v>71.099999999999994</v>
      </c>
      <c r="L417" s="195"/>
      <c r="M417" s="171"/>
      <c r="N417" s="172"/>
      <c r="O417" s="172"/>
      <c r="P417" s="172"/>
      <c r="Q417" s="172"/>
      <c r="R417" s="172"/>
      <c r="S417" s="172"/>
      <c r="T417" s="173"/>
      <c r="AT417" s="168" t="s">
        <v>152</v>
      </c>
      <c r="AU417" s="168" t="s">
        <v>82</v>
      </c>
      <c r="AV417" s="15" t="s">
        <v>144</v>
      </c>
      <c r="AW417" s="15" t="s">
        <v>28</v>
      </c>
      <c r="AX417" s="15" t="s">
        <v>80</v>
      </c>
      <c r="AY417" s="168" t="s">
        <v>137</v>
      </c>
    </row>
    <row r="418" spans="1:65" s="2" customFormat="1" ht="16.5" customHeight="1">
      <c r="A418" s="30"/>
      <c r="B418" s="137"/>
      <c r="C418" s="138">
        <v>88</v>
      </c>
      <c r="D418" s="138" t="s">
        <v>139</v>
      </c>
      <c r="E418" s="139" t="s">
        <v>458</v>
      </c>
      <c r="F418" s="140" t="s">
        <v>459</v>
      </c>
      <c r="G418" s="141" t="s">
        <v>142</v>
      </c>
      <c r="H418" s="142">
        <v>94.484999999999999</v>
      </c>
      <c r="I418" s="318">
        <v>0</v>
      </c>
      <c r="J418" s="143">
        <f>ROUND(I418*H418,2)</f>
        <v>0</v>
      </c>
      <c r="K418" s="140" t="s">
        <v>143</v>
      </c>
      <c r="L418" s="195"/>
      <c r="M418" s="144" t="s">
        <v>1</v>
      </c>
      <c r="N418" s="145" t="s">
        <v>37</v>
      </c>
      <c r="O418" s="146">
        <v>0.77400000000000002</v>
      </c>
      <c r="P418" s="146">
        <f>O418*H418</f>
        <v>73.131389999999996</v>
      </c>
      <c r="Q418" s="146">
        <v>0</v>
      </c>
      <c r="R418" s="146">
        <f>Q418*H418</f>
        <v>0</v>
      </c>
      <c r="S418" s="146">
        <v>2.1999999999999999E-2</v>
      </c>
      <c r="T418" s="147">
        <f>S418*H418</f>
        <v>2.0786699999999998</v>
      </c>
      <c r="U418" s="30"/>
      <c r="V418" s="30"/>
      <c r="W418" s="30"/>
      <c r="X418" s="30"/>
      <c r="Y418" s="30"/>
      <c r="Z418" s="30"/>
      <c r="AA418" s="30"/>
      <c r="AB418" s="30"/>
      <c r="AC418" s="30"/>
      <c r="AD418" s="30"/>
      <c r="AE418" s="30"/>
      <c r="AR418" s="148" t="s">
        <v>144</v>
      </c>
      <c r="AT418" s="148" t="s">
        <v>139</v>
      </c>
      <c r="AU418" s="148" t="s">
        <v>82</v>
      </c>
      <c r="AY418" s="18" t="s">
        <v>137</v>
      </c>
      <c r="BE418" s="149">
        <f>IF(N418="základní",J418,0)</f>
        <v>0</v>
      </c>
      <c r="BF418" s="149">
        <f>IF(N418="snížená",J418,0)</f>
        <v>0</v>
      </c>
      <c r="BG418" s="149">
        <f>IF(N418="zákl. přenesená",J418,0)</f>
        <v>0</v>
      </c>
      <c r="BH418" s="149">
        <f>IF(N418="sníž. přenesená",J418,0)</f>
        <v>0</v>
      </c>
      <c r="BI418" s="149">
        <f>IF(N418="nulová",J418,0)</f>
        <v>0</v>
      </c>
      <c r="BJ418" s="18" t="s">
        <v>80</v>
      </c>
      <c r="BK418" s="149">
        <f>ROUND(I418*H418,2)</f>
        <v>0</v>
      </c>
      <c r="BL418" s="18" t="s">
        <v>144</v>
      </c>
      <c r="BM418" s="148" t="s">
        <v>460</v>
      </c>
    </row>
    <row r="419" spans="1:65" s="14" customFormat="1">
      <c r="B419" s="160"/>
      <c r="D419" s="150" t="s">
        <v>152</v>
      </c>
      <c r="E419" s="161" t="s">
        <v>1</v>
      </c>
      <c r="F419" s="162" t="s">
        <v>461</v>
      </c>
      <c r="H419" s="163">
        <v>94.484999999999999</v>
      </c>
      <c r="L419" s="195"/>
      <c r="M419" s="164"/>
      <c r="N419" s="165"/>
      <c r="O419" s="165"/>
      <c r="P419" s="165"/>
      <c r="Q419" s="165"/>
      <c r="R419" s="165"/>
      <c r="S419" s="165"/>
      <c r="T419" s="166"/>
      <c r="AT419" s="161" t="s">
        <v>152</v>
      </c>
      <c r="AU419" s="161" t="s">
        <v>82</v>
      </c>
      <c r="AV419" s="14" t="s">
        <v>82</v>
      </c>
      <c r="AW419" s="14" t="s">
        <v>28</v>
      </c>
      <c r="AX419" s="14" t="s">
        <v>72</v>
      </c>
      <c r="AY419" s="161" t="s">
        <v>137</v>
      </c>
    </row>
    <row r="420" spans="1:65" s="15" customFormat="1">
      <c r="B420" s="167"/>
      <c r="D420" s="150" t="s">
        <v>152</v>
      </c>
      <c r="E420" s="168" t="s">
        <v>1</v>
      </c>
      <c r="F420" s="169" t="s">
        <v>157</v>
      </c>
      <c r="H420" s="170">
        <v>94.484999999999999</v>
      </c>
      <c r="L420" s="195"/>
      <c r="M420" s="171"/>
      <c r="N420" s="172"/>
      <c r="O420" s="172"/>
      <c r="P420" s="172"/>
      <c r="Q420" s="172"/>
      <c r="R420" s="172"/>
      <c r="S420" s="172"/>
      <c r="T420" s="173"/>
      <c r="AT420" s="168" t="s">
        <v>152</v>
      </c>
      <c r="AU420" s="168" t="s">
        <v>82</v>
      </c>
      <c r="AV420" s="15" t="s">
        <v>144</v>
      </c>
      <c r="AW420" s="15" t="s">
        <v>28</v>
      </c>
      <c r="AX420" s="15" t="s">
        <v>80</v>
      </c>
      <c r="AY420" s="168" t="s">
        <v>137</v>
      </c>
    </row>
    <row r="421" spans="1:65" s="2" customFormat="1" ht="16.5" customHeight="1">
      <c r="A421" s="30"/>
      <c r="B421" s="137"/>
      <c r="C421" s="138">
        <v>89</v>
      </c>
      <c r="D421" s="138" t="s">
        <v>139</v>
      </c>
      <c r="E421" s="139" t="s">
        <v>462</v>
      </c>
      <c r="F421" s="140" t="s">
        <v>463</v>
      </c>
      <c r="G421" s="141" t="s">
        <v>142</v>
      </c>
      <c r="H421" s="142">
        <v>472.42500000000001</v>
      </c>
      <c r="I421" s="318">
        <v>0</v>
      </c>
      <c r="J421" s="143">
        <f>ROUND(I421*H421,2)</f>
        <v>0</v>
      </c>
      <c r="K421" s="140" t="s">
        <v>143</v>
      </c>
      <c r="L421" s="195"/>
      <c r="M421" s="144" t="s">
        <v>1</v>
      </c>
      <c r="N421" s="145" t="s">
        <v>37</v>
      </c>
      <c r="O421" s="146">
        <v>0.52</v>
      </c>
      <c r="P421" s="146">
        <f>O421*H421</f>
        <v>245.661</v>
      </c>
      <c r="Q421" s="146">
        <v>0</v>
      </c>
      <c r="R421" s="146">
        <f>Q421*H421</f>
        <v>0</v>
      </c>
      <c r="S421" s="146">
        <v>6.5000000000000002E-2</v>
      </c>
      <c r="T421" s="147">
        <f>S421*H421</f>
        <v>30.707625</v>
      </c>
      <c r="U421" s="30"/>
      <c r="V421" s="30"/>
      <c r="W421" s="30"/>
      <c r="X421" s="30"/>
      <c r="Y421" s="30"/>
      <c r="Z421" s="30"/>
      <c r="AA421" s="30"/>
      <c r="AB421" s="30"/>
      <c r="AC421" s="30"/>
      <c r="AD421" s="30"/>
      <c r="AE421" s="30"/>
      <c r="AR421" s="148" t="s">
        <v>144</v>
      </c>
      <c r="AT421" s="148" t="s">
        <v>139</v>
      </c>
      <c r="AU421" s="148" t="s">
        <v>82</v>
      </c>
      <c r="AY421" s="18" t="s">
        <v>137</v>
      </c>
      <c r="BE421" s="149">
        <f>IF(N421="základní",J421,0)</f>
        <v>0</v>
      </c>
      <c r="BF421" s="149">
        <f>IF(N421="snížená",J421,0)</f>
        <v>0</v>
      </c>
      <c r="BG421" s="149">
        <f>IF(N421="zákl. přenesená",J421,0)</f>
        <v>0</v>
      </c>
      <c r="BH421" s="149">
        <f>IF(N421="sníž. přenesená",J421,0)</f>
        <v>0</v>
      </c>
      <c r="BI421" s="149">
        <f>IF(N421="nulová",J421,0)</f>
        <v>0</v>
      </c>
      <c r="BJ421" s="18" t="s">
        <v>80</v>
      </c>
      <c r="BK421" s="149">
        <f>ROUND(I421*H421,2)</f>
        <v>0</v>
      </c>
      <c r="BL421" s="18" t="s">
        <v>144</v>
      </c>
      <c r="BM421" s="148" t="s">
        <v>464</v>
      </c>
    </row>
    <row r="422" spans="1:65" s="14" customFormat="1">
      <c r="B422" s="160"/>
      <c r="D422" s="150" t="s">
        <v>152</v>
      </c>
      <c r="E422" s="161" t="s">
        <v>1</v>
      </c>
      <c r="F422" s="162" t="s">
        <v>465</v>
      </c>
      <c r="H422" s="163">
        <v>472.42500000000001</v>
      </c>
      <c r="L422" s="195"/>
      <c r="M422" s="164"/>
      <c r="N422" s="165"/>
      <c r="O422" s="165"/>
      <c r="P422" s="165"/>
      <c r="Q422" s="165"/>
      <c r="R422" s="165"/>
      <c r="S422" s="165"/>
      <c r="T422" s="166"/>
      <c r="AT422" s="161" t="s">
        <v>152</v>
      </c>
      <c r="AU422" s="161" t="s">
        <v>82</v>
      </c>
      <c r="AV422" s="14" t="s">
        <v>82</v>
      </c>
      <c r="AW422" s="14" t="s">
        <v>28</v>
      </c>
      <c r="AX422" s="14" t="s">
        <v>72</v>
      </c>
      <c r="AY422" s="161" t="s">
        <v>137</v>
      </c>
    </row>
    <row r="423" spans="1:65" s="15" customFormat="1">
      <c r="B423" s="167"/>
      <c r="D423" s="150" t="s">
        <v>152</v>
      </c>
      <c r="E423" s="168" t="s">
        <v>1</v>
      </c>
      <c r="F423" s="169" t="s">
        <v>157</v>
      </c>
      <c r="H423" s="170">
        <v>472.42500000000001</v>
      </c>
      <c r="L423" s="195"/>
      <c r="M423" s="171"/>
      <c r="N423" s="172"/>
      <c r="O423" s="172"/>
      <c r="P423" s="172"/>
      <c r="Q423" s="172"/>
      <c r="R423" s="172"/>
      <c r="S423" s="172"/>
      <c r="T423" s="173"/>
      <c r="AT423" s="168" t="s">
        <v>152</v>
      </c>
      <c r="AU423" s="168" t="s">
        <v>82</v>
      </c>
      <c r="AV423" s="15" t="s">
        <v>144</v>
      </c>
      <c r="AW423" s="15" t="s">
        <v>28</v>
      </c>
      <c r="AX423" s="15" t="s">
        <v>80</v>
      </c>
      <c r="AY423" s="168" t="s">
        <v>137</v>
      </c>
    </row>
    <row r="424" spans="1:65" s="2" customFormat="1" ht="16.5" customHeight="1">
      <c r="A424" s="30"/>
      <c r="B424" s="137"/>
      <c r="C424" s="138">
        <v>90</v>
      </c>
      <c r="D424" s="138" t="s">
        <v>139</v>
      </c>
      <c r="E424" s="139" t="s">
        <v>466</v>
      </c>
      <c r="F424" s="140" t="s">
        <v>467</v>
      </c>
      <c r="G424" s="141" t="s">
        <v>142</v>
      </c>
      <c r="H424" s="142">
        <v>94.484999999999999</v>
      </c>
      <c r="I424" s="318">
        <v>0</v>
      </c>
      <c r="J424" s="143">
        <f>ROUND(I424*H424,2)</f>
        <v>0</v>
      </c>
      <c r="K424" s="140" t="s">
        <v>143</v>
      </c>
      <c r="L424" s="195"/>
      <c r="M424" s="144" t="s">
        <v>1</v>
      </c>
      <c r="N424" s="145" t="s">
        <v>37</v>
      </c>
      <c r="O424" s="146">
        <v>1.26</v>
      </c>
      <c r="P424" s="146">
        <f>O424*H424</f>
        <v>119.05110000000001</v>
      </c>
      <c r="Q424" s="146">
        <v>2.1100000000000001E-2</v>
      </c>
      <c r="R424" s="146">
        <f>Q424*H424</f>
        <v>1.9936335000000001</v>
      </c>
      <c r="S424" s="146">
        <v>0</v>
      </c>
      <c r="T424" s="147">
        <f>S424*H424</f>
        <v>0</v>
      </c>
      <c r="U424" s="30"/>
      <c r="V424" s="30"/>
      <c r="W424" s="30"/>
      <c r="X424" s="30"/>
      <c r="Y424" s="30"/>
      <c r="Z424" s="30"/>
      <c r="AA424" s="30"/>
      <c r="AB424" s="30"/>
      <c r="AC424" s="30"/>
      <c r="AD424" s="30"/>
      <c r="AE424" s="30"/>
      <c r="AR424" s="148" t="s">
        <v>144</v>
      </c>
      <c r="AT424" s="148" t="s">
        <v>139</v>
      </c>
      <c r="AU424" s="148" t="s">
        <v>82</v>
      </c>
      <c r="AY424" s="18" t="s">
        <v>137</v>
      </c>
      <c r="BE424" s="149">
        <f>IF(N424="základní",J424,0)</f>
        <v>0</v>
      </c>
      <c r="BF424" s="149">
        <f>IF(N424="snížená",J424,0)</f>
        <v>0</v>
      </c>
      <c r="BG424" s="149">
        <f>IF(N424="zákl. přenesená",J424,0)</f>
        <v>0</v>
      </c>
      <c r="BH424" s="149">
        <f>IF(N424="sníž. přenesená",J424,0)</f>
        <v>0</v>
      </c>
      <c r="BI424" s="149">
        <f>IF(N424="nulová",J424,0)</f>
        <v>0</v>
      </c>
      <c r="BJ424" s="18" t="s">
        <v>80</v>
      </c>
      <c r="BK424" s="149">
        <f>ROUND(I424*H424,2)</f>
        <v>0</v>
      </c>
      <c r="BL424" s="18" t="s">
        <v>144</v>
      </c>
      <c r="BM424" s="148" t="s">
        <v>468</v>
      </c>
    </row>
    <row r="425" spans="1:65" s="2" customFormat="1" ht="16.5" customHeight="1">
      <c r="A425" s="30"/>
      <c r="B425" s="137"/>
      <c r="C425" s="138">
        <v>91</v>
      </c>
      <c r="D425" s="138" t="s">
        <v>139</v>
      </c>
      <c r="E425" s="139" t="s">
        <v>469</v>
      </c>
      <c r="F425" s="140" t="s">
        <v>470</v>
      </c>
      <c r="G425" s="141" t="s">
        <v>142</v>
      </c>
      <c r="H425" s="142">
        <v>94.484999999999999</v>
      </c>
      <c r="I425" s="318">
        <v>0</v>
      </c>
      <c r="J425" s="143">
        <f>ROUND(I425*H425,2)</f>
        <v>0</v>
      </c>
      <c r="K425" s="140" t="s">
        <v>143</v>
      </c>
      <c r="L425" s="195"/>
      <c r="M425" s="144" t="s">
        <v>1</v>
      </c>
      <c r="N425" s="145" t="s">
        <v>37</v>
      </c>
      <c r="O425" s="146">
        <v>0.36099999999999999</v>
      </c>
      <c r="P425" s="146">
        <f>O425*H425</f>
        <v>34.109085</v>
      </c>
      <c r="Q425" s="146">
        <v>1.5299999999999999E-3</v>
      </c>
      <c r="R425" s="146">
        <f>Q425*H425</f>
        <v>0.14456205</v>
      </c>
      <c r="S425" s="146">
        <v>0</v>
      </c>
      <c r="T425" s="147">
        <f>S425*H425</f>
        <v>0</v>
      </c>
      <c r="U425" s="30"/>
      <c r="V425" s="30"/>
      <c r="W425" s="30"/>
      <c r="X425" s="30"/>
      <c r="Y425" s="30"/>
      <c r="Z425" s="30"/>
      <c r="AA425" s="30"/>
      <c r="AB425" s="30"/>
      <c r="AC425" s="30"/>
      <c r="AD425" s="30"/>
      <c r="AE425" s="30"/>
      <c r="AR425" s="148" t="s">
        <v>144</v>
      </c>
      <c r="AT425" s="148" t="s">
        <v>139</v>
      </c>
      <c r="AU425" s="148" t="s">
        <v>82</v>
      </c>
      <c r="AY425" s="18" t="s">
        <v>137</v>
      </c>
      <c r="BE425" s="149">
        <f>IF(N425="základní",J425,0)</f>
        <v>0</v>
      </c>
      <c r="BF425" s="149">
        <f>IF(N425="snížená",J425,0)</f>
        <v>0</v>
      </c>
      <c r="BG425" s="149">
        <f>IF(N425="zákl. přenesená",J425,0)</f>
        <v>0</v>
      </c>
      <c r="BH425" s="149">
        <f>IF(N425="sníž. přenesená",J425,0)</f>
        <v>0</v>
      </c>
      <c r="BI425" s="149">
        <f>IF(N425="nulová",J425,0)</f>
        <v>0</v>
      </c>
      <c r="BJ425" s="18" t="s">
        <v>80</v>
      </c>
      <c r="BK425" s="149">
        <f>ROUND(I425*H425,2)</f>
        <v>0</v>
      </c>
      <c r="BL425" s="18" t="s">
        <v>144</v>
      </c>
      <c r="BM425" s="148" t="s">
        <v>471</v>
      </c>
    </row>
    <row r="426" spans="1:65" s="14" customFormat="1">
      <c r="B426" s="160"/>
      <c r="D426" s="150" t="s">
        <v>152</v>
      </c>
      <c r="E426" s="161" t="s">
        <v>1</v>
      </c>
      <c r="F426" s="162" t="s">
        <v>461</v>
      </c>
      <c r="H426" s="163">
        <v>94.484999999999999</v>
      </c>
      <c r="L426" s="195"/>
      <c r="M426" s="164"/>
      <c r="N426" s="165"/>
      <c r="O426" s="165"/>
      <c r="P426" s="165"/>
      <c r="Q426" s="165"/>
      <c r="R426" s="165"/>
      <c r="S426" s="165"/>
      <c r="T426" s="166"/>
      <c r="AT426" s="161" t="s">
        <v>152</v>
      </c>
      <c r="AU426" s="161" t="s">
        <v>82</v>
      </c>
      <c r="AV426" s="14" t="s">
        <v>82</v>
      </c>
      <c r="AW426" s="14" t="s">
        <v>28</v>
      </c>
      <c r="AX426" s="14" t="s">
        <v>72</v>
      </c>
      <c r="AY426" s="161" t="s">
        <v>137</v>
      </c>
    </row>
    <row r="427" spans="1:65" s="15" customFormat="1">
      <c r="B427" s="167"/>
      <c r="D427" s="150" t="s">
        <v>152</v>
      </c>
      <c r="E427" s="168" t="s">
        <v>1</v>
      </c>
      <c r="F427" s="169" t="s">
        <v>157</v>
      </c>
      <c r="H427" s="170">
        <v>94.484999999999999</v>
      </c>
      <c r="L427" s="195"/>
      <c r="M427" s="171"/>
      <c r="N427" s="172"/>
      <c r="O427" s="172"/>
      <c r="P427" s="172"/>
      <c r="Q427" s="172"/>
      <c r="R427" s="172"/>
      <c r="S427" s="172"/>
      <c r="T427" s="173"/>
      <c r="AT427" s="168" t="s">
        <v>152</v>
      </c>
      <c r="AU427" s="168" t="s">
        <v>82</v>
      </c>
      <c r="AV427" s="15" t="s">
        <v>144</v>
      </c>
      <c r="AW427" s="15" t="s">
        <v>28</v>
      </c>
      <c r="AX427" s="15" t="s">
        <v>80</v>
      </c>
      <c r="AY427" s="168" t="s">
        <v>137</v>
      </c>
    </row>
    <row r="428" spans="1:65" s="2" customFormat="1" ht="16.5" customHeight="1">
      <c r="A428" s="30"/>
      <c r="B428" s="137"/>
      <c r="C428" s="138">
        <v>92</v>
      </c>
      <c r="D428" s="138" t="s">
        <v>139</v>
      </c>
      <c r="E428" s="139" t="s">
        <v>472</v>
      </c>
      <c r="F428" s="140" t="s">
        <v>473</v>
      </c>
      <c r="G428" s="141" t="s">
        <v>142</v>
      </c>
      <c r="H428" s="142">
        <v>94.484999999999999</v>
      </c>
      <c r="I428" s="318">
        <v>0</v>
      </c>
      <c r="J428" s="143">
        <f>ROUND(I428*H428,2)</f>
        <v>0</v>
      </c>
      <c r="K428" s="140" t="s">
        <v>143</v>
      </c>
      <c r="L428" s="195"/>
      <c r="M428" s="144" t="s">
        <v>1</v>
      </c>
      <c r="N428" s="145" t="s">
        <v>37</v>
      </c>
      <c r="O428" s="146">
        <v>0.51</v>
      </c>
      <c r="P428" s="146">
        <f>O428*H428</f>
        <v>48.187350000000002</v>
      </c>
      <c r="Q428" s="146">
        <v>2.0999999999999999E-3</v>
      </c>
      <c r="R428" s="146">
        <f>Q428*H428</f>
        <v>0.1984185</v>
      </c>
      <c r="S428" s="146">
        <v>0</v>
      </c>
      <c r="T428" s="147">
        <f>S428*H428</f>
        <v>0</v>
      </c>
      <c r="U428" s="30"/>
      <c r="V428" s="30"/>
      <c r="W428" s="30"/>
      <c r="X428" s="30"/>
      <c r="Y428" s="30"/>
      <c r="Z428" s="30"/>
      <c r="AA428" s="30"/>
      <c r="AB428" s="30"/>
      <c r="AC428" s="30"/>
      <c r="AD428" s="30"/>
      <c r="AE428" s="30"/>
      <c r="AR428" s="148" t="s">
        <v>144</v>
      </c>
      <c r="AT428" s="148" t="s">
        <v>139</v>
      </c>
      <c r="AU428" s="148" t="s">
        <v>82</v>
      </c>
      <c r="AY428" s="18" t="s">
        <v>137</v>
      </c>
      <c r="BE428" s="149">
        <f>IF(N428="základní",J428,0)</f>
        <v>0</v>
      </c>
      <c r="BF428" s="149">
        <f>IF(N428="snížená",J428,0)</f>
        <v>0</v>
      </c>
      <c r="BG428" s="149">
        <f>IF(N428="zákl. přenesená",J428,0)</f>
        <v>0</v>
      </c>
      <c r="BH428" s="149">
        <f>IF(N428="sníž. přenesená",J428,0)</f>
        <v>0</v>
      </c>
      <c r="BI428" s="149">
        <f>IF(N428="nulová",J428,0)</f>
        <v>0</v>
      </c>
      <c r="BJ428" s="18" t="s">
        <v>80</v>
      </c>
      <c r="BK428" s="149">
        <f>ROUND(I428*H428,2)</f>
        <v>0</v>
      </c>
      <c r="BL428" s="18" t="s">
        <v>144</v>
      </c>
      <c r="BM428" s="148" t="s">
        <v>474</v>
      </c>
    </row>
    <row r="429" spans="1:65" s="14" customFormat="1">
      <c r="B429" s="160"/>
      <c r="D429" s="150" t="s">
        <v>152</v>
      </c>
      <c r="E429" s="161" t="s">
        <v>1</v>
      </c>
      <c r="F429" s="162" t="s">
        <v>461</v>
      </c>
      <c r="H429" s="163">
        <v>94.484999999999999</v>
      </c>
      <c r="L429" s="160"/>
      <c r="M429" s="164"/>
      <c r="N429" s="165"/>
      <c r="O429" s="165"/>
      <c r="P429" s="165"/>
      <c r="Q429" s="165"/>
      <c r="R429" s="165"/>
      <c r="S429" s="165"/>
      <c r="T429" s="166"/>
      <c r="AT429" s="161" t="s">
        <v>152</v>
      </c>
      <c r="AU429" s="161" t="s">
        <v>82</v>
      </c>
      <c r="AV429" s="14" t="s">
        <v>82</v>
      </c>
      <c r="AW429" s="14" t="s">
        <v>28</v>
      </c>
      <c r="AX429" s="14" t="s">
        <v>72</v>
      </c>
      <c r="AY429" s="161" t="s">
        <v>137</v>
      </c>
    </row>
    <row r="430" spans="1:65" s="15" customFormat="1">
      <c r="B430" s="167"/>
      <c r="D430" s="150" t="s">
        <v>152</v>
      </c>
      <c r="E430" s="168" t="s">
        <v>1</v>
      </c>
      <c r="F430" s="169" t="s">
        <v>157</v>
      </c>
      <c r="H430" s="170">
        <v>94.484999999999999</v>
      </c>
      <c r="L430" s="167"/>
      <c r="M430" s="171"/>
      <c r="N430" s="172"/>
      <c r="O430" s="172"/>
      <c r="P430" s="172"/>
      <c r="Q430" s="172"/>
      <c r="R430" s="172"/>
      <c r="S430" s="172"/>
      <c r="T430" s="173"/>
      <c r="AT430" s="168" t="s">
        <v>152</v>
      </c>
      <c r="AU430" s="168" t="s">
        <v>82</v>
      </c>
      <c r="AV430" s="15" t="s">
        <v>144</v>
      </c>
      <c r="AW430" s="15" t="s">
        <v>28</v>
      </c>
      <c r="AX430" s="15" t="s">
        <v>80</v>
      </c>
      <c r="AY430" s="168" t="s">
        <v>137</v>
      </c>
    </row>
    <row r="431" spans="1:65" s="12" customFormat="1" ht="11.4" customHeight="1">
      <c r="B431" s="125"/>
      <c r="D431" s="126" t="s">
        <v>71</v>
      </c>
      <c r="E431" s="135" t="s">
        <v>475</v>
      </c>
      <c r="F431" s="135" t="s">
        <v>476</v>
      </c>
      <c r="J431" s="136">
        <f>SUM(J432:J442)</f>
        <v>0</v>
      </c>
      <c r="L431" s="125"/>
      <c r="M431" s="129"/>
      <c r="N431" s="130"/>
      <c r="O431" s="130"/>
      <c r="P431" s="131">
        <f>SUM(P432:P443)</f>
        <v>0</v>
      </c>
      <c r="Q431" s="130"/>
      <c r="R431" s="131">
        <f>SUM(R432:R443)</f>
        <v>0</v>
      </c>
      <c r="S431" s="130"/>
      <c r="T431" s="132">
        <f>SUM(T432:T443)</f>
        <v>0</v>
      </c>
      <c r="AR431" s="126" t="s">
        <v>80</v>
      </c>
      <c r="AT431" s="133" t="s">
        <v>71</v>
      </c>
      <c r="AU431" s="133" t="s">
        <v>82</v>
      </c>
      <c r="AY431" s="126" t="s">
        <v>137</v>
      </c>
      <c r="BK431" s="134">
        <f>SUM(BK432:BK443)</f>
        <v>0</v>
      </c>
    </row>
    <row r="432" spans="1:65" s="2" customFormat="1" ht="15.6" customHeight="1">
      <c r="A432" s="30"/>
      <c r="B432" s="137"/>
      <c r="C432" s="138">
        <v>93</v>
      </c>
      <c r="D432" s="138" t="s">
        <v>139</v>
      </c>
      <c r="E432" s="139" t="s">
        <v>478</v>
      </c>
      <c r="F432" s="140" t="s">
        <v>827</v>
      </c>
      <c r="G432" s="141" t="s">
        <v>477</v>
      </c>
      <c r="H432" s="142">
        <v>1</v>
      </c>
      <c r="I432" s="318">
        <v>0</v>
      </c>
      <c r="J432" s="143">
        <f>ROUND(I432*H432,2)</f>
        <v>0</v>
      </c>
      <c r="K432" s="140" t="s">
        <v>148</v>
      </c>
      <c r="L432" s="195"/>
      <c r="M432" s="144" t="s">
        <v>1</v>
      </c>
      <c r="N432" s="145" t="s">
        <v>37</v>
      </c>
      <c r="O432" s="146">
        <v>0</v>
      </c>
      <c r="P432" s="146">
        <f>O432*H432</f>
        <v>0</v>
      </c>
      <c r="Q432" s="146">
        <v>0</v>
      </c>
      <c r="R432" s="146">
        <f>Q432*H432</f>
        <v>0</v>
      </c>
      <c r="S432" s="146">
        <v>0</v>
      </c>
      <c r="T432" s="147">
        <f>S432*H432</f>
        <v>0</v>
      </c>
      <c r="U432" s="30"/>
      <c r="V432" s="30"/>
      <c r="W432" s="30"/>
      <c r="X432" s="30"/>
      <c r="Y432" s="30"/>
      <c r="Z432" s="30"/>
      <c r="AA432" s="30"/>
      <c r="AB432" s="30"/>
      <c r="AC432" s="30"/>
      <c r="AD432" s="30"/>
      <c r="AE432" s="30"/>
      <c r="AR432" s="148" t="s">
        <v>144</v>
      </c>
      <c r="AT432" s="148" t="s">
        <v>139</v>
      </c>
      <c r="AU432" s="148" t="s">
        <v>158</v>
      </c>
      <c r="AY432" s="18" t="s">
        <v>137</v>
      </c>
      <c r="BE432" s="149">
        <f>IF(N432="základní",J432,0)</f>
        <v>0</v>
      </c>
      <c r="BF432" s="149">
        <f>IF(N432="snížená",J432,0)</f>
        <v>0</v>
      </c>
      <c r="BG432" s="149">
        <f>IF(N432="zákl. přenesená",J432,0)</f>
        <v>0</v>
      </c>
      <c r="BH432" s="149">
        <f>IF(N432="sníž. přenesená",J432,0)</f>
        <v>0</v>
      </c>
      <c r="BI432" s="149">
        <f>IF(N432="nulová",J432,0)</f>
        <v>0</v>
      </c>
      <c r="BJ432" s="18" t="s">
        <v>80</v>
      </c>
      <c r="BK432" s="149">
        <f>ROUND(I432*H432,2)</f>
        <v>0</v>
      </c>
      <c r="BL432" s="18" t="s">
        <v>144</v>
      </c>
      <c r="BM432" s="148" t="s">
        <v>479</v>
      </c>
    </row>
    <row r="433" spans="1:65" s="2" customFormat="1" ht="409.2" customHeight="1">
      <c r="A433" s="30"/>
      <c r="B433" s="31"/>
      <c r="C433" s="30"/>
      <c r="D433" s="150" t="s">
        <v>150</v>
      </c>
      <c r="E433" s="30"/>
      <c r="F433" s="307" t="s">
        <v>829</v>
      </c>
      <c r="G433" s="30"/>
      <c r="H433" s="30"/>
      <c r="I433" s="30"/>
      <c r="J433" s="30"/>
      <c r="K433" s="30"/>
      <c r="L433" s="31"/>
      <c r="M433" s="152"/>
      <c r="N433" s="153"/>
      <c r="O433" s="56"/>
      <c r="P433" s="56"/>
      <c r="Q433" s="56"/>
      <c r="R433" s="56"/>
      <c r="S433" s="56"/>
      <c r="T433" s="57"/>
      <c r="U433" s="30"/>
      <c r="V433" s="30"/>
      <c r="W433" s="30"/>
      <c r="X433" s="30"/>
      <c r="Y433" s="30"/>
      <c r="Z433" s="30"/>
      <c r="AA433" s="30"/>
      <c r="AB433" s="30"/>
      <c r="AC433" s="30"/>
      <c r="AD433" s="30"/>
      <c r="AE433" s="30"/>
      <c r="AT433" s="18" t="s">
        <v>150</v>
      </c>
      <c r="AU433" s="18" t="s">
        <v>158</v>
      </c>
    </row>
    <row r="434" spans="1:65" s="2" customFormat="1" ht="21.75" customHeight="1">
      <c r="A434" s="30"/>
      <c r="B434" s="137"/>
      <c r="C434" s="138">
        <v>94</v>
      </c>
      <c r="D434" s="138" t="s">
        <v>139</v>
      </c>
      <c r="E434" s="139" t="s">
        <v>480</v>
      </c>
      <c r="F434" s="140" t="s">
        <v>481</v>
      </c>
      <c r="G434" s="141" t="s">
        <v>482</v>
      </c>
      <c r="H434" s="142">
        <v>5</v>
      </c>
      <c r="I434" s="318">
        <v>0</v>
      </c>
      <c r="J434" s="143">
        <f>ROUND(I434*H434,2)</f>
        <v>0</v>
      </c>
      <c r="K434" s="140" t="s">
        <v>148</v>
      </c>
      <c r="L434" s="31"/>
      <c r="M434" s="144" t="s">
        <v>1</v>
      </c>
      <c r="N434" s="145" t="s">
        <v>37</v>
      </c>
      <c r="O434" s="146">
        <v>0</v>
      </c>
      <c r="P434" s="146">
        <f>O434*H434</f>
        <v>0</v>
      </c>
      <c r="Q434" s="146">
        <v>0</v>
      </c>
      <c r="R434" s="146">
        <f>Q434*H434</f>
        <v>0</v>
      </c>
      <c r="S434" s="146">
        <v>0</v>
      </c>
      <c r="T434" s="147">
        <f>S434*H434</f>
        <v>0</v>
      </c>
      <c r="U434" s="30"/>
      <c r="V434" s="30"/>
      <c r="W434" s="30"/>
      <c r="X434" s="30"/>
      <c r="Y434" s="30"/>
      <c r="Z434" s="30"/>
      <c r="AA434" s="30"/>
      <c r="AB434" s="30"/>
      <c r="AC434" s="30"/>
      <c r="AD434" s="30"/>
      <c r="AE434" s="30"/>
      <c r="AR434" s="148" t="s">
        <v>144</v>
      </c>
      <c r="AT434" s="148" t="s">
        <v>139</v>
      </c>
      <c r="AU434" s="148" t="s">
        <v>158</v>
      </c>
      <c r="AY434" s="18" t="s">
        <v>137</v>
      </c>
      <c r="BE434" s="149">
        <f>IF(N434="základní",J434,0)</f>
        <v>0</v>
      </c>
      <c r="BF434" s="149">
        <f>IF(N434="snížená",J434,0)</f>
        <v>0</v>
      </c>
      <c r="BG434" s="149">
        <f>IF(N434="zákl. přenesená",J434,0)</f>
        <v>0</v>
      </c>
      <c r="BH434" s="149">
        <f>IF(N434="sníž. přenesená",J434,0)</f>
        <v>0</v>
      </c>
      <c r="BI434" s="149">
        <f>IF(N434="nulová",J434,0)</f>
        <v>0</v>
      </c>
      <c r="BJ434" s="18" t="s">
        <v>80</v>
      </c>
      <c r="BK434" s="149">
        <f>ROUND(I434*H434,2)</f>
        <v>0</v>
      </c>
      <c r="BL434" s="18" t="s">
        <v>144</v>
      </c>
      <c r="BM434" s="148" t="s">
        <v>483</v>
      </c>
    </row>
    <row r="435" spans="1:65" s="2" customFormat="1" ht="28.8">
      <c r="A435" s="30"/>
      <c r="B435" s="31"/>
      <c r="C435" s="30"/>
      <c r="D435" s="150" t="s">
        <v>150</v>
      </c>
      <c r="E435" s="30"/>
      <c r="F435" s="151" t="s">
        <v>362</v>
      </c>
      <c r="G435" s="30"/>
      <c r="H435" s="30"/>
      <c r="I435" s="30"/>
      <c r="J435" s="30"/>
      <c r="K435" s="30"/>
      <c r="L435" s="31"/>
      <c r="M435" s="152"/>
      <c r="N435" s="153"/>
      <c r="O435" s="56"/>
      <c r="P435" s="56"/>
      <c r="Q435" s="56"/>
      <c r="R435" s="56"/>
      <c r="S435" s="56"/>
      <c r="T435" s="57"/>
      <c r="U435" s="30"/>
      <c r="V435" s="30"/>
      <c r="W435" s="30"/>
      <c r="X435" s="30"/>
      <c r="Y435" s="30"/>
      <c r="Z435" s="30"/>
      <c r="AA435" s="30"/>
      <c r="AB435" s="30"/>
      <c r="AC435" s="30"/>
      <c r="AD435" s="30"/>
      <c r="AE435" s="30"/>
      <c r="AT435" s="18" t="s">
        <v>150</v>
      </c>
      <c r="AU435" s="18" t="s">
        <v>158</v>
      </c>
    </row>
    <row r="436" spans="1:65" s="2" customFormat="1" ht="16.5" customHeight="1">
      <c r="A436" s="30"/>
      <c r="B436" s="137"/>
      <c r="C436" s="138">
        <v>95</v>
      </c>
      <c r="D436" s="138" t="s">
        <v>139</v>
      </c>
      <c r="E436" s="139" t="s">
        <v>484</v>
      </c>
      <c r="F436" s="140" t="s">
        <v>485</v>
      </c>
      <c r="G436" s="141" t="s">
        <v>482</v>
      </c>
      <c r="H436" s="142">
        <v>12</v>
      </c>
      <c r="I436" s="318">
        <v>0</v>
      </c>
      <c r="J436" s="143">
        <f>ROUND(I436*H436,2)</f>
        <v>0</v>
      </c>
      <c r="K436" s="140" t="s">
        <v>148</v>
      </c>
      <c r="L436" s="31"/>
      <c r="M436" s="144" t="s">
        <v>1</v>
      </c>
      <c r="N436" s="145" t="s">
        <v>37</v>
      </c>
      <c r="O436" s="146">
        <v>0</v>
      </c>
      <c r="P436" s="146">
        <f>O436*H436</f>
        <v>0</v>
      </c>
      <c r="Q436" s="146">
        <v>0</v>
      </c>
      <c r="R436" s="146">
        <f>Q436*H436</f>
        <v>0</v>
      </c>
      <c r="S436" s="146">
        <v>0</v>
      </c>
      <c r="T436" s="147">
        <f>S436*H436</f>
        <v>0</v>
      </c>
      <c r="U436" s="30"/>
      <c r="V436" s="30"/>
      <c r="W436" s="30"/>
      <c r="X436" s="30"/>
      <c r="Y436" s="30"/>
      <c r="Z436" s="30"/>
      <c r="AA436" s="30"/>
      <c r="AB436" s="30"/>
      <c r="AC436" s="30"/>
      <c r="AD436" s="30"/>
      <c r="AE436" s="30"/>
      <c r="AR436" s="148" t="s">
        <v>144</v>
      </c>
      <c r="AT436" s="148" t="s">
        <v>139</v>
      </c>
      <c r="AU436" s="148" t="s">
        <v>158</v>
      </c>
      <c r="AY436" s="18" t="s">
        <v>137</v>
      </c>
      <c r="BE436" s="149">
        <f>IF(N436="základní",J436,0)</f>
        <v>0</v>
      </c>
      <c r="BF436" s="149">
        <f>IF(N436="snížená",J436,0)</f>
        <v>0</v>
      </c>
      <c r="BG436" s="149">
        <f>IF(N436="zákl. přenesená",J436,0)</f>
        <v>0</v>
      </c>
      <c r="BH436" s="149">
        <f>IF(N436="sníž. přenesená",J436,0)</f>
        <v>0</v>
      </c>
      <c r="BI436" s="149">
        <f>IF(N436="nulová",J436,0)</f>
        <v>0</v>
      </c>
      <c r="BJ436" s="18" t="s">
        <v>80</v>
      </c>
      <c r="BK436" s="149">
        <f>ROUND(I436*H436,2)</f>
        <v>0</v>
      </c>
      <c r="BL436" s="18" t="s">
        <v>144</v>
      </c>
      <c r="BM436" s="148" t="s">
        <v>486</v>
      </c>
    </row>
    <row r="437" spans="1:65" s="2" customFormat="1" ht="28.8">
      <c r="A437" s="30"/>
      <c r="B437" s="31"/>
      <c r="C437" s="30"/>
      <c r="D437" s="150" t="s">
        <v>150</v>
      </c>
      <c r="E437" s="30"/>
      <c r="F437" s="151" t="s">
        <v>362</v>
      </c>
      <c r="G437" s="30"/>
      <c r="H437" s="30"/>
      <c r="I437" s="30"/>
      <c r="J437" s="30"/>
      <c r="K437" s="30"/>
      <c r="L437" s="31"/>
      <c r="M437" s="152"/>
      <c r="N437" s="153"/>
      <c r="O437" s="56"/>
      <c r="P437" s="56"/>
      <c r="Q437" s="56"/>
      <c r="R437" s="56"/>
      <c r="S437" s="56"/>
      <c r="T437" s="57"/>
      <c r="U437" s="30"/>
      <c r="V437" s="30"/>
      <c r="W437" s="30"/>
      <c r="X437" s="30"/>
      <c r="Y437" s="30"/>
      <c r="Z437" s="30"/>
      <c r="AA437" s="30"/>
      <c r="AB437" s="30"/>
      <c r="AC437" s="30"/>
      <c r="AD437" s="30"/>
      <c r="AE437" s="30"/>
      <c r="AT437" s="18" t="s">
        <v>150</v>
      </c>
      <c r="AU437" s="18" t="s">
        <v>158</v>
      </c>
    </row>
    <row r="438" spans="1:65" s="2" customFormat="1" ht="24.15" customHeight="1">
      <c r="A438" s="220"/>
      <c r="B438" s="306"/>
      <c r="C438" s="210">
        <v>96</v>
      </c>
      <c r="D438" s="210" t="s">
        <v>139</v>
      </c>
      <c r="E438" s="211" t="s">
        <v>487</v>
      </c>
      <c r="F438" s="212" t="s">
        <v>488</v>
      </c>
      <c r="G438" s="213" t="s">
        <v>477</v>
      </c>
      <c r="H438" s="251">
        <v>2</v>
      </c>
      <c r="I438" s="319">
        <v>0</v>
      </c>
      <c r="J438" s="214">
        <f>ROUND(I438*H438,2)</f>
        <v>0</v>
      </c>
      <c r="K438" s="212" t="s">
        <v>148</v>
      </c>
      <c r="L438" s="215"/>
      <c r="M438" s="216" t="s">
        <v>1</v>
      </c>
      <c r="N438" s="217" t="s">
        <v>37</v>
      </c>
      <c r="O438" s="218">
        <v>0</v>
      </c>
      <c r="P438" s="218">
        <f>O438*H438</f>
        <v>0</v>
      </c>
      <c r="Q438" s="218">
        <v>0</v>
      </c>
      <c r="R438" s="218">
        <f>Q438*H438</f>
        <v>0</v>
      </c>
      <c r="S438" s="218">
        <v>0</v>
      </c>
      <c r="T438" s="219">
        <f>S438*H438</f>
        <v>0</v>
      </c>
      <c r="U438" s="220"/>
      <c r="V438" s="220"/>
      <c r="W438" s="220"/>
      <c r="X438" s="30"/>
      <c r="Y438" s="30"/>
      <c r="Z438" s="30"/>
      <c r="AA438" s="30"/>
      <c r="AB438" s="30"/>
      <c r="AC438" s="30"/>
      <c r="AD438" s="30"/>
      <c r="AE438" s="30"/>
      <c r="AR438" s="148" t="s">
        <v>144</v>
      </c>
      <c r="AT438" s="148" t="s">
        <v>139</v>
      </c>
      <c r="AU438" s="148" t="s">
        <v>158</v>
      </c>
      <c r="AY438" s="18" t="s">
        <v>137</v>
      </c>
      <c r="BE438" s="149">
        <f>IF(N438="základní",J438,0)</f>
        <v>0</v>
      </c>
      <c r="BF438" s="149">
        <f>IF(N438="snížená",J438,0)</f>
        <v>0</v>
      </c>
      <c r="BG438" s="149">
        <f>IF(N438="zákl. přenesená",J438,0)</f>
        <v>0</v>
      </c>
      <c r="BH438" s="149">
        <f>IF(N438="sníž. přenesená",J438,0)</f>
        <v>0</v>
      </c>
      <c r="BI438" s="149">
        <f>IF(N438="nulová",J438,0)</f>
        <v>0</v>
      </c>
      <c r="BJ438" s="18" t="s">
        <v>80</v>
      </c>
      <c r="BK438" s="149">
        <f>ROUND(I438*H438,2)</f>
        <v>0</v>
      </c>
      <c r="BL438" s="18" t="s">
        <v>144</v>
      </c>
      <c r="BM438" s="148" t="s">
        <v>489</v>
      </c>
    </row>
    <row r="439" spans="1:65" s="2" customFormat="1" ht="28.8">
      <c r="A439" s="30"/>
      <c r="B439" s="31"/>
      <c r="C439" s="30"/>
      <c r="D439" s="150" t="s">
        <v>150</v>
      </c>
      <c r="E439" s="30"/>
      <c r="F439" s="151" t="s">
        <v>362</v>
      </c>
      <c r="G439" s="30"/>
      <c r="H439" s="30"/>
      <c r="I439" s="30"/>
      <c r="J439" s="30"/>
      <c r="K439" s="30"/>
      <c r="L439" s="31"/>
      <c r="M439" s="152"/>
      <c r="N439" s="153"/>
      <c r="O439" s="56"/>
      <c r="P439" s="56"/>
      <c r="Q439" s="56"/>
      <c r="R439" s="56"/>
      <c r="S439" s="56"/>
      <c r="T439" s="57"/>
      <c r="U439" s="30"/>
      <c r="V439" s="30"/>
      <c r="W439" s="30"/>
      <c r="X439" s="30"/>
      <c r="Y439" s="30"/>
      <c r="Z439" s="30"/>
      <c r="AA439" s="30"/>
      <c r="AB439" s="30"/>
      <c r="AC439" s="30"/>
      <c r="AD439" s="30"/>
      <c r="AE439" s="30"/>
      <c r="AT439" s="18" t="s">
        <v>150</v>
      </c>
      <c r="AU439" s="18" t="s">
        <v>158</v>
      </c>
    </row>
    <row r="440" spans="1:65" s="2" customFormat="1" ht="16.5" customHeight="1">
      <c r="A440" s="30"/>
      <c r="B440" s="137"/>
      <c r="C440" s="138">
        <v>97</v>
      </c>
      <c r="D440" s="138" t="s">
        <v>139</v>
      </c>
      <c r="E440" s="139" t="s">
        <v>490</v>
      </c>
      <c r="F440" s="193" t="s">
        <v>828</v>
      </c>
      <c r="G440" s="141" t="s">
        <v>477</v>
      </c>
      <c r="H440" s="142">
        <v>2</v>
      </c>
      <c r="I440" s="318">
        <v>0</v>
      </c>
      <c r="J440" s="143">
        <f>ROUND(I440*H440,2)</f>
        <v>0</v>
      </c>
      <c r="K440" s="140" t="s">
        <v>148</v>
      </c>
      <c r="L440" s="195"/>
      <c r="M440" s="144" t="s">
        <v>1</v>
      </c>
      <c r="N440" s="145" t="s">
        <v>37</v>
      </c>
      <c r="O440" s="146">
        <v>0</v>
      </c>
      <c r="P440" s="146">
        <f>O440*H440</f>
        <v>0</v>
      </c>
      <c r="Q440" s="146">
        <v>0</v>
      </c>
      <c r="R440" s="146">
        <f>Q440*H440</f>
        <v>0</v>
      </c>
      <c r="S440" s="146">
        <v>0</v>
      </c>
      <c r="T440" s="147">
        <f>S440*H440</f>
        <v>0</v>
      </c>
      <c r="U440" s="30"/>
      <c r="V440" s="30"/>
      <c r="W440" s="30"/>
      <c r="X440" s="30"/>
      <c r="Y440" s="30"/>
      <c r="Z440" s="30"/>
      <c r="AA440" s="30"/>
      <c r="AB440" s="30"/>
      <c r="AC440" s="30"/>
      <c r="AD440" s="30"/>
      <c r="AE440" s="30"/>
      <c r="AR440" s="148" t="s">
        <v>144</v>
      </c>
      <c r="AT440" s="148" t="s">
        <v>139</v>
      </c>
      <c r="AU440" s="148" t="s">
        <v>158</v>
      </c>
      <c r="AY440" s="18" t="s">
        <v>137</v>
      </c>
      <c r="BE440" s="149">
        <f>IF(N440="základní",J440,0)</f>
        <v>0</v>
      </c>
      <c r="BF440" s="149">
        <f>IF(N440="snížená",J440,0)</f>
        <v>0</v>
      </c>
      <c r="BG440" s="149">
        <f>IF(N440="zákl. přenesená",J440,0)</f>
        <v>0</v>
      </c>
      <c r="BH440" s="149">
        <f>IF(N440="sníž. přenesená",J440,0)</f>
        <v>0</v>
      </c>
      <c r="BI440" s="149">
        <f>IF(N440="nulová",J440,0)</f>
        <v>0</v>
      </c>
      <c r="BJ440" s="18" t="s">
        <v>80</v>
      </c>
      <c r="BK440" s="149">
        <f>ROUND(I440*H440,2)</f>
        <v>0</v>
      </c>
      <c r="BL440" s="18" t="s">
        <v>144</v>
      </c>
      <c r="BM440" s="148" t="s">
        <v>491</v>
      </c>
    </row>
    <row r="441" spans="1:65" s="2" customFormat="1" ht="409.2" customHeight="1">
      <c r="A441" s="30"/>
      <c r="B441" s="31"/>
      <c r="C441" s="30"/>
      <c r="D441" s="150" t="s">
        <v>150</v>
      </c>
      <c r="E441" s="30"/>
      <c r="F441" s="307" t="s">
        <v>825</v>
      </c>
      <c r="G441" s="30"/>
      <c r="H441" s="30"/>
      <c r="I441" s="30"/>
      <c r="J441" s="30"/>
      <c r="K441" s="30"/>
      <c r="L441" s="195"/>
      <c r="M441" s="152"/>
      <c r="N441" s="153"/>
      <c r="O441" s="56"/>
      <c r="P441" s="56"/>
      <c r="Q441" s="56"/>
      <c r="R441" s="56"/>
      <c r="S441" s="56"/>
      <c r="T441" s="57"/>
      <c r="U441" s="30"/>
      <c r="V441" s="30"/>
      <c r="W441" s="30"/>
      <c r="X441" s="30"/>
      <c r="Y441" s="30"/>
      <c r="Z441" s="30"/>
      <c r="AA441" s="30"/>
      <c r="AB441" s="30"/>
      <c r="AC441" s="30"/>
      <c r="AD441" s="30"/>
      <c r="AE441" s="30"/>
      <c r="AT441" s="18" t="s">
        <v>150</v>
      </c>
      <c r="AU441" s="18" t="s">
        <v>158</v>
      </c>
    </row>
    <row r="442" spans="1:65" s="2" customFormat="1" ht="24.15" customHeight="1">
      <c r="A442" s="30"/>
      <c r="B442" s="137"/>
      <c r="C442" s="138" t="s">
        <v>492</v>
      </c>
      <c r="D442" s="138" t="s">
        <v>139</v>
      </c>
      <c r="E442" s="139" t="s">
        <v>493</v>
      </c>
      <c r="F442" s="140" t="s">
        <v>494</v>
      </c>
      <c r="G442" s="141" t="s">
        <v>482</v>
      </c>
      <c r="H442" s="142">
        <v>1</v>
      </c>
      <c r="I442" s="318">
        <v>0</v>
      </c>
      <c r="J442" s="143">
        <f>ROUND(I442*H442,2)</f>
        <v>0</v>
      </c>
      <c r="K442" s="140" t="s">
        <v>148</v>
      </c>
      <c r="L442" s="195"/>
      <c r="M442" s="144" t="s">
        <v>1</v>
      </c>
      <c r="N442" s="145" t="s">
        <v>37</v>
      </c>
      <c r="O442" s="146">
        <v>0</v>
      </c>
      <c r="P442" s="146">
        <f>O442*H442</f>
        <v>0</v>
      </c>
      <c r="Q442" s="146">
        <v>0</v>
      </c>
      <c r="R442" s="146">
        <f>Q442*H442</f>
        <v>0</v>
      </c>
      <c r="S442" s="146">
        <v>0</v>
      </c>
      <c r="T442" s="147">
        <f>S442*H442</f>
        <v>0</v>
      </c>
      <c r="U442" s="30"/>
      <c r="V442" s="30"/>
      <c r="W442" s="30"/>
      <c r="X442" s="30"/>
      <c r="Y442" s="30"/>
      <c r="Z442" s="30"/>
      <c r="AA442" s="30"/>
      <c r="AB442" s="30"/>
      <c r="AC442" s="30"/>
      <c r="AD442" s="30"/>
      <c r="AE442" s="30"/>
      <c r="AR442" s="148" t="s">
        <v>144</v>
      </c>
      <c r="AT442" s="148" t="s">
        <v>139</v>
      </c>
      <c r="AU442" s="148" t="s">
        <v>158</v>
      </c>
      <c r="AY442" s="18" t="s">
        <v>137</v>
      </c>
      <c r="BE442" s="149">
        <f>IF(N442="základní",J442,0)</f>
        <v>0</v>
      </c>
      <c r="BF442" s="149">
        <f>IF(N442="snížená",J442,0)</f>
        <v>0</v>
      </c>
      <c r="BG442" s="149">
        <f>IF(N442="zákl. přenesená",J442,0)</f>
        <v>0</v>
      </c>
      <c r="BH442" s="149">
        <f>IF(N442="sníž. přenesená",J442,0)</f>
        <v>0</v>
      </c>
      <c r="BI442" s="149">
        <f>IF(N442="nulová",J442,0)</f>
        <v>0</v>
      </c>
      <c r="BJ442" s="18" t="s">
        <v>80</v>
      </c>
      <c r="BK442" s="149">
        <f>ROUND(I442*H442,2)</f>
        <v>0</v>
      </c>
      <c r="BL442" s="18" t="s">
        <v>144</v>
      </c>
      <c r="BM442" s="148" t="s">
        <v>495</v>
      </c>
    </row>
    <row r="443" spans="1:65" s="2" customFormat="1" ht="28.8">
      <c r="A443" s="30"/>
      <c r="B443" s="31"/>
      <c r="C443" s="30"/>
      <c r="D443" s="150" t="s">
        <v>150</v>
      </c>
      <c r="E443" s="30"/>
      <c r="F443" s="151" t="s">
        <v>362</v>
      </c>
      <c r="G443" s="30"/>
      <c r="H443" s="30"/>
      <c r="I443" s="30"/>
      <c r="J443" s="30"/>
      <c r="K443" s="30"/>
      <c r="L443" s="31"/>
      <c r="M443" s="152"/>
      <c r="N443" s="153"/>
      <c r="O443" s="56"/>
      <c r="P443" s="56"/>
      <c r="Q443" s="56"/>
      <c r="R443" s="56"/>
      <c r="S443" s="56"/>
      <c r="T443" s="57"/>
      <c r="U443" s="30"/>
      <c r="V443" s="30"/>
      <c r="W443" s="30"/>
      <c r="X443" s="30"/>
      <c r="Y443" s="30"/>
      <c r="Z443" s="30"/>
      <c r="AA443" s="30"/>
      <c r="AB443" s="30"/>
      <c r="AC443" s="30"/>
      <c r="AD443" s="30"/>
      <c r="AE443" s="30"/>
      <c r="AT443" s="18" t="s">
        <v>150</v>
      </c>
      <c r="AU443" s="18" t="s">
        <v>158</v>
      </c>
    </row>
    <row r="444" spans="1:65" s="12" customFormat="1" ht="22.95" customHeight="1">
      <c r="B444" s="125"/>
      <c r="D444" s="126" t="s">
        <v>71</v>
      </c>
      <c r="E444" s="135" t="s">
        <v>496</v>
      </c>
      <c r="F444" s="135" t="s">
        <v>497</v>
      </c>
      <c r="J444" s="136">
        <f>SUM(J445:J459)</f>
        <v>0</v>
      </c>
      <c r="L444" s="125"/>
      <c r="M444" s="129"/>
      <c r="N444" s="130"/>
      <c r="O444" s="130"/>
      <c r="P444" s="131">
        <f>SUM(P445:P457)</f>
        <v>400.74942600000003</v>
      </c>
      <c r="Q444" s="130"/>
      <c r="R444" s="131">
        <f>SUM(R445:R457)</f>
        <v>0</v>
      </c>
      <c r="S444" s="130"/>
      <c r="T444" s="132">
        <f>SUM(T445:T457)</f>
        <v>0</v>
      </c>
      <c r="V444" s="311"/>
      <c r="AR444" s="126" t="s">
        <v>80</v>
      </c>
      <c r="AT444" s="133" t="s">
        <v>71</v>
      </c>
      <c r="AU444" s="133" t="s">
        <v>80</v>
      </c>
      <c r="AY444" s="126" t="s">
        <v>137</v>
      </c>
      <c r="BK444" s="134">
        <f>SUM(BK445:BK457)</f>
        <v>0</v>
      </c>
    </row>
    <row r="445" spans="1:65" s="2" customFormat="1" ht="16.5" customHeight="1">
      <c r="A445" s="30"/>
      <c r="B445" s="137"/>
      <c r="C445" s="245">
        <v>98</v>
      </c>
      <c r="D445" s="245" t="s">
        <v>139</v>
      </c>
      <c r="E445" s="246" t="s">
        <v>498</v>
      </c>
      <c r="F445" s="247" t="s">
        <v>499</v>
      </c>
      <c r="G445" s="248" t="s">
        <v>187</v>
      </c>
      <c r="H445" s="308">
        <f>316.86+234.045+0.882+25.343+0.452+0.7</f>
        <v>578.28199999999993</v>
      </c>
      <c r="I445" s="318">
        <v>0</v>
      </c>
      <c r="J445" s="249">
        <f>ROUND(I445*H445,2)</f>
        <v>0</v>
      </c>
      <c r="K445" s="247" t="s">
        <v>148</v>
      </c>
      <c r="L445" s="237"/>
      <c r="M445" s="238"/>
      <c r="N445" s="239"/>
      <c r="O445" s="240"/>
      <c r="P445" s="240"/>
      <c r="Q445" s="240"/>
      <c r="R445" s="240"/>
      <c r="S445" s="240"/>
      <c r="T445" s="241"/>
      <c r="U445" s="242"/>
      <c r="V445" s="242"/>
      <c r="W445" s="242"/>
      <c r="X445" s="30"/>
      <c r="Y445" s="30"/>
      <c r="Z445" s="30"/>
      <c r="AA445" s="30"/>
      <c r="AB445" s="30"/>
      <c r="AC445" s="30"/>
      <c r="AD445" s="30"/>
      <c r="AE445" s="30"/>
      <c r="AR445" s="148" t="s">
        <v>144</v>
      </c>
      <c r="AT445" s="148" t="s">
        <v>139</v>
      </c>
      <c r="AU445" s="148" t="s">
        <v>82</v>
      </c>
      <c r="AY445" s="18" t="s">
        <v>137</v>
      </c>
      <c r="BE445" s="149">
        <f>IF(N445="základní",J445,0)</f>
        <v>0</v>
      </c>
      <c r="BF445" s="149">
        <f>IF(N445="snížená",J445,0)</f>
        <v>0</v>
      </c>
      <c r="BG445" s="149">
        <f>IF(N445="zákl. přenesená",J445,0)</f>
        <v>0</v>
      </c>
      <c r="BH445" s="149">
        <f>IF(N445="sníž. přenesená",J445,0)</f>
        <v>0</v>
      </c>
      <c r="BI445" s="149">
        <f>IF(N445="nulová",J445,0)</f>
        <v>0</v>
      </c>
      <c r="BJ445" s="18" t="s">
        <v>80</v>
      </c>
      <c r="BK445" s="149">
        <f>ROUND(I445*H445,2)</f>
        <v>0</v>
      </c>
      <c r="BL445" s="18" t="s">
        <v>144</v>
      </c>
      <c r="BM445" s="148" t="s">
        <v>500</v>
      </c>
    </row>
    <row r="446" spans="1:65" s="2" customFormat="1" ht="29.25" customHeight="1">
      <c r="A446" s="30"/>
      <c r="B446" s="137"/>
      <c r="C446" s="245">
        <v>99</v>
      </c>
      <c r="D446" s="245" t="s">
        <v>139</v>
      </c>
      <c r="E446" s="246" t="s">
        <v>834</v>
      </c>
      <c r="F446" s="247" t="s">
        <v>833</v>
      </c>
      <c r="G446" s="248" t="s">
        <v>187</v>
      </c>
      <c r="H446" s="321">
        <v>129.327</v>
      </c>
      <c r="I446" s="323">
        <v>0</v>
      </c>
      <c r="J446" s="249">
        <f>ROUND(I446*H446,2)</f>
        <v>0</v>
      </c>
      <c r="K446" s="247" t="s">
        <v>143</v>
      </c>
      <c r="L446" s="195"/>
      <c r="M446" s="144"/>
      <c r="N446" s="145"/>
      <c r="O446" s="146"/>
      <c r="P446" s="146"/>
      <c r="Q446" s="146"/>
      <c r="R446" s="146"/>
      <c r="S446" s="146"/>
      <c r="T446" s="147"/>
      <c r="U446" s="30"/>
      <c r="V446" s="30"/>
      <c r="W446" s="30"/>
      <c r="X446" s="30"/>
      <c r="Y446" s="30"/>
      <c r="Z446" s="30"/>
      <c r="AA446" s="30"/>
      <c r="AB446" s="30"/>
      <c r="AC446" s="30"/>
      <c r="AD446" s="30"/>
      <c r="AE446" s="30"/>
      <c r="AR446" s="148" t="s">
        <v>144</v>
      </c>
      <c r="AT446" s="148" t="s">
        <v>139</v>
      </c>
      <c r="AU446" s="148" t="s">
        <v>82</v>
      </c>
      <c r="AY446" s="18" t="s">
        <v>137</v>
      </c>
      <c r="BE446" s="149">
        <f>IF(N446="základní",J446,0)</f>
        <v>0</v>
      </c>
      <c r="BF446" s="149">
        <f>IF(N446="snížená",J446,0)</f>
        <v>0</v>
      </c>
      <c r="BG446" s="149">
        <f>IF(N446="zákl. přenesená",J446,0)</f>
        <v>0</v>
      </c>
      <c r="BH446" s="149">
        <f>IF(N446="sníž. přenesená",J446,0)</f>
        <v>0</v>
      </c>
      <c r="BI446" s="149">
        <f>IF(N446="nulová",J446,0)</f>
        <v>0</v>
      </c>
      <c r="BJ446" s="18" t="s">
        <v>80</v>
      </c>
      <c r="BK446" s="149">
        <f>ROUND(I446*H446,2)</f>
        <v>0</v>
      </c>
      <c r="BL446" s="18" t="s">
        <v>144</v>
      </c>
      <c r="BM446" s="148" t="s">
        <v>501</v>
      </c>
    </row>
    <row r="447" spans="1:65" s="2" customFormat="1" ht="48">
      <c r="A447" s="30"/>
      <c r="B447" s="31"/>
      <c r="C447" s="220"/>
      <c r="D447" s="265" t="s">
        <v>150</v>
      </c>
      <c r="E447" s="220"/>
      <c r="F447" s="266" t="s">
        <v>502</v>
      </c>
      <c r="G447" s="220"/>
      <c r="H447" s="220"/>
      <c r="I447" s="220"/>
      <c r="J447" s="220"/>
      <c r="K447" s="220"/>
      <c r="L447" s="31"/>
      <c r="M447" s="152"/>
      <c r="N447" s="153"/>
      <c r="O447" s="56"/>
      <c r="P447" s="56"/>
      <c r="Q447" s="56"/>
      <c r="R447" s="56"/>
      <c r="S447" s="56"/>
      <c r="T447" s="57"/>
      <c r="U447" s="30"/>
      <c r="V447" s="30"/>
      <c r="W447" s="30"/>
      <c r="X447" s="30"/>
      <c r="Y447" s="30"/>
      <c r="Z447" s="30"/>
      <c r="AA447" s="30"/>
      <c r="AB447" s="30"/>
      <c r="AC447" s="30"/>
      <c r="AD447" s="30"/>
      <c r="AE447" s="30"/>
      <c r="AT447" s="18" t="s">
        <v>150</v>
      </c>
      <c r="AU447" s="18" t="s">
        <v>82</v>
      </c>
    </row>
    <row r="448" spans="1:65" s="2" customFormat="1" ht="22.8">
      <c r="A448" s="234"/>
      <c r="B448" s="322"/>
      <c r="C448" s="245">
        <v>100</v>
      </c>
      <c r="D448" s="245" t="s">
        <v>139</v>
      </c>
      <c r="E448" s="246" t="s">
        <v>836</v>
      </c>
      <c r="F448" s="247" t="s">
        <v>835</v>
      </c>
      <c r="G448" s="248" t="s">
        <v>187</v>
      </c>
      <c r="H448" s="321">
        <v>105.6</v>
      </c>
      <c r="I448" s="323">
        <v>0</v>
      </c>
      <c r="J448" s="249">
        <f>ROUND(I448*H448,2)</f>
        <v>0</v>
      </c>
      <c r="K448" s="247" t="s">
        <v>143</v>
      </c>
      <c r="L448" s="31"/>
      <c r="M448" s="152"/>
      <c r="N448" s="153"/>
      <c r="O448" s="56"/>
      <c r="P448" s="56"/>
      <c r="Q448" s="56"/>
      <c r="R448" s="56"/>
      <c r="S448" s="56"/>
      <c r="T448" s="57"/>
      <c r="U448" s="234"/>
      <c r="V448" s="234"/>
      <c r="W448" s="234"/>
      <c r="X448" s="234"/>
      <c r="Y448" s="234"/>
      <c r="Z448" s="234"/>
      <c r="AA448" s="234"/>
      <c r="AB448" s="234"/>
      <c r="AC448" s="234"/>
      <c r="AD448" s="234"/>
      <c r="AE448" s="234"/>
      <c r="AT448" s="18"/>
      <c r="AU448" s="18"/>
    </row>
    <row r="449" spans="1:65" s="2" customFormat="1">
      <c r="A449" s="234"/>
      <c r="B449" s="31"/>
      <c r="C449" s="267"/>
      <c r="D449" s="267"/>
      <c r="E449" s="267"/>
      <c r="F449" s="267"/>
      <c r="G449" s="267"/>
      <c r="H449" s="267"/>
      <c r="I449" s="267"/>
      <c r="J449" s="267"/>
      <c r="K449" s="268"/>
      <c r="L449" s="31"/>
      <c r="M449" s="152"/>
      <c r="N449" s="153"/>
      <c r="O449" s="56"/>
      <c r="P449" s="56"/>
      <c r="Q449" s="56"/>
      <c r="R449" s="56"/>
      <c r="S449" s="56"/>
      <c r="T449" s="57"/>
      <c r="U449" s="234"/>
      <c r="V449" s="234"/>
      <c r="W449" s="234"/>
      <c r="X449" s="234"/>
      <c r="Y449" s="234"/>
      <c r="Z449" s="234"/>
      <c r="AA449" s="234"/>
      <c r="AB449" s="234"/>
      <c r="AC449" s="234"/>
      <c r="AD449" s="234"/>
      <c r="AE449" s="234"/>
      <c r="AT449" s="18"/>
      <c r="AU449" s="18"/>
    </row>
    <row r="450" spans="1:65" s="2" customFormat="1" ht="22.8">
      <c r="A450" s="234"/>
      <c r="B450" s="31"/>
      <c r="C450" s="245">
        <v>101</v>
      </c>
      <c r="D450" s="245" t="s">
        <v>139</v>
      </c>
      <c r="E450" s="246" t="s">
        <v>838</v>
      </c>
      <c r="F450" s="247" t="s">
        <v>837</v>
      </c>
      <c r="G450" s="248" t="s">
        <v>187</v>
      </c>
      <c r="H450" s="321">
        <v>25.343</v>
      </c>
      <c r="I450" s="323">
        <v>0</v>
      </c>
      <c r="J450" s="249">
        <f>ROUND(I450*H450,2)</f>
        <v>0</v>
      </c>
      <c r="K450" s="247" t="s">
        <v>143</v>
      </c>
      <c r="L450" s="31"/>
      <c r="M450" s="152"/>
      <c r="N450" s="153"/>
      <c r="O450" s="56"/>
      <c r="P450" s="56"/>
      <c r="Q450" s="56"/>
      <c r="R450" s="56"/>
      <c r="S450" s="56"/>
      <c r="T450" s="57"/>
      <c r="U450" s="234"/>
      <c r="V450" s="234"/>
      <c r="W450" s="234"/>
      <c r="X450" s="234"/>
      <c r="Y450" s="234"/>
      <c r="Z450" s="234"/>
      <c r="AA450" s="234"/>
      <c r="AB450" s="234"/>
      <c r="AC450" s="234"/>
      <c r="AD450" s="234"/>
      <c r="AE450" s="234"/>
      <c r="AT450" s="18"/>
      <c r="AU450" s="18"/>
    </row>
    <row r="451" spans="1:65" s="2" customFormat="1" ht="16.5" customHeight="1">
      <c r="A451" s="30"/>
      <c r="B451" s="137"/>
      <c r="C451" s="220"/>
      <c r="D451" s="220"/>
      <c r="E451" s="220"/>
      <c r="F451" s="220"/>
      <c r="G451" s="220"/>
      <c r="H451" s="220"/>
      <c r="I451" s="220"/>
      <c r="J451" s="220"/>
      <c r="K451" s="269"/>
      <c r="L451" s="31"/>
      <c r="M451" s="144" t="s">
        <v>1</v>
      </c>
      <c r="N451" s="145" t="s">
        <v>37</v>
      </c>
      <c r="O451" s="146">
        <v>0.246</v>
      </c>
      <c r="P451" s="146">
        <f>O451*H456</f>
        <v>142.257372</v>
      </c>
      <c r="Q451" s="146">
        <v>0</v>
      </c>
      <c r="R451" s="146">
        <f>Q451*H456</f>
        <v>0</v>
      </c>
      <c r="S451" s="146">
        <v>0</v>
      </c>
      <c r="T451" s="147">
        <f>S451*H456</f>
        <v>0</v>
      </c>
      <c r="U451" s="30"/>
      <c r="V451" s="30"/>
      <c r="W451" s="30"/>
      <c r="X451" s="30"/>
      <c r="Y451" s="30"/>
      <c r="Z451" s="30"/>
      <c r="AA451" s="30"/>
      <c r="AB451" s="30"/>
      <c r="AC451" s="30"/>
      <c r="AD451" s="30"/>
      <c r="AE451" s="30"/>
      <c r="AR451" s="148" t="s">
        <v>144</v>
      </c>
      <c r="AT451" s="148" t="s">
        <v>139</v>
      </c>
      <c r="AU451" s="148" t="s">
        <v>82</v>
      </c>
      <c r="AY451" s="18" t="s">
        <v>137</v>
      </c>
      <c r="BE451" s="149">
        <f>IF(N451="základní",J456,0)</f>
        <v>0</v>
      </c>
      <c r="BF451" s="149">
        <f>IF(N451="snížená",J456,0)</f>
        <v>0</v>
      </c>
      <c r="BG451" s="149">
        <f>IF(N451="zákl. přenesená",J456,0)</f>
        <v>0</v>
      </c>
      <c r="BH451" s="149">
        <f>IF(N451="sníž. přenesená",J456,0)</f>
        <v>0</v>
      </c>
      <c r="BI451" s="149">
        <f>IF(N451="nulová",J456,0)</f>
        <v>0</v>
      </c>
      <c r="BJ451" s="18" t="s">
        <v>80</v>
      </c>
      <c r="BK451" s="149">
        <f>ROUND(I456*H456,2)</f>
        <v>0</v>
      </c>
      <c r="BL451" s="18" t="s">
        <v>144</v>
      </c>
      <c r="BM451" s="148" t="s">
        <v>505</v>
      </c>
    </row>
    <row r="452" spans="1:65" s="2" customFormat="1" ht="16.5" customHeight="1">
      <c r="A452" s="234"/>
      <c r="B452" s="137"/>
      <c r="C452" s="210">
        <v>102</v>
      </c>
      <c r="D452" s="210" t="s">
        <v>811</v>
      </c>
      <c r="E452" s="211" t="s">
        <v>810</v>
      </c>
      <c r="F452" s="212" t="s">
        <v>812</v>
      </c>
      <c r="G452" s="213" t="s">
        <v>187</v>
      </c>
      <c r="H452" s="251">
        <v>0.45200000000000001</v>
      </c>
      <c r="I452" s="318">
        <v>0</v>
      </c>
      <c r="J452" s="214">
        <f>ROUND(I452*H452,2)</f>
        <v>0</v>
      </c>
      <c r="K452" s="212" t="s">
        <v>143</v>
      </c>
      <c r="L452" s="31"/>
      <c r="M452" s="144"/>
      <c r="N452" s="145"/>
      <c r="O452" s="146"/>
      <c r="P452" s="146"/>
      <c r="Q452" s="146"/>
      <c r="R452" s="146"/>
      <c r="S452" s="146"/>
      <c r="T452" s="147"/>
      <c r="U452" s="234"/>
      <c r="V452" s="234"/>
      <c r="W452" s="234"/>
      <c r="X452" s="234"/>
      <c r="Y452" s="234"/>
      <c r="Z452" s="234"/>
      <c r="AA452" s="234"/>
      <c r="AB452" s="234"/>
      <c r="AC452" s="234"/>
      <c r="AD452" s="234"/>
      <c r="AE452" s="234"/>
      <c r="AR452" s="148"/>
      <c r="AT452" s="148"/>
      <c r="AU452" s="148"/>
      <c r="AY452" s="18"/>
      <c r="BE452" s="149"/>
      <c r="BF452" s="149"/>
      <c r="BG452" s="149"/>
      <c r="BH452" s="149"/>
      <c r="BI452" s="149"/>
      <c r="BJ452" s="18"/>
      <c r="BK452" s="149"/>
      <c r="BL452" s="18"/>
      <c r="BM452" s="148"/>
    </row>
    <row r="453" spans="1:65" s="2" customFormat="1" ht="16.5" customHeight="1">
      <c r="A453" s="234"/>
      <c r="B453" s="137"/>
      <c r="C453" s="270"/>
      <c r="D453" s="270"/>
      <c r="E453" s="271"/>
      <c r="F453" s="272"/>
      <c r="G453" s="273"/>
      <c r="H453" s="274"/>
      <c r="I453" s="275"/>
      <c r="J453" s="275"/>
      <c r="K453" s="272"/>
      <c r="L453" s="31"/>
      <c r="M453" s="144"/>
      <c r="N453" s="145"/>
      <c r="O453" s="146"/>
      <c r="P453" s="146"/>
      <c r="Q453" s="146"/>
      <c r="R453" s="146"/>
      <c r="S453" s="146"/>
      <c r="T453" s="147"/>
      <c r="U453" s="234"/>
      <c r="V453" s="234"/>
      <c r="W453" s="234"/>
      <c r="X453" s="234"/>
      <c r="Y453" s="234"/>
      <c r="Z453" s="234"/>
      <c r="AA453" s="234"/>
      <c r="AB453" s="234"/>
      <c r="AC453" s="234"/>
      <c r="AD453" s="234"/>
      <c r="AE453" s="234"/>
      <c r="AR453" s="148"/>
      <c r="AT453" s="148"/>
      <c r="AU453" s="148"/>
      <c r="AY453" s="18"/>
      <c r="BE453" s="149"/>
      <c r="BF453" s="149"/>
      <c r="BG453" s="149"/>
      <c r="BH453" s="149"/>
      <c r="BI453" s="149"/>
      <c r="BJ453" s="18"/>
      <c r="BK453" s="149"/>
      <c r="BL453" s="18"/>
      <c r="BM453" s="148"/>
    </row>
    <row r="454" spans="1:65" s="2" customFormat="1" ht="16.5" customHeight="1">
      <c r="A454" s="234"/>
      <c r="B454" s="137"/>
      <c r="C454" s="210">
        <v>103</v>
      </c>
      <c r="D454" s="210" t="s">
        <v>811</v>
      </c>
      <c r="E454" s="211" t="s">
        <v>813</v>
      </c>
      <c r="F454" s="212" t="s">
        <v>814</v>
      </c>
      <c r="G454" s="213" t="s">
        <v>187</v>
      </c>
      <c r="H454" s="251">
        <v>0.7</v>
      </c>
      <c r="I454" s="318">
        <v>0</v>
      </c>
      <c r="J454" s="214">
        <f>ROUND(I454*H454,2)</f>
        <v>0</v>
      </c>
      <c r="K454" s="212" t="s">
        <v>143</v>
      </c>
      <c r="L454" s="31"/>
      <c r="M454" s="144"/>
      <c r="N454" s="145"/>
      <c r="O454" s="146"/>
      <c r="P454" s="146"/>
      <c r="Q454" s="146"/>
      <c r="R454" s="146"/>
      <c r="S454" s="146"/>
      <c r="T454" s="147"/>
      <c r="U454" s="234"/>
      <c r="V454" s="234"/>
      <c r="W454" s="234"/>
      <c r="X454" s="234"/>
      <c r="Y454" s="234"/>
      <c r="Z454" s="234"/>
      <c r="AA454" s="234"/>
      <c r="AB454" s="234"/>
      <c r="AC454" s="234"/>
      <c r="AD454" s="234"/>
      <c r="AE454" s="234"/>
      <c r="AR454" s="148"/>
      <c r="AT454" s="148"/>
      <c r="AU454" s="148"/>
      <c r="AY454" s="18"/>
      <c r="BE454" s="149"/>
      <c r="BF454" s="149"/>
      <c r="BG454" s="149"/>
      <c r="BH454" s="149"/>
      <c r="BI454" s="149"/>
      <c r="BJ454" s="18"/>
      <c r="BK454" s="149"/>
      <c r="BL454" s="18"/>
      <c r="BM454" s="148"/>
    </row>
    <row r="455" spans="1:65" s="2" customFormat="1" ht="16.5" customHeight="1">
      <c r="A455" s="30"/>
      <c r="B455" s="137"/>
      <c r="C455" s="191"/>
      <c r="D455" s="191"/>
      <c r="E455" s="191"/>
      <c r="F455" s="191"/>
      <c r="G455" s="191"/>
      <c r="H455" s="191"/>
      <c r="I455" s="191"/>
      <c r="J455" s="191"/>
      <c r="K455" s="236"/>
      <c r="L455" s="195"/>
      <c r="M455" s="144" t="s">
        <v>1</v>
      </c>
      <c r="N455" s="145" t="s">
        <v>37</v>
      </c>
      <c r="O455" s="146">
        <v>1.7000000000000001E-2</v>
      </c>
      <c r="P455" s="146">
        <f>O455*H457</f>
        <v>98.307940000000016</v>
      </c>
      <c r="Q455" s="146">
        <v>0</v>
      </c>
      <c r="R455" s="146">
        <f>Q455*H457</f>
        <v>0</v>
      </c>
      <c r="S455" s="146">
        <v>0</v>
      </c>
      <c r="T455" s="147">
        <f>S455*H457</f>
        <v>0</v>
      </c>
      <c r="U455" s="30"/>
      <c r="V455" s="30"/>
      <c r="W455" s="30"/>
      <c r="X455" s="30"/>
      <c r="Y455" s="30"/>
      <c r="Z455" s="30"/>
      <c r="AA455" s="30"/>
      <c r="AB455" s="30"/>
      <c r="AC455" s="30"/>
      <c r="AD455" s="30"/>
      <c r="AE455" s="30"/>
      <c r="AR455" s="148" t="s">
        <v>144</v>
      </c>
      <c r="AT455" s="148" t="s">
        <v>139</v>
      </c>
      <c r="AU455" s="148" t="s">
        <v>82</v>
      </c>
      <c r="AY455" s="18" t="s">
        <v>137</v>
      </c>
      <c r="BE455" s="149">
        <f>IF(N455="základní",J457,0)</f>
        <v>0</v>
      </c>
      <c r="BF455" s="149">
        <f>IF(N455="snížená",J457,0)</f>
        <v>0</v>
      </c>
      <c r="BG455" s="149">
        <f>IF(N455="zákl. přenesená",J457,0)</f>
        <v>0</v>
      </c>
      <c r="BH455" s="149">
        <f>IF(N455="sníž. přenesená",J457,0)</f>
        <v>0</v>
      </c>
      <c r="BI455" s="149">
        <f>IF(N455="nulová",J457,0)</f>
        <v>0</v>
      </c>
      <c r="BJ455" s="18" t="s">
        <v>80</v>
      </c>
      <c r="BK455" s="149">
        <f>ROUND(I457*H457,2)</f>
        <v>0</v>
      </c>
      <c r="BL455" s="18" t="s">
        <v>144</v>
      </c>
      <c r="BM455" s="148" t="s">
        <v>508</v>
      </c>
    </row>
    <row r="456" spans="1:65" s="14" customFormat="1" ht="11.4">
      <c r="B456" s="160"/>
      <c r="C456" s="138">
        <v>104</v>
      </c>
      <c r="D456" s="138" t="s">
        <v>139</v>
      </c>
      <c r="E456" s="139" t="s">
        <v>503</v>
      </c>
      <c r="F456" s="140" t="s">
        <v>504</v>
      </c>
      <c r="G456" s="141" t="s">
        <v>187</v>
      </c>
      <c r="H456" s="280">
        <v>578.28200000000004</v>
      </c>
      <c r="I456" s="318">
        <v>0</v>
      </c>
      <c r="J456" s="143">
        <f>ROUND(I456*H456,2)</f>
        <v>0</v>
      </c>
      <c r="K456" s="140" t="s">
        <v>143</v>
      </c>
      <c r="L456" s="243"/>
      <c r="M456" s="164"/>
      <c r="N456" s="165"/>
      <c r="O456" s="165"/>
      <c r="P456" s="165"/>
      <c r="Q456" s="165"/>
      <c r="R456" s="165"/>
      <c r="S456" s="165"/>
      <c r="T456" s="166"/>
      <c r="AT456" s="161" t="s">
        <v>152</v>
      </c>
      <c r="AU456" s="161" t="s">
        <v>82</v>
      </c>
      <c r="AV456" s="14" t="s">
        <v>82</v>
      </c>
      <c r="AW456" s="14" t="s">
        <v>3</v>
      </c>
      <c r="AX456" s="14" t="s">
        <v>80</v>
      </c>
      <c r="AY456" s="161" t="s">
        <v>137</v>
      </c>
    </row>
    <row r="457" spans="1:65" s="2" customFormat="1" ht="16.5" customHeight="1">
      <c r="A457" s="30"/>
      <c r="B457" s="137"/>
      <c r="C457" s="138">
        <v>105</v>
      </c>
      <c r="D457" s="138" t="s">
        <v>139</v>
      </c>
      <c r="E457" s="139" t="s">
        <v>506</v>
      </c>
      <c r="F457" s="140" t="s">
        <v>507</v>
      </c>
      <c r="G457" s="141" t="s">
        <v>187</v>
      </c>
      <c r="H457" s="280">
        <f>578.282*10</f>
        <v>5782.8200000000006</v>
      </c>
      <c r="I457" s="318">
        <v>0</v>
      </c>
      <c r="J457" s="143">
        <f>ROUND(I457*H457,2)</f>
        <v>0</v>
      </c>
      <c r="K457" s="140" t="s">
        <v>143</v>
      </c>
      <c r="L457" s="243"/>
      <c r="M457" s="144" t="s">
        <v>1</v>
      </c>
      <c r="N457" s="145" t="s">
        <v>37</v>
      </c>
      <c r="O457" s="146">
        <v>0.27700000000000002</v>
      </c>
      <c r="P457" s="146">
        <f>O457*H459</f>
        <v>160.18411400000002</v>
      </c>
      <c r="Q457" s="146">
        <v>0</v>
      </c>
      <c r="R457" s="146">
        <f>Q457*H459</f>
        <v>0</v>
      </c>
      <c r="S457" s="146">
        <v>0</v>
      </c>
      <c r="T457" s="147">
        <f>S457*H459</f>
        <v>0</v>
      </c>
      <c r="U457" s="30"/>
      <c r="V457" s="30"/>
      <c r="W457" s="30"/>
      <c r="X457" s="30"/>
      <c r="Y457" s="30"/>
      <c r="Z457" s="30"/>
      <c r="AA457" s="30"/>
      <c r="AB457" s="30"/>
      <c r="AC457" s="30"/>
      <c r="AD457" s="30"/>
      <c r="AE457" s="30"/>
      <c r="AR457" s="148" t="s">
        <v>144</v>
      </c>
      <c r="AT457" s="148" t="s">
        <v>139</v>
      </c>
      <c r="AU457" s="148" t="s">
        <v>82</v>
      </c>
      <c r="AY457" s="18" t="s">
        <v>137</v>
      </c>
      <c r="BE457" s="149">
        <f>IF(N457="základní",J459,0)</f>
        <v>0</v>
      </c>
      <c r="BF457" s="149">
        <f>IF(N457="snížená",J459,0)</f>
        <v>0</v>
      </c>
      <c r="BG457" s="149">
        <f>IF(N457="zákl. přenesená",J459,0)</f>
        <v>0</v>
      </c>
      <c r="BH457" s="149">
        <f>IF(N457="sníž. přenesená",J459,0)</f>
        <v>0</v>
      </c>
      <c r="BI457" s="149">
        <f>IF(N457="nulová",J459,0)</f>
        <v>0</v>
      </c>
      <c r="BJ457" s="18" t="s">
        <v>80</v>
      </c>
      <c r="BK457" s="149">
        <f>ROUND(I459*H459,2)</f>
        <v>0</v>
      </c>
      <c r="BL457" s="18" t="s">
        <v>144</v>
      </c>
      <c r="BM457" s="148" t="s">
        <v>511</v>
      </c>
    </row>
    <row r="458" spans="1:65" s="12" customFormat="1" ht="22.95" customHeight="1">
      <c r="B458" s="125"/>
      <c r="C458" s="14"/>
      <c r="D458" s="150" t="s">
        <v>152</v>
      </c>
      <c r="E458" s="14"/>
      <c r="F458" s="204" t="s">
        <v>826</v>
      </c>
      <c r="G458" s="14"/>
      <c r="H458" s="279">
        <v>5782.82</v>
      </c>
      <c r="I458" s="14"/>
      <c r="J458" s="14"/>
      <c r="K458" s="14"/>
      <c r="L458" s="125"/>
      <c r="M458" s="129"/>
      <c r="N458" s="130"/>
      <c r="O458" s="130"/>
      <c r="P458" s="131">
        <f>SUM(P459:P460)</f>
        <v>0</v>
      </c>
      <c r="Q458" s="130"/>
      <c r="R458" s="131">
        <f>SUM(R459:R460)</f>
        <v>0</v>
      </c>
      <c r="S458" s="130"/>
      <c r="T458" s="132">
        <f>SUM(T459:T460)</f>
        <v>0</v>
      </c>
      <c r="AR458" s="126" t="s">
        <v>80</v>
      </c>
      <c r="AT458" s="133" t="s">
        <v>71</v>
      </c>
      <c r="AU458" s="133" t="s">
        <v>80</v>
      </c>
      <c r="AY458" s="126" t="s">
        <v>137</v>
      </c>
      <c r="BK458" s="134">
        <f>SUM(BK459:BK460)</f>
        <v>0</v>
      </c>
    </row>
    <row r="459" spans="1:65" s="2" customFormat="1" ht="16.5" customHeight="1">
      <c r="A459" s="30"/>
      <c r="B459" s="137"/>
      <c r="C459" s="138">
        <v>106</v>
      </c>
      <c r="D459" s="138" t="s">
        <v>139</v>
      </c>
      <c r="E459" s="139" t="s">
        <v>509</v>
      </c>
      <c r="F459" s="140" t="s">
        <v>510</v>
      </c>
      <c r="G459" s="141" t="s">
        <v>187</v>
      </c>
      <c r="H459" s="280">
        <v>578.28200000000004</v>
      </c>
      <c r="I459" s="318">
        <v>0</v>
      </c>
      <c r="J459" s="143">
        <f>ROUND(I459*H459,2)</f>
        <v>0</v>
      </c>
      <c r="K459" s="140" t="s">
        <v>143</v>
      </c>
      <c r="L459" s="195"/>
      <c r="M459" s="144"/>
      <c r="N459" s="145"/>
      <c r="O459" s="146"/>
      <c r="P459" s="146"/>
      <c r="Q459" s="146"/>
      <c r="R459" s="146"/>
      <c r="S459" s="146"/>
      <c r="T459" s="147"/>
      <c r="U459" s="30"/>
      <c r="V459" s="244"/>
      <c r="W459" s="30"/>
      <c r="X459" s="30"/>
      <c r="Y459" s="30"/>
      <c r="Z459" s="30"/>
      <c r="AA459" s="30"/>
      <c r="AB459" s="30"/>
      <c r="AC459" s="30"/>
      <c r="AD459" s="30"/>
      <c r="AE459" s="30"/>
      <c r="AR459" s="148" t="s">
        <v>144</v>
      </c>
      <c r="AT459" s="148" t="s">
        <v>139</v>
      </c>
      <c r="AU459" s="148" t="s">
        <v>82</v>
      </c>
      <c r="AY459" s="18" t="s">
        <v>137</v>
      </c>
      <c r="BE459" s="149">
        <f>IF(N459="základní",J461,0)</f>
        <v>0</v>
      </c>
      <c r="BF459" s="149">
        <f>IF(N459="snížená",J461,0)</f>
        <v>0</v>
      </c>
      <c r="BG459" s="149">
        <f>IF(N459="zákl. přenesená",J461,0)</f>
        <v>0</v>
      </c>
      <c r="BH459" s="149">
        <f>IF(N459="sníž. přenesená",J461,0)</f>
        <v>0</v>
      </c>
      <c r="BI459" s="149">
        <f>IF(N459="nulová",J461,0)</f>
        <v>0</v>
      </c>
      <c r="BJ459" s="18" t="s">
        <v>80</v>
      </c>
      <c r="BK459" s="149">
        <f>ROUND(I461*H461,2)</f>
        <v>0</v>
      </c>
      <c r="BL459" s="18" t="s">
        <v>144</v>
      </c>
      <c r="BM459" s="148" t="s">
        <v>516</v>
      </c>
    </row>
    <row r="460" spans="1:65" s="2" customFormat="1" ht="13.2">
      <c r="A460" s="30"/>
      <c r="B460" s="31"/>
      <c r="C460" s="12"/>
      <c r="D460" s="126" t="s">
        <v>71</v>
      </c>
      <c r="E460" s="135" t="s">
        <v>512</v>
      </c>
      <c r="F460" s="135" t="s">
        <v>513</v>
      </c>
      <c r="G460" s="12"/>
      <c r="H460" s="12"/>
      <c r="I460" s="12"/>
      <c r="J460" s="136">
        <f>J461</f>
        <v>0</v>
      </c>
      <c r="K460" s="12"/>
      <c r="L460" s="31"/>
      <c r="M460" s="152"/>
      <c r="N460" s="153"/>
      <c r="O460" s="56"/>
      <c r="P460" s="56"/>
      <c r="Q460" s="56"/>
      <c r="R460" s="56"/>
      <c r="S460" s="56"/>
      <c r="T460" s="57"/>
      <c r="U460" s="30"/>
      <c r="V460" s="30"/>
      <c r="W460" s="30"/>
      <c r="X460" s="30"/>
      <c r="Y460" s="30"/>
      <c r="Z460" s="30"/>
      <c r="AA460" s="30"/>
      <c r="AB460" s="30"/>
      <c r="AC460" s="30"/>
      <c r="AD460" s="30"/>
      <c r="AE460" s="30"/>
      <c r="AT460" s="18" t="s">
        <v>150</v>
      </c>
      <c r="AU460" s="18" t="s">
        <v>82</v>
      </c>
    </row>
    <row r="461" spans="1:65" s="12" customFormat="1" ht="25.95" customHeight="1">
      <c r="B461" s="125"/>
      <c r="C461" s="138">
        <v>107</v>
      </c>
      <c r="D461" s="138" t="s">
        <v>139</v>
      </c>
      <c r="E461" s="139" t="s">
        <v>514</v>
      </c>
      <c r="F461" s="140" t="s">
        <v>515</v>
      </c>
      <c r="G461" s="141" t="s">
        <v>187</v>
      </c>
      <c r="H461" s="142">
        <v>946.197</v>
      </c>
      <c r="I461" s="318">
        <v>0</v>
      </c>
      <c r="J461" s="143">
        <f>ROUND(I461*H461,2)</f>
        <v>0</v>
      </c>
      <c r="K461" s="140" t="s">
        <v>148</v>
      </c>
      <c r="L461" s="125"/>
      <c r="M461" s="129"/>
      <c r="N461" s="130"/>
      <c r="O461" s="130"/>
      <c r="P461" s="131" t="e">
        <f>P462+P466+P485+P492+#REF!+P498+P514+P528+P545+P558+P571</f>
        <v>#REF!</v>
      </c>
      <c r="Q461" s="130"/>
      <c r="R461" s="131" t="e">
        <f>R462+R466+R485+R492+#REF!+R498+R514+R528+R545+R558+R571</f>
        <v>#REF!</v>
      </c>
      <c r="S461" s="130"/>
      <c r="T461" s="132" t="e">
        <f>T462+T466+T485+T492+#REF!+T498+T514+T528+T545+T558+T571</f>
        <v>#REF!</v>
      </c>
      <c r="AR461" s="126" t="s">
        <v>82</v>
      </c>
      <c r="AT461" s="133" t="s">
        <v>71</v>
      </c>
      <c r="AU461" s="133" t="s">
        <v>72</v>
      </c>
      <c r="AY461" s="126" t="s">
        <v>137</v>
      </c>
      <c r="BK461" s="134" t="e">
        <f>BK462+BK466+BK485+BK492+#REF!+BK498+BK514+BK528+BK545+BK558+BK571</f>
        <v>#REF!</v>
      </c>
    </row>
    <row r="462" spans="1:65" s="12" customFormat="1" ht="22.95" customHeight="1">
      <c r="B462" s="125"/>
      <c r="C462" s="30"/>
      <c r="D462" s="150" t="s">
        <v>150</v>
      </c>
      <c r="E462" s="30"/>
      <c r="F462" s="151" t="s">
        <v>517</v>
      </c>
      <c r="G462" s="30"/>
      <c r="H462" s="30"/>
      <c r="I462" s="30"/>
      <c r="J462" s="30"/>
      <c r="K462" s="30"/>
      <c r="L462" s="125"/>
      <c r="M462" s="129"/>
      <c r="N462" s="130"/>
      <c r="O462" s="130"/>
      <c r="P462" s="131">
        <f>SUM(P463:P465)</f>
        <v>3.1446139999999998</v>
      </c>
      <c r="Q462" s="130"/>
      <c r="R462" s="131">
        <f>SUM(R463:R465)</f>
        <v>8.8800000000000007E-3</v>
      </c>
      <c r="S462" s="130"/>
      <c r="T462" s="132">
        <f>SUM(T463:T465)</f>
        <v>0</v>
      </c>
      <c r="AR462" s="126" t="s">
        <v>82</v>
      </c>
      <c r="AT462" s="133" t="s">
        <v>71</v>
      </c>
      <c r="AU462" s="133" t="s">
        <v>80</v>
      </c>
      <c r="AY462" s="126" t="s">
        <v>137</v>
      </c>
      <c r="BK462" s="134">
        <f>SUM(BK463:BK465)</f>
        <v>0</v>
      </c>
    </row>
    <row r="463" spans="1:65" s="2" customFormat="1" ht="16.5" customHeight="1">
      <c r="A463" s="30"/>
      <c r="B463" s="137"/>
      <c r="C463" s="12"/>
      <c r="D463" s="126" t="s">
        <v>71</v>
      </c>
      <c r="E463" s="127" t="s">
        <v>518</v>
      </c>
      <c r="F463" s="127" t="s">
        <v>519</v>
      </c>
      <c r="G463" s="12"/>
      <c r="H463" s="12"/>
      <c r="I463" s="12"/>
      <c r="J463" s="128">
        <f>J464+J468+J487+J494+J500+J516+J530+J547+J560+J573</f>
        <v>0</v>
      </c>
      <c r="K463" s="12"/>
      <c r="L463" s="195"/>
      <c r="M463" s="144" t="s">
        <v>1</v>
      </c>
      <c r="N463" s="145" t="s">
        <v>37</v>
      </c>
      <c r="O463" s="146">
        <v>0.16700000000000001</v>
      </c>
      <c r="P463" s="146">
        <f>O463*H465</f>
        <v>1.5447500000000001</v>
      </c>
      <c r="Q463" s="146">
        <v>6.4000000000000005E-4</v>
      </c>
      <c r="R463" s="146">
        <f>Q463*H465</f>
        <v>5.9200000000000008E-3</v>
      </c>
      <c r="S463" s="146">
        <v>0</v>
      </c>
      <c r="T463" s="147">
        <f>S463*H465</f>
        <v>0</v>
      </c>
      <c r="U463" s="30"/>
      <c r="V463" s="30"/>
      <c r="W463" s="30"/>
      <c r="X463" s="30"/>
      <c r="Y463" s="30"/>
      <c r="Z463" s="30"/>
      <c r="AA463" s="30"/>
      <c r="AB463" s="30"/>
      <c r="AC463" s="30"/>
      <c r="AD463" s="30"/>
      <c r="AE463" s="30"/>
      <c r="AR463" s="148" t="s">
        <v>205</v>
      </c>
      <c r="AT463" s="148" t="s">
        <v>139</v>
      </c>
      <c r="AU463" s="148" t="s">
        <v>82</v>
      </c>
      <c r="AY463" s="18" t="s">
        <v>137</v>
      </c>
      <c r="BE463" s="149">
        <f>IF(N463="základní",J465,0)</f>
        <v>0</v>
      </c>
      <c r="BF463" s="149">
        <f>IF(N463="snížená",J465,0)</f>
        <v>0</v>
      </c>
      <c r="BG463" s="149">
        <f>IF(N463="zákl. přenesená",J465,0)</f>
        <v>0</v>
      </c>
      <c r="BH463" s="149">
        <f>IF(N463="sníž. přenesená",J465,0)</f>
        <v>0</v>
      </c>
      <c r="BI463" s="149">
        <f>IF(N463="nulová",J465,0)</f>
        <v>0</v>
      </c>
      <c r="BJ463" s="18" t="s">
        <v>80</v>
      </c>
      <c r="BK463" s="149">
        <f>ROUND(I465*H465,2)</f>
        <v>0</v>
      </c>
      <c r="BL463" s="18" t="s">
        <v>205</v>
      </c>
      <c r="BM463" s="148" t="s">
        <v>524</v>
      </c>
    </row>
    <row r="464" spans="1:65" s="2" customFormat="1" ht="16.5" customHeight="1">
      <c r="A464" s="30"/>
      <c r="B464" s="137"/>
      <c r="C464" s="12"/>
      <c r="D464" s="126" t="s">
        <v>71</v>
      </c>
      <c r="E464" s="135" t="s">
        <v>520</v>
      </c>
      <c r="F464" s="135" t="s">
        <v>521</v>
      </c>
      <c r="G464" s="12"/>
      <c r="H464" s="12"/>
      <c r="I464" s="12"/>
      <c r="J464" s="136">
        <f>SUM(J465:J467)</f>
        <v>0</v>
      </c>
      <c r="K464" s="12"/>
      <c r="L464" s="195"/>
      <c r="M464" s="144" t="s">
        <v>1</v>
      </c>
      <c r="N464" s="145" t="s">
        <v>37</v>
      </c>
      <c r="O464" s="146">
        <v>8.4000000000000005E-2</v>
      </c>
      <c r="P464" s="146">
        <f>O464*H466</f>
        <v>1.554</v>
      </c>
      <c r="Q464" s="146">
        <v>1.6000000000000001E-4</v>
      </c>
      <c r="R464" s="146">
        <f>Q464*H466</f>
        <v>2.9600000000000004E-3</v>
      </c>
      <c r="S464" s="146">
        <v>0</v>
      </c>
      <c r="T464" s="147">
        <f>S464*H466</f>
        <v>0</v>
      </c>
      <c r="U464" s="30"/>
      <c r="V464" s="30"/>
      <c r="W464" s="30"/>
      <c r="X464" s="30"/>
      <c r="Y464" s="30"/>
      <c r="Z464" s="30"/>
      <c r="AA464" s="30"/>
      <c r="AB464" s="30"/>
      <c r="AC464" s="30"/>
      <c r="AD464" s="30"/>
      <c r="AE464" s="30"/>
      <c r="AR464" s="148" t="s">
        <v>205</v>
      </c>
      <c r="AT464" s="148" t="s">
        <v>139</v>
      </c>
      <c r="AU464" s="148" t="s">
        <v>82</v>
      </c>
      <c r="AY464" s="18" t="s">
        <v>137</v>
      </c>
      <c r="BE464" s="149">
        <f>IF(N464="základní",J466,0)</f>
        <v>0</v>
      </c>
      <c r="BF464" s="149">
        <f>IF(N464="snížená",J466,0)</f>
        <v>0</v>
      </c>
      <c r="BG464" s="149">
        <f>IF(N464="zákl. přenesená",J466,0)</f>
        <v>0</v>
      </c>
      <c r="BH464" s="149">
        <f>IF(N464="sníž. přenesená",J466,0)</f>
        <v>0</v>
      </c>
      <c r="BI464" s="149">
        <f>IF(N464="nulová",J466,0)</f>
        <v>0</v>
      </c>
      <c r="BJ464" s="18" t="s">
        <v>80</v>
      </c>
      <c r="BK464" s="149">
        <f>ROUND(I466*H466,2)</f>
        <v>0</v>
      </c>
      <c r="BL464" s="18" t="s">
        <v>205</v>
      </c>
      <c r="BM464" s="148" t="s">
        <v>527</v>
      </c>
    </row>
    <row r="465" spans="1:65" s="2" customFormat="1" ht="16.5" customHeight="1">
      <c r="A465" s="30"/>
      <c r="B465" s="137"/>
      <c r="C465" s="138">
        <v>108</v>
      </c>
      <c r="D465" s="138" t="s">
        <v>139</v>
      </c>
      <c r="E465" s="139" t="s">
        <v>522</v>
      </c>
      <c r="F465" s="140" t="s">
        <v>523</v>
      </c>
      <c r="G465" s="141" t="s">
        <v>142</v>
      </c>
      <c r="H465" s="142">
        <v>9.25</v>
      </c>
      <c r="I465" s="318">
        <v>0</v>
      </c>
      <c r="J465" s="143">
        <f>ROUND(I465*H465,2)</f>
        <v>0</v>
      </c>
      <c r="K465" s="140" t="s">
        <v>143</v>
      </c>
      <c r="L465" s="195"/>
      <c r="M465" s="144" t="s">
        <v>1</v>
      </c>
      <c r="N465" s="145" t="s">
        <v>37</v>
      </c>
      <c r="O465" s="146">
        <v>5.0960000000000001</v>
      </c>
      <c r="P465" s="146">
        <f>O465*H467</f>
        <v>4.5863999999999995E-2</v>
      </c>
      <c r="Q465" s="146">
        <v>0</v>
      </c>
      <c r="R465" s="146">
        <f>Q465*H467</f>
        <v>0</v>
      </c>
      <c r="S465" s="146">
        <v>0</v>
      </c>
      <c r="T465" s="147">
        <f>S465*H467</f>
        <v>0</v>
      </c>
      <c r="U465" s="30"/>
      <c r="V465" s="30"/>
      <c r="W465" s="30"/>
      <c r="X465" s="30"/>
      <c r="Y465" s="30"/>
      <c r="Z465" s="30"/>
      <c r="AA465" s="30"/>
      <c r="AB465" s="30"/>
      <c r="AC465" s="30"/>
      <c r="AD465" s="30"/>
      <c r="AE465" s="30"/>
      <c r="AR465" s="148" t="s">
        <v>205</v>
      </c>
      <c r="AT465" s="148" t="s">
        <v>139</v>
      </c>
      <c r="AU465" s="148" t="s">
        <v>82</v>
      </c>
      <c r="AY465" s="18" t="s">
        <v>137</v>
      </c>
      <c r="BE465" s="149">
        <f>IF(N465="základní",J467,0)</f>
        <v>0</v>
      </c>
      <c r="BF465" s="149">
        <f>IF(N465="snížená",J467,0)</f>
        <v>0</v>
      </c>
      <c r="BG465" s="149">
        <f>IF(N465="zákl. přenesená",J467,0)</f>
        <v>0</v>
      </c>
      <c r="BH465" s="149">
        <f>IF(N465="sníž. přenesená",J467,0)</f>
        <v>0</v>
      </c>
      <c r="BI465" s="149">
        <f>IF(N465="nulová",J467,0)</f>
        <v>0</v>
      </c>
      <c r="BJ465" s="18" t="s">
        <v>80</v>
      </c>
      <c r="BK465" s="149">
        <f>ROUND(I467*H467,2)</f>
        <v>0</v>
      </c>
      <c r="BL465" s="18" t="s">
        <v>205</v>
      </c>
      <c r="BM465" s="148" t="s">
        <v>530</v>
      </c>
    </row>
    <row r="466" spans="1:65" s="12" customFormat="1" ht="22.95" customHeight="1">
      <c r="B466" s="125"/>
      <c r="C466" s="138">
        <v>109</v>
      </c>
      <c r="D466" s="138" t="s">
        <v>139</v>
      </c>
      <c r="E466" s="139" t="s">
        <v>525</v>
      </c>
      <c r="F466" s="140" t="s">
        <v>526</v>
      </c>
      <c r="G466" s="141" t="s">
        <v>242</v>
      </c>
      <c r="H466" s="142">
        <v>18.5</v>
      </c>
      <c r="I466" s="318">
        <v>0</v>
      </c>
      <c r="J466" s="143">
        <f>ROUND(I466*H466,2)</f>
        <v>0</v>
      </c>
      <c r="K466" s="140" t="s">
        <v>143</v>
      </c>
      <c r="L466" s="125"/>
      <c r="M466" s="129"/>
      <c r="N466" s="130"/>
      <c r="O466" s="130"/>
      <c r="P466" s="131">
        <f>SUM(P467:P484)</f>
        <v>32.874479999999998</v>
      </c>
      <c r="Q466" s="130"/>
      <c r="R466" s="131">
        <f>SUM(R467:R484)</f>
        <v>0.23063399999999998</v>
      </c>
      <c r="S466" s="130"/>
      <c r="T466" s="132">
        <f>SUM(T467:T484)</f>
        <v>0.88208999999999993</v>
      </c>
      <c r="AR466" s="126" t="s">
        <v>82</v>
      </c>
      <c r="AT466" s="133" t="s">
        <v>71</v>
      </c>
      <c r="AU466" s="133" t="s">
        <v>80</v>
      </c>
      <c r="AY466" s="126" t="s">
        <v>137</v>
      </c>
      <c r="BK466" s="134">
        <f>SUM(BK467:BK484)</f>
        <v>0</v>
      </c>
    </row>
    <row r="467" spans="1:65" s="2" customFormat="1" ht="16.5" customHeight="1">
      <c r="A467" s="30"/>
      <c r="B467" s="137"/>
      <c r="C467" s="138">
        <v>110</v>
      </c>
      <c r="D467" s="138" t="s">
        <v>139</v>
      </c>
      <c r="E467" s="139" t="s">
        <v>528</v>
      </c>
      <c r="F467" s="140" t="s">
        <v>529</v>
      </c>
      <c r="G467" s="141" t="s">
        <v>187</v>
      </c>
      <c r="H467" s="142">
        <v>8.9999999999999993E-3</v>
      </c>
      <c r="I467" s="318">
        <v>0</v>
      </c>
      <c r="J467" s="143">
        <f>ROUND(I467*H467,2)</f>
        <v>0</v>
      </c>
      <c r="K467" s="140" t="s">
        <v>143</v>
      </c>
      <c r="L467" s="195"/>
      <c r="M467" s="144" t="s">
        <v>1</v>
      </c>
      <c r="N467" s="145" t="s">
        <v>37</v>
      </c>
      <c r="O467" s="146">
        <v>5.0999999999999997E-2</v>
      </c>
      <c r="P467" s="146">
        <f>O467*H469</f>
        <v>26.138519999999996</v>
      </c>
      <c r="Q467" s="146">
        <v>4.4999999999999999E-4</v>
      </c>
      <c r="R467" s="146">
        <f>Q467*H469</f>
        <v>0.23063399999999998</v>
      </c>
      <c r="S467" s="146">
        <v>0</v>
      </c>
      <c r="T467" s="147">
        <f>S467*H469</f>
        <v>0</v>
      </c>
      <c r="U467" s="30"/>
      <c r="V467" s="30"/>
      <c r="W467" s="30"/>
      <c r="X467" s="30"/>
      <c r="Y467" s="30"/>
      <c r="Z467" s="30"/>
      <c r="AA467" s="30"/>
      <c r="AB467" s="30"/>
      <c r="AC467" s="30"/>
      <c r="AD467" s="30"/>
      <c r="AE467" s="30"/>
      <c r="AR467" s="148" t="s">
        <v>205</v>
      </c>
      <c r="AT467" s="148" t="s">
        <v>139</v>
      </c>
      <c r="AU467" s="148" t="s">
        <v>82</v>
      </c>
      <c r="AY467" s="18" t="s">
        <v>137</v>
      </c>
      <c r="BE467" s="149">
        <f>IF(N467="základní",J469,0)</f>
        <v>0</v>
      </c>
      <c r="BF467" s="149">
        <f>IF(N467="snížená",J469,0)</f>
        <v>0</v>
      </c>
      <c r="BG467" s="149">
        <f>IF(N467="zákl. přenesená",J469,0)</f>
        <v>0</v>
      </c>
      <c r="BH467" s="149">
        <f>IF(N467="sníž. přenesená",J469,0)</f>
        <v>0</v>
      </c>
      <c r="BI467" s="149">
        <f>IF(N467="nulová",J469,0)</f>
        <v>0</v>
      </c>
      <c r="BJ467" s="18" t="s">
        <v>80</v>
      </c>
      <c r="BK467" s="149">
        <f>ROUND(I469*H469,2)</f>
        <v>0</v>
      </c>
      <c r="BL467" s="18" t="s">
        <v>205</v>
      </c>
      <c r="BM467" s="148" t="s">
        <v>535</v>
      </c>
    </row>
    <row r="468" spans="1:65" s="2" customFormat="1" ht="13.2">
      <c r="A468" s="30"/>
      <c r="B468" s="31"/>
      <c r="C468" s="12"/>
      <c r="D468" s="126" t="s">
        <v>71</v>
      </c>
      <c r="E468" s="135" t="s">
        <v>531</v>
      </c>
      <c r="F468" s="135" t="s">
        <v>532</v>
      </c>
      <c r="G468" s="12"/>
      <c r="H468" s="12"/>
      <c r="I468" s="12"/>
      <c r="J468" s="136">
        <f>SUM(J469:J493)</f>
        <v>0</v>
      </c>
      <c r="K468" s="12"/>
      <c r="L468" s="195"/>
      <c r="M468" s="152"/>
      <c r="N468" s="153"/>
      <c r="O468" s="56"/>
      <c r="P468" s="56"/>
      <c r="Q468" s="56"/>
      <c r="R468" s="56"/>
      <c r="S468" s="56"/>
      <c r="T468" s="57"/>
      <c r="U468" s="30"/>
      <c r="V468" s="30"/>
      <c r="W468" s="30"/>
      <c r="X468" s="30"/>
      <c r="Y468" s="30"/>
      <c r="Z468" s="30"/>
      <c r="AA468" s="30"/>
      <c r="AB468" s="30"/>
      <c r="AC468" s="30"/>
      <c r="AD468" s="30"/>
      <c r="AE468" s="30"/>
      <c r="AT468" s="18" t="s">
        <v>150</v>
      </c>
      <c r="AU468" s="18" t="s">
        <v>82</v>
      </c>
    </row>
    <row r="469" spans="1:65" s="14" customFormat="1" ht="11.4">
      <c r="B469" s="160"/>
      <c r="C469" s="138">
        <v>111</v>
      </c>
      <c r="D469" s="138" t="s">
        <v>139</v>
      </c>
      <c r="E469" s="139" t="s">
        <v>533</v>
      </c>
      <c r="F469" s="140" t="s">
        <v>534</v>
      </c>
      <c r="G469" s="141" t="s">
        <v>142</v>
      </c>
      <c r="H469" s="142">
        <v>512.52</v>
      </c>
      <c r="I469" s="318">
        <v>0</v>
      </c>
      <c r="J469" s="143">
        <f>ROUND(I469*H469,2)</f>
        <v>0</v>
      </c>
      <c r="K469" s="140" t="s">
        <v>143</v>
      </c>
      <c r="L469" s="195"/>
      <c r="M469" s="164"/>
      <c r="N469" s="165"/>
      <c r="O469" s="165"/>
      <c r="P469" s="165"/>
      <c r="Q469" s="165"/>
      <c r="R469" s="165"/>
      <c r="S469" s="165"/>
      <c r="T469" s="166"/>
      <c r="AT469" s="161" t="s">
        <v>152</v>
      </c>
      <c r="AU469" s="161" t="s">
        <v>82</v>
      </c>
      <c r="AV469" s="14" t="s">
        <v>82</v>
      </c>
      <c r="AW469" s="14" t="s">
        <v>28</v>
      </c>
      <c r="AX469" s="14" t="s">
        <v>72</v>
      </c>
      <c r="AY469" s="161" t="s">
        <v>137</v>
      </c>
    </row>
    <row r="470" spans="1:65" s="14" customFormat="1" ht="76.8">
      <c r="B470" s="160"/>
      <c r="C470" s="30"/>
      <c r="D470" s="150" t="s">
        <v>150</v>
      </c>
      <c r="E470" s="30"/>
      <c r="F470" s="151" t="s">
        <v>536</v>
      </c>
      <c r="G470" s="30"/>
      <c r="H470" s="30"/>
      <c r="I470" s="30"/>
      <c r="J470" s="30"/>
      <c r="K470" s="30"/>
      <c r="L470" s="195"/>
      <c r="M470" s="164"/>
      <c r="N470" s="165"/>
      <c r="O470" s="165"/>
      <c r="P470" s="165"/>
      <c r="Q470" s="165"/>
      <c r="R470" s="165"/>
      <c r="S470" s="165"/>
      <c r="T470" s="166"/>
      <c r="AT470" s="161" t="s">
        <v>152</v>
      </c>
      <c r="AU470" s="161" t="s">
        <v>82</v>
      </c>
      <c r="AV470" s="14" t="s">
        <v>82</v>
      </c>
      <c r="AW470" s="14" t="s">
        <v>28</v>
      </c>
      <c r="AX470" s="14" t="s">
        <v>72</v>
      </c>
      <c r="AY470" s="161" t="s">
        <v>137</v>
      </c>
    </row>
    <row r="471" spans="1:65" s="15" customFormat="1">
      <c r="B471" s="167"/>
      <c r="C471" s="14"/>
      <c r="D471" s="150" t="s">
        <v>152</v>
      </c>
      <c r="E471" s="161" t="s">
        <v>1</v>
      </c>
      <c r="F471" s="162" t="s">
        <v>537</v>
      </c>
      <c r="G471" s="14"/>
      <c r="H471" s="163">
        <v>40.094999999999999</v>
      </c>
      <c r="I471" s="14"/>
      <c r="J471" s="14"/>
      <c r="K471" s="14"/>
      <c r="L471" s="195"/>
      <c r="M471" s="171"/>
      <c r="N471" s="172"/>
      <c r="O471" s="172"/>
      <c r="P471" s="172"/>
      <c r="Q471" s="172"/>
      <c r="R471" s="172"/>
      <c r="S471" s="172"/>
      <c r="T471" s="173"/>
      <c r="AT471" s="168" t="s">
        <v>152</v>
      </c>
      <c r="AU471" s="168" t="s">
        <v>82</v>
      </c>
      <c r="AV471" s="15" t="s">
        <v>144</v>
      </c>
      <c r="AW471" s="15" t="s">
        <v>28</v>
      </c>
      <c r="AX471" s="15" t="s">
        <v>80</v>
      </c>
      <c r="AY471" s="168" t="s">
        <v>137</v>
      </c>
    </row>
    <row r="472" spans="1:65" s="2" customFormat="1" ht="16.5" customHeight="1">
      <c r="A472" s="30"/>
      <c r="B472" s="137"/>
      <c r="C472" s="14"/>
      <c r="D472" s="150" t="s">
        <v>152</v>
      </c>
      <c r="E472" s="161" t="s">
        <v>1</v>
      </c>
      <c r="F472" s="162" t="s">
        <v>538</v>
      </c>
      <c r="G472" s="14"/>
      <c r="H472" s="163">
        <v>472.42500000000001</v>
      </c>
      <c r="I472" s="14"/>
      <c r="J472" s="14"/>
      <c r="K472" s="14"/>
      <c r="L472" s="195"/>
      <c r="M472" s="144" t="s">
        <v>1</v>
      </c>
      <c r="N472" s="145" t="s">
        <v>37</v>
      </c>
      <c r="O472" s="146">
        <v>8.4000000000000005E-2</v>
      </c>
      <c r="P472" s="146">
        <f>O472*H474</f>
        <v>6.7359600000000004</v>
      </c>
      <c r="Q472" s="146">
        <v>0</v>
      </c>
      <c r="R472" s="146">
        <f>Q472*H474</f>
        <v>0</v>
      </c>
      <c r="S472" s="146">
        <v>1.0999999999999999E-2</v>
      </c>
      <c r="T472" s="147">
        <f>S472*H474</f>
        <v>0.88208999999999993</v>
      </c>
      <c r="U472" s="30"/>
      <c r="V472" s="30"/>
      <c r="W472" s="30"/>
      <c r="X472" s="30"/>
      <c r="Y472" s="30"/>
      <c r="Z472" s="30"/>
      <c r="AA472" s="30"/>
      <c r="AB472" s="30"/>
      <c r="AC472" s="30"/>
      <c r="AD472" s="30"/>
      <c r="AE472" s="30"/>
      <c r="AR472" s="148" t="s">
        <v>205</v>
      </c>
      <c r="AT472" s="148" t="s">
        <v>139</v>
      </c>
      <c r="AU472" s="148" t="s">
        <v>82</v>
      </c>
      <c r="AY472" s="18" t="s">
        <v>137</v>
      </c>
      <c r="BE472" s="149">
        <f>IF(N472="základní",J474,0)</f>
        <v>0</v>
      </c>
      <c r="BF472" s="149">
        <f>IF(N472="snížená",J474,0)</f>
        <v>0</v>
      </c>
      <c r="BG472" s="149">
        <f>IF(N472="zákl. přenesená",J474,0)</f>
        <v>0</v>
      </c>
      <c r="BH472" s="149">
        <f>IF(N472="sníž. přenesená",J474,0)</f>
        <v>0</v>
      </c>
      <c r="BI472" s="149">
        <f>IF(N472="nulová",J474,0)</f>
        <v>0</v>
      </c>
      <c r="BJ472" s="18" t="s">
        <v>80</v>
      </c>
      <c r="BK472" s="149">
        <f>ROUND(I474*H474,2)</f>
        <v>0</v>
      </c>
      <c r="BL472" s="18" t="s">
        <v>205</v>
      </c>
      <c r="BM472" s="148" t="s">
        <v>541</v>
      </c>
    </row>
    <row r="473" spans="1:65" s="14" customFormat="1">
      <c r="B473" s="160"/>
      <c r="C473" s="15"/>
      <c r="D473" s="150" t="s">
        <v>152</v>
      </c>
      <c r="E473" s="168" t="s">
        <v>1</v>
      </c>
      <c r="F473" s="169" t="s">
        <v>157</v>
      </c>
      <c r="G473" s="15"/>
      <c r="H473" s="170">
        <v>512.52</v>
      </c>
      <c r="I473" s="15"/>
      <c r="J473" s="15"/>
      <c r="K473" s="15"/>
      <c r="L473" s="160"/>
      <c r="M473" s="164"/>
      <c r="N473" s="165"/>
      <c r="O473" s="165"/>
      <c r="P473" s="165"/>
      <c r="Q473" s="165"/>
      <c r="R473" s="165"/>
      <c r="S473" s="165"/>
      <c r="T473" s="166"/>
      <c r="AT473" s="161" t="s">
        <v>152</v>
      </c>
      <c r="AU473" s="161" t="s">
        <v>82</v>
      </c>
      <c r="AV473" s="14" t="s">
        <v>82</v>
      </c>
      <c r="AW473" s="14" t="s">
        <v>28</v>
      </c>
      <c r="AX473" s="14" t="s">
        <v>72</v>
      </c>
      <c r="AY473" s="161" t="s">
        <v>137</v>
      </c>
    </row>
    <row r="474" spans="1:65" s="15" customFormat="1" ht="11.4">
      <c r="B474" s="167"/>
      <c r="C474" s="138">
        <v>112</v>
      </c>
      <c r="D474" s="138" t="s">
        <v>139</v>
      </c>
      <c r="E474" s="139" t="s">
        <v>539</v>
      </c>
      <c r="F474" s="140" t="s">
        <v>540</v>
      </c>
      <c r="G474" s="141" t="s">
        <v>142</v>
      </c>
      <c r="H474" s="142">
        <v>80.19</v>
      </c>
      <c r="I474" s="318">
        <v>0</v>
      </c>
      <c r="J474" s="143">
        <f>ROUND(I474*H474,2)</f>
        <v>0</v>
      </c>
      <c r="K474" s="140" t="s">
        <v>143</v>
      </c>
      <c r="L474" s="167"/>
      <c r="M474" s="171"/>
      <c r="N474" s="172"/>
      <c r="O474" s="172"/>
      <c r="P474" s="172"/>
      <c r="Q474" s="172"/>
      <c r="R474" s="172"/>
      <c r="S474" s="172"/>
      <c r="T474" s="173"/>
      <c r="AT474" s="168" t="s">
        <v>152</v>
      </c>
      <c r="AU474" s="168" t="s">
        <v>82</v>
      </c>
      <c r="AV474" s="15" t="s">
        <v>144</v>
      </c>
      <c r="AW474" s="15" t="s">
        <v>28</v>
      </c>
      <c r="AX474" s="15" t="s">
        <v>80</v>
      </c>
      <c r="AY474" s="168" t="s">
        <v>137</v>
      </c>
    </row>
    <row r="475" spans="1:65" s="2" customFormat="1" ht="24.15" customHeight="1">
      <c r="A475" s="30"/>
      <c r="B475" s="137"/>
      <c r="C475" s="14"/>
      <c r="D475" s="150" t="s">
        <v>152</v>
      </c>
      <c r="E475" s="161" t="s">
        <v>1</v>
      </c>
      <c r="F475" s="162" t="s">
        <v>542</v>
      </c>
      <c r="G475" s="14"/>
      <c r="H475" s="163">
        <v>80.19</v>
      </c>
      <c r="I475" s="14"/>
      <c r="J475" s="14"/>
      <c r="K475" s="14"/>
      <c r="L475" s="195"/>
      <c r="M475" s="144" t="s">
        <v>1</v>
      </c>
      <c r="N475" s="145" t="s">
        <v>37</v>
      </c>
      <c r="O475" s="146">
        <v>0</v>
      </c>
      <c r="P475" s="146">
        <f>O475*H477</f>
        <v>0</v>
      </c>
      <c r="Q475" s="146">
        <v>0</v>
      </c>
      <c r="R475" s="146">
        <f>Q475*H477</f>
        <v>0</v>
      </c>
      <c r="S475" s="146">
        <v>0</v>
      </c>
      <c r="T475" s="147">
        <f>S475*H477</f>
        <v>0</v>
      </c>
      <c r="U475" s="30"/>
      <c r="V475" s="30"/>
      <c r="W475" s="30"/>
      <c r="X475" s="30"/>
      <c r="Y475" s="30"/>
      <c r="Z475" s="30"/>
      <c r="AA475" s="30"/>
      <c r="AB475" s="30"/>
      <c r="AC475" s="30"/>
      <c r="AD475" s="30"/>
      <c r="AE475" s="30"/>
      <c r="AR475" s="148" t="s">
        <v>205</v>
      </c>
      <c r="AT475" s="148" t="s">
        <v>139</v>
      </c>
      <c r="AU475" s="148" t="s">
        <v>82</v>
      </c>
      <c r="AY475" s="18" t="s">
        <v>137</v>
      </c>
      <c r="BE475" s="149">
        <f>IF(N475="základní",J477,0)</f>
        <v>0</v>
      </c>
      <c r="BF475" s="149">
        <f>IF(N475="snížená",J477,0)</f>
        <v>0</v>
      </c>
      <c r="BG475" s="149">
        <f>IF(N475="zákl. přenesená",J477,0)</f>
        <v>0</v>
      </c>
      <c r="BH475" s="149">
        <f>IF(N475="sníž. přenesená",J477,0)</f>
        <v>0</v>
      </c>
      <c r="BI475" s="149">
        <f>IF(N475="nulová",J477,0)</f>
        <v>0</v>
      </c>
      <c r="BJ475" s="18" t="s">
        <v>80</v>
      </c>
      <c r="BK475" s="149">
        <f>ROUND(I477*H477,2)</f>
        <v>0</v>
      </c>
      <c r="BL475" s="18" t="s">
        <v>205</v>
      </c>
      <c r="BM475" s="148" t="s">
        <v>545</v>
      </c>
    </row>
    <row r="476" spans="1:65" s="2" customFormat="1">
      <c r="A476" s="30"/>
      <c r="B476" s="31"/>
      <c r="C476" s="15"/>
      <c r="D476" s="150" t="s">
        <v>152</v>
      </c>
      <c r="E476" s="168" t="s">
        <v>1</v>
      </c>
      <c r="F476" s="169" t="s">
        <v>157</v>
      </c>
      <c r="G476" s="15"/>
      <c r="H476" s="170">
        <v>80.19</v>
      </c>
      <c r="I476" s="15"/>
      <c r="J476" s="15"/>
      <c r="K476" s="15"/>
      <c r="L476" s="195"/>
      <c r="M476" s="152"/>
      <c r="N476" s="153"/>
      <c r="O476" s="56"/>
      <c r="P476" s="56"/>
      <c r="Q476" s="56"/>
      <c r="R476" s="56"/>
      <c r="S476" s="56"/>
      <c r="T476" s="57"/>
      <c r="U476" s="30"/>
      <c r="V476" s="30"/>
      <c r="W476" s="30"/>
      <c r="X476" s="30"/>
      <c r="Y476" s="30"/>
      <c r="Z476" s="30"/>
      <c r="AA476" s="30"/>
      <c r="AB476" s="30"/>
      <c r="AC476" s="30"/>
      <c r="AD476" s="30"/>
      <c r="AE476" s="30"/>
      <c r="AT476" s="18" t="s">
        <v>150</v>
      </c>
      <c r="AU476" s="18" t="s">
        <v>82</v>
      </c>
    </row>
    <row r="477" spans="1:65" s="13" customFormat="1" ht="22.8">
      <c r="B477" s="154"/>
      <c r="C477" s="138">
        <v>113</v>
      </c>
      <c r="D477" s="138" t="s">
        <v>139</v>
      </c>
      <c r="E477" s="139" t="s">
        <v>543</v>
      </c>
      <c r="F477" s="140" t="s">
        <v>544</v>
      </c>
      <c r="G477" s="141" t="s">
        <v>142</v>
      </c>
      <c r="H477" s="142">
        <v>512.52</v>
      </c>
      <c r="I477" s="318">
        <v>0</v>
      </c>
      <c r="J477" s="143">
        <f>ROUND(I477*H477,2)</f>
        <v>0</v>
      </c>
      <c r="K477" s="140" t="s">
        <v>148</v>
      </c>
      <c r="L477" s="195"/>
      <c r="M477" s="157"/>
      <c r="N477" s="158"/>
      <c r="O477" s="158"/>
      <c r="P477" s="158"/>
      <c r="Q477" s="158"/>
      <c r="R477" s="158"/>
      <c r="S477" s="158"/>
      <c r="T477" s="159"/>
      <c r="AT477" s="155" t="s">
        <v>152</v>
      </c>
      <c r="AU477" s="155" t="s">
        <v>82</v>
      </c>
      <c r="AV477" s="13" t="s">
        <v>80</v>
      </c>
      <c r="AW477" s="13" t="s">
        <v>28</v>
      </c>
      <c r="AX477" s="13" t="s">
        <v>72</v>
      </c>
      <c r="AY477" s="155" t="s">
        <v>137</v>
      </c>
    </row>
    <row r="478" spans="1:65" s="13" customFormat="1" ht="192">
      <c r="B478" s="154"/>
      <c r="C478" s="30"/>
      <c r="D478" s="150" t="s">
        <v>150</v>
      </c>
      <c r="E478" s="30"/>
      <c r="F478" s="151" t="s">
        <v>546</v>
      </c>
      <c r="G478" s="30"/>
      <c r="H478" s="30"/>
      <c r="I478" s="30"/>
      <c r="J478" s="30"/>
      <c r="K478" s="30"/>
      <c r="L478" s="195"/>
      <c r="M478" s="157"/>
      <c r="N478" s="158"/>
      <c r="O478" s="158"/>
      <c r="P478" s="158"/>
      <c r="Q478" s="158"/>
      <c r="R478" s="158"/>
      <c r="S478" s="158"/>
      <c r="T478" s="159"/>
      <c r="AT478" s="155" t="s">
        <v>152</v>
      </c>
      <c r="AU478" s="155" t="s">
        <v>82</v>
      </c>
      <c r="AV478" s="13" t="s">
        <v>80</v>
      </c>
      <c r="AW478" s="13" t="s">
        <v>28</v>
      </c>
      <c r="AX478" s="13" t="s">
        <v>72</v>
      </c>
      <c r="AY478" s="155" t="s">
        <v>137</v>
      </c>
    </row>
    <row r="479" spans="1:65" s="13" customFormat="1">
      <c r="B479" s="154"/>
      <c r="D479" s="150" t="s">
        <v>152</v>
      </c>
      <c r="E479" s="155" t="s">
        <v>1</v>
      </c>
      <c r="F479" s="156" t="s">
        <v>547</v>
      </c>
      <c r="H479" s="155" t="s">
        <v>1</v>
      </c>
      <c r="L479" s="195"/>
      <c r="M479" s="157"/>
      <c r="N479" s="158"/>
      <c r="O479" s="158"/>
      <c r="P479" s="158"/>
      <c r="Q479" s="158"/>
      <c r="R479" s="158"/>
      <c r="S479" s="158"/>
      <c r="T479" s="159"/>
      <c r="AT479" s="155" t="s">
        <v>152</v>
      </c>
      <c r="AU479" s="155" t="s">
        <v>82</v>
      </c>
      <c r="AV479" s="13" t="s">
        <v>80</v>
      </c>
      <c r="AW479" s="13" t="s">
        <v>28</v>
      </c>
      <c r="AX479" s="13" t="s">
        <v>72</v>
      </c>
      <c r="AY479" s="155" t="s">
        <v>137</v>
      </c>
    </row>
    <row r="480" spans="1:65" s="13" customFormat="1">
      <c r="B480" s="154"/>
      <c r="D480" s="150" t="s">
        <v>152</v>
      </c>
      <c r="E480" s="155" t="s">
        <v>1</v>
      </c>
      <c r="F480" s="156" t="s">
        <v>548</v>
      </c>
      <c r="H480" s="155" t="s">
        <v>1</v>
      </c>
      <c r="L480" s="195"/>
      <c r="M480" s="157"/>
      <c r="N480" s="158"/>
      <c r="O480" s="158"/>
      <c r="P480" s="158"/>
      <c r="Q480" s="158"/>
      <c r="R480" s="158"/>
      <c r="S480" s="158"/>
      <c r="T480" s="159"/>
      <c r="AT480" s="155" t="s">
        <v>152</v>
      </c>
      <c r="AU480" s="155" t="s">
        <v>82</v>
      </c>
      <c r="AV480" s="13" t="s">
        <v>80</v>
      </c>
      <c r="AW480" s="13" t="s">
        <v>28</v>
      </c>
      <c r="AX480" s="13" t="s">
        <v>72</v>
      </c>
      <c r="AY480" s="155" t="s">
        <v>137</v>
      </c>
    </row>
    <row r="481" spans="1:65" s="14" customFormat="1">
      <c r="B481" s="160"/>
      <c r="C481" s="13"/>
      <c r="D481" s="150" t="s">
        <v>152</v>
      </c>
      <c r="E481" s="155" t="s">
        <v>1</v>
      </c>
      <c r="F481" s="156" t="s">
        <v>549</v>
      </c>
      <c r="G481" s="13"/>
      <c r="H481" s="155" t="s">
        <v>1</v>
      </c>
      <c r="I481" s="13"/>
      <c r="J481" s="13"/>
      <c r="K481" s="13"/>
      <c r="L481" s="195"/>
      <c r="M481" s="164"/>
      <c r="N481" s="165"/>
      <c r="O481" s="165"/>
      <c r="P481" s="165"/>
      <c r="Q481" s="165"/>
      <c r="R481" s="165"/>
      <c r="S481" s="165"/>
      <c r="T481" s="166"/>
      <c r="AT481" s="161" t="s">
        <v>152</v>
      </c>
      <c r="AU481" s="161" t="s">
        <v>82</v>
      </c>
      <c r="AV481" s="14" t="s">
        <v>82</v>
      </c>
      <c r="AW481" s="14" t="s">
        <v>28</v>
      </c>
      <c r="AX481" s="14" t="s">
        <v>72</v>
      </c>
      <c r="AY481" s="161" t="s">
        <v>137</v>
      </c>
    </row>
    <row r="482" spans="1:65" s="14" customFormat="1">
      <c r="B482" s="160"/>
      <c r="C482" s="13"/>
      <c r="D482" s="150" t="s">
        <v>152</v>
      </c>
      <c r="E482" s="155" t="s">
        <v>1</v>
      </c>
      <c r="F482" s="156" t="s">
        <v>550</v>
      </c>
      <c r="G482" s="13"/>
      <c r="H482" s="155" t="s">
        <v>1</v>
      </c>
      <c r="I482" s="13"/>
      <c r="J482" s="13"/>
      <c r="K482" s="13"/>
      <c r="L482" s="195"/>
      <c r="M482" s="164"/>
      <c r="N482" s="165"/>
      <c r="O482" s="165"/>
      <c r="P482" s="165"/>
      <c r="Q482" s="165"/>
      <c r="R482" s="165"/>
      <c r="S482" s="165"/>
      <c r="T482" s="166"/>
      <c r="AT482" s="161" t="s">
        <v>152</v>
      </c>
      <c r="AU482" s="161" t="s">
        <v>82</v>
      </c>
      <c r="AV482" s="14" t="s">
        <v>82</v>
      </c>
      <c r="AW482" s="14" t="s">
        <v>28</v>
      </c>
      <c r="AX482" s="14" t="s">
        <v>72</v>
      </c>
      <c r="AY482" s="161" t="s">
        <v>137</v>
      </c>
    </row>
    <row r="483" spans="1:65" s="15" customFormat="1">
      <c r="B483" s="167"/>
      <c r="C483" s="14"/>
      <c r="D483" s="150" t="s">
        <v>152</v>
      </c>
      <c r="E483" s="161" t="s">
        <v>1</v>
      </c>
      <c r="F483" s="162" t="s">
        <v>537</v>
      </c>
      <c r="G483" s="14"/>
      <c r="H483" s="163">
        <v>40.094999999999999</v>
      </c>
      <c r="I483" s="14"/>
      <c r="J483" s="14"/>
      <c r="K483" s="14"/>
      <c r="L483" s="195"/>
      <c r="M483" s="171"/>
      <c r="N483" s="172"/>
      <c r="O483" s="172"/>
      <c r="P483" s="172"/>
      <c r="Q483" s="172"/>
      <c r="R483" s="172"/>
      <c r="S483" s="172"/>
      <c r="T483" s="173"/>
      <c r="AT483" s="168" t="s">
        <v>152</v>
      </c>
      <c r="AU483" s="168" t="s">
        <v>82</v>
      </c>
      <c r="AV483" s="15" t="s">
        <v>144</v>
      </c>
      <c r="AW483" s="15" t="s">
        <v>28</v>
      </c>
      <c r="AX483" s="15" t="s">
        <v>80</v>
      </c>
      <c r="AY483" s="168" t="s">
        <v>137</v>
      </c>
    </row>
    <row r="484" spans="1:65" s="2" customFormat="1" ht="16.5" customHeight="1">
      <c r="A484" s="30"/>
      <c r="B484" s="137"/>
      <c r="C484" s="14"/>
      <c r="D484" s="150" t="s">
        <v>152</v>
      </c>
      <c r="E484" s="161" t="s">
        <v>1</v>
      </c>
      <c r="F484" s="162" t="s">
        <v>538</v>
      </c>
      <c r="G484" s="14"/>
      <c r="H484" s="163">
        <v>472.42500000000001</v>
      </c>
      <c r="I484" s="14"/>
      <c r="J484" s="14"/>
      <c r="K484" s="14"/>
      <c r="L484" s="195"/>
      <c r="M484" s="144" t="s">
        <v>1</v>
      </c>
      <c r="N484" s="145" t="s">
        <v>37</v>
      </c>
      <c r="O484" s="146">
        <v>0</v>
      </c>
      <c r="P484" s="146">
        <f>O484*H486</f>
        <v>0</v>
      </c>
      <c r="Q484" s="146">
        <v>0</v>
      </c>
      <c r="R484" s="146">
        <f>Q484*H486</f>
        <v>0</v>
      </c>
      <c r="S484" s="146">
        <v>0</v>
      </c>
      <c r="T484" s="147">
        <f>S484*H486</f>
        <v>0</v>
      </c>
      <c r="U484" s="30"/>
      <c r="V484" s="30"/>
      <c r="W484" s="30"/>
      <c r="X484" s="30"/>
      <c r="Y484" s="30"/>
      <c r="Z484" s="30"/>
      <c r="AA484" s="30"/>
      <c r="AB484" s="30"/>
      <c r="AC484" s="30"/>
      <c r="AD484" s="30"/>
      <c r="AE484" s="30"/>
      <c r="AR484" s="148" t="s">
        <v>205</v>
      </c>
      <c r="AT484" s="148" t="s">
        <v>139</v>
      </c>
      <c r="AU484" s="148" t="s">
        <v>82</v>
      </c>
      <c r="AY484" s="18" t="s">
        <v>137</v>
      </c>
      <c r="BE484" s="149">
        <f>IF(N484="základní",J486,0)</f>
        <v>0</v>
      </c>
      <c r="BF484" s="149">
        <f>IF(N484="snížená",J486,0)</f>
        <v>0</v>
      </c>
      <c r="BG484" s="149">
        <f>IF(N484="zákl. přenesená",J486,0)</f>
        <v>0</v>
      </c>
      <c r="BH484" s="149">
        <f>IF(N484="sníž. přenesená",J486,0)</f>
        <v>0</v>
      </c>
      <c r="BI484" s="149">
        <f>IF(N484="nulová",J486,0)</f>
        <v>0</v>
      </c>
      <c r="BJ484" s="18" t="s">
        <v>80</v>
      </c>
      <c r="BK484" s="149">
        <f>ROUND(I486*H486,2)</f>
        <v>0</v>
      </c>
      <c r="BL484" s="18" t="s">
        <v>205</v>
      </c>
      <c r="BM484" s="148" t="s">
        <v>554</v>
      </c>
    </row>
    <row r="485" spans="1:65" s="12" customFormat="1" ht="22.95" customHeight="1">
      <c r="B485" s="125"/>
      <c r="C485" s="15"/>
      <c r="D485" s="150" t="s">
        <v>152</v>
      </c>
      <c r="E485" s="168" t="s">
        <v>1</v>
      </c>
      <c r="F485" s="169" t="s">
        <v>157</v>
      </c>
      <c r="G485" s="15"/>
      <c r="H485" s="170">
        <v>512.52</v>
      </c>
      <c r="I485" s="15"/>
      <c r="J485" s="15"/>
      <c r="K485" s="15"/>
      <c r="L485" s="223"/>
      <c r="M485" s="129"/>
      <c r="N485" s="130"/>
      <c r="O485" s="130"/>
      <c r="P485" s="131">
        <f>SUM(P486:P491)</f>
        <v>6.4623629999999999</v>
      </c>
      <c r="Q485" s="130"/>
      <c r="R485" s="131">
        <f>SUM(R486:R491)</f>
        <v>0.13271589999999997</v>
      </c>
      <c r="S485" s="130"/>
      <c r="T485" s="132">
        <f>SUM(T486:T491)</f>
        <v>0</v>
      </c>
      <c r="AR485" s="126" t="s">
        <v>82</v>
      </c>
      <c r="AT485" s="133" t="s">
        <v>71</v>
      </c>
      <c r="AU485" s="133" t="s">
        <v>80</v>
      </c>
      <c r="AY485" s="126" t="s">
        <v>137</v>
      </c>
      <c r="BK485" s="134">
        <f>SUM(BK486:BK491)</f>
        <v>0</v>
      </c>
    </row>
    <row r="486" spans="1:65" s="2" customFormat="1" ht="21.75" customHeight="1">
      <c r="A486" s="30"/>
      <c r="B486" s="137"/>
      <c r="C486" s="138">
        <v>114</v>
      </c>
      <c r="D486" s="138" t="s">
        <v>139</v>
      </c>
      <c r="E486" s="139" t="s">
        <v>551</v>
      </c>
      <c r="F486" s="140" t="s">
        <v>552</v>
      </c>
      <c r="G486" s="141" t="s">
        <v>553</v>
      </c>
      <c r="H486" s="251">
        <f>(J469+J474+J477)/100</f>
        <v>0</v>
      </c>
      <c r="I486" s="318">
        <v>0</v>
      </c>
      <c r="J486" s="143">
        <f>ROUND(I486*H486,2)</f>
        <v>0</v>
      </c>
      <c r="K486" s="140" t="s">
        <v>143</v>
      </c>
      <c r="L486" s="195"/>
      <c r="M486" s="144" t="s">
        <v>1</v>
      </c>
      <c r="N486" s="145" t="s">
        <v>37</v>
      </c>
      <c r="O486" s="146">
        <v>0.14199999999999999</v>
      </c>
      <c r="P486" s="146">
        <f>O486*H488</f>
        <v>5.6934899999999997</v>
      </c>
      <c r="Q486" s="146">
        <v>1.2E-4</v>
      </c>
      <c r="R486" s="146">
        <f>Q486*H488</f>
        <v>4.8114000000000004E-3</v>
      </c>
      <c r="S486" s="146">
        <v>0</v>
      </c>
      <c r="T486" s="147">
        <f>S486*H488</f>
        <v>0</v>
      </c>
      <c r="U486" s="30"/>
      <c r="V486" s="30"/>
      <c r="W486" s="30"/>
      <c r="X486" s="30"/>
      <c r="Y486" s="30"/>
      <c r="Z486" s="30"/>
      <c r="AA486" s="30"/>
      <c r="AB486" s="30"/>
      <c r="AC486" s="30"/>
      <c r="AD486" s="30"/>
      <c r="AE486" s="30"/>
      <c r="AR486" s="148" t="s">
        <v>205</v>
      </c>
      <c r="AT486" s="148" t="s">
        <v>139</v>
      </c>
      <c r="AU486" s="148" t="s">
        <v>82</v>
      </c>
      <c r="AY486" s="18" t="s">
        <v>137</v>
      </c>
      <c r="BE486" s="149">
        <f>IF(N486="základní",J488,0)</f>
        <v>0</v>
      </c>
      <c r="BF486" s="149">
        <f>IF(N486="snížená",J488,0)</f>
        <v>0</v>
      </c>
      <c r="BG486" s="149">
        <f>IF(N486="zákl. přenesená",J488,0)</f>
        <v>0</v>
      </c>
      <c r="BH486" s="149">
        <f>IF(N486="sníž. přenesená",J488,0)</f>
        <v>0</v>
      </c>
      <c r="BI486" s="149">
        <f>IF(N486="nulová",J488,0)</f>
        <v>0</v>
      </c>
      <c r="BJ486" s="18" t="s">
        <v>80</v>
      </c>
      <c r="BK486" s="149">
        <f>ROUND(I488*H488,2)</f>
        <v>0</v>
      </c>
      <c r="BL486" s="18" t="s">
        <v>205</v>
      </c>
      <c r="BM486" s="148" t="s">
        <v>559</v>
      </c>
    </row>
    <row r="487" spans="1:65" s="14" customFormat="1" ht="13.2">
      <c r="B487" s="160"/>
      <c r="C487" s="12"/>
      <c r="D487" s="126" t="s">
        <v>71</v>
      </c>
      <c r="E487" s="135" t="s">
        <v>555</v>
      </c>
      <c r="F487" s="135" t="s">
        <v>556</v>
      </c>
      <c r="G487" s="12"/>
      <c r="H487" s="12"/>
      <c r="I487" s="12"/>
      <c r="J487" s="136">
        <f>BK485</f>
        <v>0</v>
      </c>
      <c r="K487" s="12"/>
      <c r="L487" s="195"/>
      <c r="M487" s="164"/>
      <c r="N487" s="165"/>
      <c r="O487" s="165"/>
      <c r="P487" s="165"/>
      <c r="Q487" s="165"/>
      <c r="R487" s="165"/>
      <c r="S487" s="165"/>
      <c r="T487" s="166"/>
      <c r="AT487" s="161" t="s">
        <v>152</v>
      </c>
      <c r="AU487" s="161" t="s">
        <v>82</v>
      </c>
      <c r="AV487" s="14" t="s">
        <v>82</v>
      </c>
      <c r="AW487" s="14" t="s">
        <v>28</v>
      </c>
      <c r="AX487" s="14" t="s">
        <v>72</v>
      </c>
      <c r="AY487" s="161" t="s">
        <v>137</v>
      </c>
    </row>
    <row r="488" spans="1:65" s="15" customFormat="1" ht="11.4">
      <c r="B488" s="167"/>
      <c r="C488" s="138">
        <v>115</v>
      </c>
      <c r="D488" s="138" t="s">
        <v>139</v>
      </c>
      <c r="E488" s="139" t="s">
        <v>557</v>
      </c>
      <c r="F488" s="140" t="s">
        <v>558</v>
      </c>
      <c r="G488" s="141" t="s">
        <v>142</v>
      </c>
      <c r="H488" s="142">
        <v>40.094999999999999</v>
      </c>
      <c r="I488" s="318">
        <v>0</v>
      </c>
      <c r="J488" s="143">
        <f>ROUND(I488*H488,2)</f>
        <v>0</v>
      </c>
      <c r="K488" s="140" t="s">
        <v>143</v>
      </c>
      <c r="L488" s="195"/>
      <c r="M488" s="171"/>
      <c r="N488" s="172"/>
      <c r="O488" s="172"/>
      <c r="P488" s="172"/>
      <c r="Q488" s="172"/>
      <c r="R488" s="172"/>
      <c r="S488" s="172"/>
      <c r="T488" s="173"/>
      <c r="AT488" s="168" t="s">
        <v>152</v>
      </c>
      <c r="AU488" s="168" t="s">
        <v>82</v>
      </c>
      <c r="AV488" s="15" t="s">
        <v>144</v>
      </c>
      <c r="AW488" s="15" t="s">
        <v>28</v>
      </c>
      <c r="AX488" s="15" t="s">
        <v>80</v>
      </c>
      <c r="AY488" s="168" t="s">
        <v>137</v>
      </c>
    </row>
    <row r="489" spans="1:65" s="2" customFormat="1" ht="16.5" customHeight="1">
      <c r="A489" s="30"/>
      <c r="B489" s="137"/>
      <c r="C489" s="14"/>
      <c r="D489" s="150" t="s">
        <v>152</v>
      </c>
      <c r="E489" s="161" t="s">
        <v>1</v>
      </c>
      <c r="F489" s="162" t="s">
        <v>537</v>
      </c>
      <c r="G489" s="14"/>
      <c r="H489" s="163">
        <v>40.094999999999999</v>
      </c>
      <c r="I489" s="14"/>
      <c r="J489" s="14"/>
      <c r="K489" s="14"/>
      <c r="L489" s="209"/>
      <c r="M489" s="180" t="s">
        <v>1</v>
      </c>
      <c r="N489" s="181" t="s">
        <v>37</v>
      </c>
      <c r="O489" s="146">
        <v>0</v>
      </c>
      <c r="P489" s="146">
        <f>O489*H491</f>
        <v>0</v>
      </c>
      <c r="Q489" s="146">
        <v>2.8999999999999998E-3</v>
      </c>
      <c r="R489" s="146">
        <f>Q489*H491</f>
        <v>0.12790449999999998</v>
      </c>
      <c r="S489" s="146">
        <v>0</v>
      </c>
      <c r="T489" s="147">
        <f>S489*H491</f>
        <v>0</v>
      </c>
      <c r="U489" s="30"/>
      <c r="V489" s="30"/>
      <c r="W489" s="30"/>
      <c r="X489" s="30"/>
      <c r="Y489" s="30"/>
      <c r="Z489" s="30"/>
      <c r="AA489" s="30"/>
      <c r="AB489" s="30"/>
      <c r="AC489" s="30"/>
      <c r="AD489" s="30"/>
      <c r="AE489" s="30"/>
      <c r="AR489" s="148" t="s">
        <v>265</v>
      </c>
      <c r="AT489" s="148" t="s">
        <v>184</v>
      </c>
      <c r="AU489" s="148" t="s">
        <v>82</v>
      </c>
      <c r="AY489" s="18" t="s">
        <v>137</v>
      </c>
      <c r="BE489" s="149">
        <f>IF(N489="základní",J491,0)</f>
        <v>0</v>
      </c>
      <c r="BF489" s="149">
        <f>IF(N489="snížená",J491,0)</f>
        <v>0</v>
      </c>
      <c r="BG489" s="149">
        <f>IF(N489="zákl. přenesená",J491,0)</f>
        <v>0</v>
      </c>
      <c r="BH489" s="149">
        <f>IF(N489="sníž. přenesená",J491,0)</f>
        <v>0</v>
      </c>
      <c r="BI489" s="149">
        <f>IF(N489="nulová",J491,0)</f>
        <v>0</v>
      </c>
      <c r="BJ489" s="18" t="s">
        <v>80</v>
      </c>
      <c r="BK489" s="149">
        <f>ROUND(I491*H491,2)</f>
        <v>0</v>
      </c>
      <c r="BL489" s="18" t="s">
        <v>205</v>
      </c>
      <c r="BM489" s="148" t="s">
        <v>562</v>
      </c>
    </row>
    <row r="490" spans="1:65" s="14" customFormat="1">
      <c r="B490" s="160"/>
      <c r="C490" s="15"/>
      <c r="D490" s="150" t="s">
        <v>152</v>
      </c>
      <c r="E490" s="168" t="s">
        <v>1</v>
      </c>
      <c r="F490" s="169" t="s">
        <v>157</v>
      </c>
      <c r="G490" s="15"/>
      <c r="H490" s="170">
        <v>40.094999999999999</v>
      </c>
      <c r="I490" s="15"/>
      <c r="J490" s="15"/>
      <c r="K490" s="15"/>
      <c r="L490" s="195"/>
      <c r="M490" s="164"/>
      <c r="N490" s="165"/>
      <c r="O490" s="165"/>
      <c r="P490" s="165"/>
      <c r="Q490" s="165"/>
      <c r="R490" s="165"/>
      <c r="S490" s="165"/>
      <c r="T490" s="166"/>
      <c r="AT490" s="161" t="s">
        <v>152</v>
      </c>
      <c r="AU490" s="161" t="s">
        <v>82</v>
      </c>
      <c r="AV490" s="14" t="s">
        <v>82</v>
      </c>
      <c r="AW490" s="14" t="s">
        <v>3</v>
      </c>
      <c r="AX490" s="14" t="s">
        <v>80</v>
      </c>
      <c r="AY490" s="161" t="s">
        <v>137</v>
      </c>
    </row>
    <row r="491" spans="1:65" s="2" customFormat="1" ht="16.5" customHeight="1">
      <c r="A491" s="30"/>
      <c r="B491" s="137"/>
      <c r="C491" s="174">
        <v>116</v>
      </c>
      <c r="D491" s="174" t="s">
        <v>184</v>
      </c>
      <c r="E491" s="175" t="s">
        <v>560</v>
      </c>
      <c r="F491" s="176" t="s">
        <v>561</v>
      </c>
      <c r="G491" s="177" t="s">
        <v>142</v>
      </c>
      <c r="H491" s="178">
        <v>44.104999999999997</v>
      </c>
      <c r="I491" s="320">
        <v>0</v>
      </c>
      <c r="J491" s="179">
        <f>ROUND(I491*H491,2)</f>
        <v>0</v>
      </c>
      <c r="K491" s="176" t="s">
        <v>148</v>
      </c>
      <c r="L491" s="195"/>
      <c r="M491" s="144" t="s">
        <v>1</v>
      </c>
      <c r="N491" s="145" t="s">
        <v>37</v>
      </c>
      <c r="O491" s="146">
        <v>5.7809999999999997</v>
      </c>
      <c r="P491" s="146">
        <f>O491*H493</f>
        <v>0.76887300000000003</v>
      </c>
      <c r="Q491" s="146">
        <v>0</v>
      </c>
      <c r="R491" s="146">
        <f>Q491*H493</f>
        <v>0</v>
      </c>
      <c r="S491" s="146">
        <v>0</v>
      </c>
      <c r="T491" s="147">
        <f>S491*H493</f>
        <v>0</v>
      </c>
      <c r="U491" s="30"/>
      <c r="V491" s="30"/>
      <c r="W491" s="30"/>
      <c r="X491" s="30"/>
      <c r="Y491" s="30"/>
      <c r="Z491" s="30"/>
      <c r="AA491" s="30"/>
      <c r="AB491" s="30"/>
      <c r="AC491" s="30"/>
      <c r="AD491" s="30"/>
      <c r="AE491" s="30"/>
      <c r="AR491" s="148" t="s">
        <v>205</v>
      </c>
      <c r="AT491" s="148" t="s">
        <v>139</v>
      </c>
      <c r="AU491" s="148" t="s">
        <v>82</v>
      </c>
      <c r="AY491" s="18" t="s">
        <v>137</v>
      </c>
      <c r="BE491" s="149">
        <f>IF(N491="základní",J493,0)</f>
        <v>0</v>
      </c>
      <c r="BF491" s="149">
        <f>IF(N491="snížená",J493,0)</f>
        <v>0</v>
      </c>
      <c r="BG491" s="149">
        <f>IF(N491="zákl. přenesená",J493,0)</f>
        <v>0</v>
      </c>
      <c r="BH491" s="149">
        <f>IF(N491="sníž. přenesená",J493,0)</f>
        <v>0</v>
      </c>
      <c r="BI491" s="149">
        <f>IF(N491="nulová",J493,0)</f>
        <v>0</v>
      </c>
      <c r="BJ491" s="18" t="s">
        <v>80</v>
      </c>
      <c r="BK491" s="149">
        <f>ROUND(I493*H493,2)</f>
        <v>0</v>
      </c>
      <c r="BL491" s="18" t="s">
        <v>205</v>
      </c>
      <c r="BM491" s="148" t="s">
        <v>566</v>
      </c>
    </row>
    <row r="492" spans="1:65" s="12" customFormat="1" ht="22.95" customHeight="1">
      <c r="B492" s="125"/>
      <c r="C492" s="14"/>
      <c r="D492" s="150" t="s">
        <v>152</v>
      </c>
      <c r="E492" s="14"/>
      <c r="F492" s="162" t="s">
        <v>563</v>
      </c>
      <c r="G492" s="14"/>
      <c r="H492" s="163">
        <v>44.104999999999997</v>
      </c>
      <c r="I492" s="14"/>
      <c r="J492" s="14"/>
      <c r="K492" s="14"/>
      <c r="L492" s="125"/>
      <c r="M492" s="129"/>
      <c r="N492" s="130"/>
      <c r="O492" s="130"/>
      <c r="P492" s="131" t="e">
        <f>SUM(P493:P493)</f>
        <v>#REF!</v>
      </c>
      <c r="Q492" s="130"/>
      <c r="R492" s="131" t="e">
        <f>SUM(R493:R493)</f>
        <v>#REF!</v>
      </c>
      <c r="S492" s="130"/>
      <c r="T492" s="132" t="e">
        <f>SUM(T493:T493)</f>
        <v>#REF!</v>
      </c>
      <c r="AR492" s="126" t="s">
        <v>82</v>
      </c>
      <c r="AT492" s="133" t="s">
        <v>71</v>
      </c>
      <c r="AU492" s="133" t="s">
        <v>80</v>
      </c>
      <c r="AY492" s="126" t="s">
        <v>137</v>
      </c>
      <c r="BK492" s="134" t="e">
        <f>SUM(BK493:BK493)</f>
        <v>#REF!</v>
      </c>
    </row>
    <row r="493" spans="1:65" s="2" customFormat="1" ht="24.15" customHeight="1">
      <c r="A493" s="30"/>
      <c r="B493" s="137"/>
      <c r="C493" s="138">
        <v>117</v>
      </c>
      <c r="D493" s="138" t="s">
        <v>139</v>
      </c>
      <c r="E493" s="139" t="s">
        <v>564</v>
      </c>
      <c r="F493" s="140" t="s">
        <v>565</v>
      </c>
      <c r="G493" s="141" t="s">
        <v>187</v>
      </c>
      <c r="H493" s="142">
        <v>0.13300000000000001</v>
      </c>
      <c r="I493" s="318">
        <v>0</v>
      </c>
      <c r="J493" s="143">
        <f>ROUND(I493*H493,2)</f>
        <v>0</v>
      </c>
      <c r="K493" s="140" t="s">
        <v>143</v>
      </c>
      <c r="L493" s="195"/>
      <c r="M493" s="144" t="s">
        <v>1</v>
      </c>
      <c r="N493" s="145" t="s">
        <v>37</v>
      </c>
      <c r="O493" s="146">
        <v>0.69599999999999995</v>
      </c>
      <c r="P493" s="146" t="e">
        <f>O493*#REF!</f>
        <v>#REF!</v>
      </c>
      <c r="Q493" s="146">
        <v>0</v>
      </c>
      <c r="R493" s="146" t="e">
        <f>Q493*#REF!</f>
        <v>#REF!</v>
      </c>
      <c r="S493" s="146">
        <v>0</v>
      </c>
      <c r="T493" s="147" t="e">
        <f>S493*#REF!</f>
        <v>#REF!</v>
      </c>
      <c r="U493" s="30"/>
      <c r="V493" s="30"/>
      <c r="W493" s="30"/>
      <c r="X493" s="30"/>
      <c r="Y493" s="30"/>
      <c r="Z493" s="30"/>
      <c r="AA493" s="30"/>
      <c r="AB493" s="30"/>
      <c r="AC493" s="30"/>
      <c r="AD493" s="30"/>
      <c r="AE493" s="30"/>
      <c r="AR493" s="148" t="s">
        <v>205</v>
      </c>
      <c r="AT493" s="148" t="s">
        <v>139</v>
      </c>
      <c r="AU493" s="148" t="s">
        <v>82</v>
      </c>
      <c r="AY493" s="18" t="s">
        <v>137</v>
      </c>
      <c r="BE493" s="149" t="e">
        <f>IF(N493="základní",#REF!,0)</f>
        <v>#REF!</v>
      </c>
      <c r="BF493" s="149">
        <f>IF(N493="snížená",#REF!,0)</f>
        <v>0</v>
      </c>
      <c r="BG493" s="149">
        <f>IF(N493="zákl. přenesená",#REF!,0)</f>
        <v>0</v>
      </c>
      <c r="BH493" s="149">
        <f>IF(N493="sníž. přenesená",#REF!,0)</f>
        <v>0</v>
      </c>
      <c r="BI493" s="149">
        <f>IF(N493="nulová",#REF!,0)</f>
        <v>0</v>
      </c>
      <c r="BJ493" s="18" t="s">
        <v>80</v>
      </c>
      <c r="BK493" s="149" t="e">
        <f>ROUND(#REF!*#REF!,2)</f>
        <v>#REF!</v>
      </c>
      <c r="BL493" s="18" t="s">
        <v>205</v>
      </c>
      <c r="BM493" s="148" t="s">
        <v>567</v>
      </c>
    </row>
    <row r="494" spans="1:65" s="2" customFormat="1" ht="13.2">
      <c r="A494" s="30"/>
      <c r="B494" s="31"/>
      <c r="C494" s="12"/>
      <c r="D494" s="126" t="s">
        <v>71</v>
      </c>
      <c r="E494" s="135" t="s">
        <v>568</v>
      </c>
      <c r="F494" s="135" t="s">
        <v>569</v>
      </c>
      <c r="G494" s="12"/>
      <c r="H494" s="12"/>
      <c r="I494" s="12"/>
      <c r="J494" s="136">
        <f>SUM(J495:J499)</f>
        <v>0</v>
      </c>
      <c r="K494" s="12"/>
      <c r="L494" s="31"/>
      <c r="M494" s="152"/>
      <c r="N494" s="153"/>
      <c r="O494" s="56"/>
      <c r="P494" s="56"/>
      <c r="Q494" s="56"/>
      <c r="R494" s="56"/>
      <c r="S494" s="56"/>
      <c r="T494" s="57"/>
      <c r="U494" s="30"/>
      <c r="V494" s="30"/>
      <c r="W494" s="30"/>
      <c r="X494" s="30"/>
      <c r="Y494" s="30"/>
      <c r="Z494" s="30"/>
      <c r="AA494" s="30"/>
      <c r="AB494" s="30"/>
      <c r="AC494" s="30"/>
      <c r="AD494" s="30"/>
      <c r="AE494" s="30"/>
      <c r="AT494" s="18" t="s">
        <v>150</v>
      </c>
      <c r="AU494" s="18" t="s">
        <v>82</v>
      </c>
    </row>
    <row r="495" spans="1:65" s="2" customFormat="1" ht="16.5" customHeight="1">
      <c r="A495" s="30"/>
      <c r="B495" s="137"/>
      <c r="C495" s="138">
        <v>121</v>
      </c>
      <c r="D495" s="138" t="s">
        <v>139</v>
      </c>
      <c r="E495" s="139" t="s">
        <v>570</v>
      </c>
      <c r="F495" s="140" t="s">
        <v>571</v>
      </c>
      <c r="G495" s="141" t="s">
        <v>572</v>
      </c>
      <c r="H495" s="280">
        <v>5</v>
      </c>
      <c r="I495" s="318">
        <v>0</v>
      </c>
      <c r="J495" s="143">
        <f>ROUND(I495*H495,2)</f>
        <v>0</v>
      </c>
      <c r="K495" s="140" t="s">
        <v>148</v>
      </c>
      <c r="L495" s="195"/>
      <c r="M495" s="144" t="s">
        <v>1</v>
      </c>
      <c r="N495" s="145" t="s">
        <v>37</v>
      </c>
      <c r="O495" s="146">
        <v>0</v>
      </c>
      <c r="P495" s="146">
        <f>O495*H497</f>
        <v>0</v>
      </c>
      <c r="Q495" s="146">
        <v>0</v>
      </c>
      <c r="R495" s="146">
        <f>Q495*H497</f>
        <v>0</v>
      </c>
      <c r="S495" s="146">
        <v>0</v>
      </c>
      <c r="T495" s="147">
        <f>S495*H497</f>
        <v>0</v>
      </c>
      <c r="U495" s="30"/>
      <c r="V495" s="30"/>
      <c r="W495" s="30"/>
      <c r="X495" s="30"/>
      <c r="Y495" s="30"/>
      <c r="Z495" s="30"/>
      <c r="AA495" s="30"/>
      <c r="AB495" s="30"/>
      <c r="AC495" s="30"/>
      <c r="AD495" s="30"/>
      <c r="AE495" s="30"/>
      <c r="AR495" s="148" t="s">
        <v>205</v>
      </c>
      <c r="AT495" s="148" t="s">
        <v>139</v>
      </c>
      <c r="AU495" s="148" t="s">
        <v>82</v>
      </c>
      <c r="AY495" s="18" t="s">
        <v>137</v>
      </c>
      <c r="BE495" s="149">
        <f>IF(N495="základní",J497,0)</f>
        <v>0</v>
      </c>
      <c r="BF495" s="149">
        <f>IF(N495="snížená",J497,0)</f>
        <v>0</v>
      </c>
      <c r="BG495" s="149">
        <f>IF(N495="zákl. přenesená",J497,0)</f>
        <v>0</v>
      </c>
      <c r="BH495" s="149">
        <f>IF(N495="sníž. přenesená",J497,0)</f>
        <v>0</v>
      </c>
      <c r="BI495" s="149">
        <f>IF(N495="nulová",J497,0)</f>
        <v>0</v>
      </c>
      <c r="BJ495" s="18" t="s">
        <v>80</v>
      </c>
      <c r="BK495" s="149">
        <f>ROUND(I497*H497,2)</f>
        <v>0</v>
      </c>
      <c r="BL495" s="18" t="s">
        <v>205</v>
      </c>
      <c r="BM495" s="148" t="s">
        <v>576</v>
      </c>
    </row>
    <row r="496" spans="1:65" s="2" customFormat="1" ht="96">
      <c r="A496" s="30"/>
      <c r="B496" s="31"/>
      <c r="C496" s="30"/>
      <c r="D496" s="150" t="s">
        <v>150</v>
      </c>
      <c r="E496" s="30"/>
      <c r="F496" s="151" t="s">
        <v>573</v>
      </c>
      <c r="G496" s="30"/>
      <c r="H496" s="30"/>
      <c r="I496" s="30"/>
      <c r="J496" s="30"/>
      <c r="K496" s="30"/>
      <c r="L496" s="195"/>
      <c r="M496" s="152"/>
      <c r="N496" s="153"/>
      <c r="O496" s="56"/>
      <c r="P496" s="56"/>
      <c r="Q496" s="56"/>
      <c r="R496" s="56"/>
      <c r="S496" s="56"/>
      <c r="T496" s="57"/>
      <c r="U496" s="30"/>
      <c r="V496" s="30"/>
      <c r="W496" s="30"/>
      <c r="X496" s="30"/>
      <c r="Y496" s="30"/>
      <c r="Z496" s="30"/>
      <c r="AA496" s="30"/>
      <c r="AB496" s="30"/>
      <c r="AC496" s="30"/>
      <c r="AD496" s="30"/>
      <c r="AE496" s="30"/>
      <c r="AT496" s="18" t="s">
        <v>150</v>
      </c>
      <c r="AU496" s="18" t="s">
        <v>82</v>
      </c>
    </row>
    <row r="497" spans="1:65" s="2" customFormat="1" ht="16.5" customHeight="1">
      <c r="A497" s="30"/>
      <c r="B497" s="137"/>
      <c r="C497" s="138">
        <v>122</v>
      </c>
      <c r="D497" s="138" t="s">
        <v>139</v>
      </c>
      <c r="E497" s="139" t="s">
        <v>574</v>
      </c>
      <c r="F497" s="140" t="s">
        <v>575</v>
      </c>
      <c r="G497" s="141" t="s">
        <v>142</v>
      </c>
      <c r="H497" s="142">
        <v>22.45</v>
      </c>
      <c r="I497" s="318">
        <v>0</v>
      </c>
      <c r="J497" s="143">
        <f>ROUND(I497*H497,2)</f>
        <v>0</v>
      </c>
      <c r="K497" s="140" t="s">
        <v>148</v>
      </c>
      <c r="L497" s="195"/>
      <c r="M497" s="144" t="s">
        <v>1</v>
      </c>
      <c r="N497" s="145" t="s">
        <v>37</v>
      </c>
      <c r="O497" s="146">
        <v>0</v>
      </c>
      <c r="P497" s="146">
        <f>O497*H499</f>
        <v>0</v>
      </c>
      <c r="Q497" s="146">
        <v>0</v>
      </c>
      <c r="R497" s="146">
        <f>Q497*H499</f>
        <v>0</v>
      </c>
      <c r="S497" s="146">
        <v>0</v>
      </c>
      <c r="T497" s="147">
        <f>S497*H499</f>
        <v>0</v>
      </c>
      <c r="U497" s="30"/>
      <c r="V497" s="30"/>
      <c r="W497" s="30"/>
      <c r="X497" s="30"/>
      <c r="Y497" s="30"/>
      <c r="Z497" s="30"/>
      <c r="AA497" s="30"/>
      <c r="AB497" s="30"/>
      <c r="AC497" s="30"/>
      <c r="AD497" s="30"/>
      <c r="AE497" s="30"/>
      <c r="AR497" s="148" t="s">
        <v>205</v>
      </c>
      <c r="AT497" s="148" t="s">
        <v>139</v>
      </c>
      <c r="AU497" s="148" t="s">
        <v>82</v>
      </c>
      <c r="AY497" s="18" t="s">
        <v>137</v>
      </c>
      <c r="BE497" s="149">
        <f>IF(N497="základní",J499,0)</f>
        <v>0</v>
      </c>
      <c r="BF497" s="149">
        <f>IF(N497="snížená",J499,0)</f>
        <v>0</v>
      </c>
      <c r="BG497" s="149">
        <f>IF(N497="zákl. přenesená",J499,0)</f>
        <v>0</v>
      </c>
      <c r="BH497" s="149">
        <f>IF(N497="sníž. přenesená",J499,0)</f>
        <v>0</v>
      </c>
      <c r="BI497" s="149">
        <f>IF(N497="nulová",J499,0)</f>
        <v>0</v>
      </c>
      <c r="BJ497" s="18" t="s">
        <v>80</v>
      </c>
      <c r="BK497" s="149">
        <f>ROUND(I499*H499,2)</f>
        <v>0</v>
      </c>
      <c r="BL497" s="18" t="s">
        <v>205</v>
      </c>
      <c r="BM497" s="148" t="s">
        <v>580</v>
      </c>
    </row>
    <row r="498" spans="1:65" s="12" customFormat="1" ht="22.95" customHeight="1">
      <c r="B498" s="125"/>
      <c r="C498" s="30"/>
      <c r="D498" s="150" t="s">
        <v>150</v>
      </c>
      <c r="E498" s="30"/>
      <c r="F498" s="151" t="s">
        <v>577</v>
      </c>
      <c r="G498" s="30"/>
      <c r="H498" s="30"/>
      <c r="I498" s="30"/>
      <c r="J498" s="30"/>
      <c r="K498" s="30"/>
      <c r="L498" s="125"/>
      <c r="M498" s="129"/>
      <c r="N498" s="130"/>
      <c r="O498" s="130"/>
      <c r="P498" s="131">
        <f>SUM(P499:P513)</f>
        <v>0</v>
      </c>
      <c r="Q498" s="130"/>
      <c r="R498" s="131">
        <f>SUM(R499:R513)</f>
        <v>0</v>
      </c>
      <c r="S498" s="130"/>
      <c r="T498" s="132">
        <f>SUM(T499:T513)</f>
        <v>0</v>
      </c>
      <c r="AR498" s="126" t="s">
        <v>82</v>
      </c>
      <c r="AT498" s="133" t="s">
        <v>71</v>
      </c>
      <c r="AU498" s="133" t="s">
        <v>80</v>
      </c>
      <c r="AY498" s="126" t="s">
        <v>137</v>
      </c>
      <c r="BK498" s="134">
        <f>SUM(BK499:BK513)</f>
        <v>0</v>
      </c>
    </row>
    <row r="499" spans="1:65" s="2" customFormat="1" ht="16.5" customHeight="1">
      <c r="A499" s="30"/>
      <c r="B499" s="137"/>
      <c r="C499" s="138">
        <v>123</v>
      </c>
      <c r="D499" s="138" t="s">
        <v>139</v>
      </c>
      <c r="E499" s="139" t="s">
        <v>578</v>
      </c>
      <c r="F499" s="140" t="s">
        <v>579</v>
      </c>
      <c r="G499" s="141" t="s">
        <v>553</v>
      </c>
      <c r="H499" s="142">
        <f>(J495+J497)/100</f>
        <v>0</v>
      </c>
      <c r="I499" s="318">
        <v>0</v>
      </c>
      <c r="J499" s="143">
        <f>ROUND(I499*H499,2)</f>
        <v>0</v>
      </c>
      <c r="K499" s="140" t="s">
        <v>143</v>
      </c>
      <c r="L499" s="195"/>
      <c r="M499" s="144" t="s">
        <v>1</v>
      </c>
      <c r="N499" s="145" t="s">
        <v>37</v>
      </c>
      <c r="O499" s="146">
        <v>0</v>
      </c>
      <c r="P499" s="146">
        <f>O499*H501</f>
        <v>0</v>
      </c>
      <c r="Q499" s="146">
        <v>0</v>
      </c>
      <c r="R499" s="146">
        <f>Q499*H501</f>
        <v>0</v>
      </c>
      <c r="S499" s="146">
        <v>0</v>
      </c>
      <c r="T499" s="147">
        <f>S499*H501</f>
        <v>0</v>
      </c>
      <c r="U499" s="30"/>
      <c r="V499" s="30"/>
      <c r="W499" s="30"/>
      <c r="X499" s="30"/>
      <c r="Y499" s="30"/>
      <c r="Z499" s="30"/>
      <c r="AA499" s="30"/>
      <c r="AB499" s="30"/>
      <c r="AC499" s="30"/>
      <c r="AD499" s="30"/>
      <c r="AE499" s="30"/>
      <c r="AR499" s="148" t="s">
        <v>205</v>
      </c>
      <c r="AT499" s="148" t="s">
        <v>139</v>
      </c>
      <c r="AU499" s="148" t="s">
        <v>82</v>
      </c>
      <c r="AY499" s="18" t="s">
        <v>137</v>
      </c>
      <c r="BE499" s="149">
        <f>IF(N499="základní",J501,0)</f>
        <v>0</v>
      </c>
      <c r="BF499" s="149">
        <f>IF(N499="snížená",J501,0)</f>
        <v>0</v>
      </c>
      <c r="BG499" s="149">
        <f>IF(N499="zákl. přenesená",J501,0)</f>
        <v>0</v>
      </c>
      <c r="BH499" s="149">
        <f>IF(N499="sníž. přenesená",J501,0)</f>
        <v>0</v>
      </c>
      <c r="BI499" s="149">
        <f>IF(N499="nulová",J501,0)</f>
        <v>0</v>
      </c>
      <c r="BJ499" s="18" t="s">
        <v>80</v>
      </c>
      <c r="BK499" s="149">
        <f>ROUND(I501*H501,2)</f>
        <v>0</v>
      </c>
      <c r="BL499" s="18" t="s">
        <v>205</v>
      </c>
      <c r="BM499" s="148" t="s">
        <v>584</v>
      </c>
    </row>
    <row r="500" spans="1:65" s="2" customFormat="1" ht="13.2">
      <c r="A500" s="30"/>
      <c r="B500" s="31"/>
      <c r="C500" s="12"/>
      <c r="D500" s="126" t="s">
        <v>71</v>
      </c>
      <c r="E500" s="135" t="s">
        <v>581</v>
      </c>
      <c r="F500" s="135" t="s">
        <v>582</v>
      </c>
      <c r="G500" s="12"/>
      <c r="H500" s="12"/>
      <c r="I500" s="12"/>
      <c r="J500" s="136">
        <f>SUM(J501:J515)</f>
        <v>0</v>
      </c>
      <c r="K500" s="12"/>
      <c r="L500" s="195"/>
      <c r="M500" s="152"/>
      <c r="N500" s="153"/>
      <c r="O500" s="56"/>
      <c r="P500" s="56"/>
      <c r="Q500" s="56"/>
      <c r="R500" s="56"/>
      <c r="S500" s="56"/>
      <c r="T500" s="57"/>
      <c r="U500" s="30"/>
      <c r="V500" s="30"/>
      <c r="W500" s="30"/>
      <c r="X500" s="30"/>
      <c r="Y500" s="30"/>
      <c r="Z500" s="30"/>
      <c r="AA500" s="30"/>
      <c r="AB500" s="30"/>
      <c r="AC500" s="30"/>
      <c r="AD500" s="30"/>
      <c r="AE500" s="30"/>
      <c r="AT500" s="18" t="s">
        <v>150</v>
      </c>
      <c r="AU500" s="18" t="s">
        <v>82</v>
      </c>
    </row>
    <row r="501" spans="1:65" s="2" customFormat="1" ht="16.5" customHeight="1">
      <c r="A501" s="30"/>
      <c r="B501" s="137"/>
      <c r="C501" s="138">
        <v>124</v>
      </c>
      <c r="D501" s="138" t="s">
        <v>139</v>
      </c>
      <c r="E501" s="139" t="s">
        <v>583</v>
      </c>
      <c r="F501" s="193" t="s">
        <v>832</v>
      </c>
      <c r="G501" s="141" t="s">
        <v>142</v>
      </c>
      <c r="H501" s="142">
        <v>141.96</v>
      </c>
      <c r="I501" s="318">
        <v>0</v>
      </c>
      <c r="J501" s="143">
        <f>ROUND(I501*H501,2)</f>
        <v>0</v>
      </c>
      <c r="K501" s="140" t="s">
        <v>148</v>
      </c>
      <c r="L501" s="195"/>
      <c r="M501" s="144" t="s">
        <v>1</v>
      </c>
      <c r="N501" s="145" t="s">
        <v>37</v>
      </c>
      <c r="O501" s="146">
        <v>0</v>
      </c>
      <c r="P501" s="146">
        <f>O501*H503</f>
        <v>0</v>
      </c>
      <c r="Q501" s="146">
        <v>0</v>
      </c>
      <c r="R501" s="146">
        <f>Q501*H503</f>
        <v>0</v>
      </c>
      <c r="S501" s="146">
        <v>0</v>
      </c>
      <c r="T501" s="147">
        <f>S501*H503</f>
        <v>0</v>
      </c>
      <c r="U501" s="30"/>
      <c r="V501" s="30"/>
      <c r="W501" s="30"/>
      <c r="X501" s="30"/>
      <c r="Y501" s="30"/>
      <c r="Z501" s="30"/>
      <c r="AA501" s="30"/>
      <c r="AB501" s="30"/>
      <c r="AC501" s="30"/>
      <c r="AD501" s="30"/>
      <c r="AE501" s="30"/>
      <c r="AR501" s="148" t="s">
        <v>205</v>
      </c>
      <c r="AT501" s="148" t="s">
        <v>139</v>
      </c>
      <c r="AU501" s="148" t="s">
        <v>82</v>
      </c>
      <c r="AY501" s="18" t="s">
        <v>137</v>
      </c>
      <c r="BE501" s="149">
        <f>IF(N501="základní",J503,0)</f>
        <v>0</v>
      </c>
      <c r="BF501" s="149">
        <f>IF(N501="snížená",J503,0)</f>
        <v>0</v>
      </c>
      <c r="BG501" s="149">
        <f>IF(N501="zákl. přenesená",J503,0)</f>
        <v>0</v>
      </c>
      <c r="BH501" s="149">
        <f>IF(N501="sníž. přenesená",J503,0)</f>
        <v>0</v>
      </c>
      <c r="BI501" s="149">
        <f>IF(N501="nulová",J503,0)</f>
        <v>0</v>
      </c>
      <c r="BJ501" s="18" t="s">
        <v>80</v>
      </c>
      <c r="BK501" s="149">
        <f>ROUND(I503*H503,2)</f>
        <v>0</v>
      </c>
      <c r="BL501" s="18" t="s">
        <v>205</v>
      </c>
      <c r="BM501" s="148" t="s">
        <v>588</v>
      </c>
    </row>
    <row r="502" spans="1:65" s="2" customFormat="1" ht="48">
      <c r="A502" s="30"/>
      <c r="B502" s="31"/>
      <c r="C502" s="30"/>
      <c r="D502" s="150" t="s">
        <v>150</v>
      </c>
      <c r="E502" s="30"/>
      <c r="F502" s="151" t="s">
        <v>585</v>
      </c>
      <c r="G502" s="30"/>
      <c r="H502" s="30"/>
      <c r="I502" s="220"/>
      <c r="J502" s="30"/>
      <c r="K502" s="30"/>
      <c r="L502" s="195"/>
      <c r="M502" s="152"/>
      <c r="N502" s="153"/>
      <c r="O502" s="56"/>
      <c r="P502" s="56"/>
      <c r="Q502" s="56"/>
      <c r="R502" s="56"/>
      <c r="S502" s="56"/>
      <c r="T502" s="57"/>
      <c r="U502" s="30"/>
      <c r="V502" s="30"/>
      <c r="W502" s="30"/>
      <c r="X502" s="30"/>
      <c r="Y502" s="30"/>
      <c r="Z502" s="30"/>
      <c r="AA502" s="30"/>
      <c r="AB502" s="30"/>
      <c r="AC502" s="30"/>
      <c r="AD502" s="30"/>
      <c r="AE502" s="30"/>
      <c r="AT502" s="18" t="s">
        <v>150</v>
      </c>
      <c r="AU502" s="18" t="s">
        <v>82</v>
      </c>
    </row>
    <row r="503" spans="1:65" s="2" customFormat="1" ht="16.5" customHeight="1">
      <c r="A503" s="30"/>
      <c r="B503" s="137"/>
      <c r="C503" s="138">
        <v>125</v>
      </c>
      <c r="D503" s="138" t="s">
        <v>139</v>
      </c>
      <c r="E503" s="139" t="s">
        <v>586</v>
      </c>
      <c r="F503" s="140" t="s">
        <v>587</v>
      </c>
      <c r="G503" s="141" t="s">
        <v>482</v>
      </c>
      <c r="H503" s="142">
        <v>4</v>
      </c>
      <c r="I503" s="318">
        <v>0</v>
      </c>
      <c r="J503" s="143">
        <f>ROUND(I503*H503,2)</f>
        <v>0</v>
      </c>
      <c r="K503" s="140" t="s">
        <v>148</v>
      </c>
      <c r="L503" s="195"/>
      <c r="M503" s="144" t="s">
        <v>1</v>
      </c>
      <c r="N503" s="145" t="s">
        <v>37</v>
      </c>
      <c r="O503" s="146">
        <v>0</v>
      </c>
      <c r="P503" s="146">
        <f>O503*H505</f>
        <v>0</v>
      </c>
      <c r="Q503" s="146">
        <v>0</v>
      </c>
      <c r="R503" s="146">
        <f>Q503*H505</f>
        <v>0</v>
      </c>
      <c r="S503" s="146">
        <v>0</v>
      </c>
      <c r="T503" s="147">
        <f>S503*H505</f>
        <v>0</v>
      </c>
      <c r="U503" s="30"/>
      <c r="V503" s="30"/>
      <c r="W503" s="30"/>
      <c r="X503" s="30"/>
      <c r="Y503" s="30"/>
      <c r="Z503" s="30"/>
      <c r="AA503" s="30"/>
      <c r="AB503" s="30"/>
      <c r="AC503" s="30"/>
      <c r="AD503" s="30"/>
      <c r="AE503" s="30"/>
      <c r="AR503" s="148" t="s">
        <v>205</v>
      </c>
      <c r="AT503" s="148" t="s">
        <v>139</v>
      </c>
      <c r="AU503" s="148" t="s">
        <v>82</v>
      </c>
      <c r="AY503" s="18" t="s">
        <v>137</v>
      </c>
      <c r="BE503" s="149">
        <f>IF(N503="základní",J505,0)</f>
        <v>0</v>
      </c>
      <c r="BF503" s="149">
        <f>IF(N503="snížená",J505,0)</f>
        <v>0</v>
      </c>
      <c r="BG503" s="149">
        <f>IF(N503="zákl. přenesená",J505,0)</f>
        <v>0</v>
      </c>
      <c r="BH503" s="149">
        <f>IF(N503="sníž. přenesená",J505,0)</f>
        <v>0</v>
      </c>
      <c r="BI503" s="149">
        <f>IF(N503="nulová",J505,0)</f>
        <v>0</v>
      </c>
      <c r="BJ503" s="18" t="s">
        <v>80</v>
      </c>
      <c r="BK503" s="149">
        <f>ROUND(I505*H505,2)</f>
        <v>0</v>
      </c>
      <c r="BL503" s="18" t="s">
        <v>205</v>
      </c>
      <c r="BM503" s="148" t="s">
        <v>591</v>
      </c>
    </row>
    <row r="504" spans="1:65" s="2" customFormat="1" ht="48">
      <c r="A504" s="30"/>
      <c r="B504" s="31"/>
      <c r="C504" s="30"/>
      <c r="D504" s="150" t="s">
        <v>150</v>
      </c>
      <c r="E504" s="30"/>
      <c r="F504" s="151" t="s">
        <v>585</v>
      </c>
      <c r="G504" s="30"/>
      <c r="H504" s="30"/>
      <c r="I504" s="220"/>
      <c r="J504" s="30"/>
      <c r="K504" s="30"/>
      <c r="L504" s="195"/>
      <c r="M504" s="152"/>
      <c r="N504" s="153"/>
      <c r="O504" s="56"/>
      <c r="P504" s="56"/>
      <c r="Q504" s="56"/>
      <c r="R504" s="56"/>
      <c r="S504" s="56"/>
      <c r="T504" s="57"/>
      <c r="U504" s="30"/>
      <c r="V504" s="30"/>
      <c r="W504" s="30"/>
      <c r="X504" s="30"/>
      <c r="Y504" s="30"/>
      <c r="Z504" s="30"/>
      <c r="AA504" s="30"/>
      <c r="AB504" s="30"/>
      <c r="AC504" s="30"/>
      <c r="AD504" s="30"/>
      <c r="AE504" s="30"/>
      <c r="AT504" s="18" t="s">
        <v>150</v>
      </c>
      <c r="AU504" s="18" t="s">
        <v>82</v>
      </c>
    </row>
    <row r="505" spans="1:65" s="2" customFormat="1" ht="16.5" customHeight="1">
      <c r="A505" s="30"/>
      <c r="B505" s="137"/>
      <c r="C505" s="138">
        <v>126</v>
      </c>
      <c r="D505" s="138" t="s">
        <v>139</v>
      </c>
      <c r="E505" s="139" t="s">
        <v>589</v>
      </c>
      <c r="F505" s="140" t="s">
        <v>590</v>
      </c>
      <c r="G505" s="141" t="s">
        <v>482</v>
      </c>
      <c r="H505" s="142">
        <v>6</v>
      </c>
      <c r="I505" s="318">
        <v>0</v>
      </c>
      <c r="J505" s="143">
        <f>ROUND(I505*H505,2)</f>
        <v>0</v>
      </c>
      <c r="K505" s="140" t="s">
        <v>148</v>
      </c>
      <c r="L505" s="195"/>
      <c r="M505" s="144" t="s">
        <v>1</v>
      </c>
      <c r="N505" s="145" t="s">
        <v>37</v>
      </c>
      <c r="O505" s="146">
        <v>0</v>
      </c>
      <c r="P505" s="146">
        <f>O505*H507</f>
        <v>0</v>
      </c>
      <c r="Q505" s="146">
        <v>0</v>
      </c>
      <c r="R505" s="146">
        <f>Q505*H507</f>
        <v>0</v>
      </c>
      <c r="S505" s="146">
        <v>0</v>
      </c>
      <c r="T505" s="147">
        <f>S505*H507</f>
        <v>0</v>
      </c>
      <c r="U505" s="30"/>
      <c r="V505" s="30"/>
      <c r="W505" s="30"/>
      <c r="X505" s="30"/>
      <c r="Y505" s="30"/>
      <c r="Z505" s="30"/>
      <c r="AA505" s="30"/>
      <c r="AB505" s="30"/>
      <c r="AC505" s="30"/>
      <c r="AD505" s="30"/>
      <c r="AE505" s="30"/>
      <c r="AR505" s="148" t="s">
        <v>205</v>
      </c>
      <c r="AT505" s="148" t="s">
        <v>139</v>
      </c>
      <c r="AU505" s="148" t="s">
        <v>82</v>
      </c>
      <c r="AY505" s="18" t="s">
        <v>137</v>
      </c>
      <c r="BE505" s="149">
        <f>IF(N505="základní",J507,0)</f>
        <v>0</v>
      </c>
      <c r="BF505" s="149">
        <f>IF(N505="snížená",J507,0)</f>
        <v>0</v>
      </c>
      <c r="BG505" s="149">
        <f>IF(N505="zákl. přenesená",J507,0)</f>
        <v>0</v>
      </c>
      <c r="BH505" s="149">
        <f>IF(N505="sníž. přenesená",J507,0)</f>
        <v>0</v>
      </c>
      <c r="BI505" s="149">
        <f>IF(N505="nulová",J507,0)</f>
        <v>0</v>
      </c>
      <c r="BJ505" s="18" t="s">
        <v>80</v>
      </c>
      <c r="BK505" s="149">
        <f>ROUND(I507*H507,2)</f>
        <v>0</v>
      </c>
      <c r="BL505" s="18" t="s">
        <v>205</v>
      </c>
      <c r="BM505" s="148" t="s">
        <v>594</v>
      </c>
    </row>
    <row r="506" spans="1:65" s="2" customFormat="1" ht="48">
      <c r="A506" s="30"/>
      <c r="B506" s="31"/>
      <c r="C506" s="30"/>
      <c r="D506" s="150" t="s">
        <v>150</v>
      </c>
      <c r="E506" s="30"/>
      <c r="F506" s="151" t="s">
        <v>585</v>
      </c>
      <c r="G506" s="30"/>
      <c r="H506" s="30"/>
      <c r="I506" s="220"/>
      <c r="J506" s="30"/>
      <c r="K506" s="30"/>
      <c r="L506" s="195"/>
      <c r="M506" s="152"/>
      <c r="N506" s="153"/>
      <c r="O506" s="56"/>
      <c r="P506" s="56"/>
      <c r="Q506" s="56"/>
      <c r="R506" s="56"/>
      <c r="S506" s="56"/>
      <c r="T506" s="57"/>
      <c r="U506" s="30"/>
      <c r="V506" s="30"/>
      <c r="W506" s="30"/>
      <c r="X506" s="30"/>
      <c r="Y506" s="30"/>
      <c r="Z506" s="30"/>
      <c r="AA506" s="30"/>
      <c r="AB506" s="30"/>
      <c r="AC506" s="30"/>
      <c r="AD506" s="30"/>
      <c r="AE506" s="30"/>
      <c r="AT506" s="18" t="s">
        <v>150</v>
      </c>
      <c r="AU506" s="18" t="s">
        <v>82</v>
      </c>
    </row>
    <row r="507" spans="1:65" s="14" customFormat="1" ht="11.4">
      <c r="B507" s="160"/>
      <c r="C507" s="138">
        <v>127</v>
      </c>
      <c r="D507" s="138" t="s">
        <v>139</v>
      </c>
      <c r="E507" s="139" t="s">
        <v>592</v>
      </c>
      <c r="F507" s="140" t="s">
        <v>593</v>
      </c>
      <c r="G507" s="141" t="s">
        <v>142</v>
      </c>
      <c r="H507" s="142">
        <v>16.920000000000002</v>
      </c>
      <c r="I507" s="318">
        <v>0</v>
      </c>
      <c r="J507" s="143">
        <f>ROUND(I507*H507,2)</f>
        <v>0</v>
      </c>
      <c r="K507" s="140" t="s">
        <v>148</v>
      </c>
      <c r="L507" s="195"/>
      <c r="M507" s="164"/>
      <c r="N507" s="165"/>
      <c r="O507" s="165"/>
      <c r="P507" s="165"/>
      <c r="Q507" s="165"/>
      <c r="R507" s="165"/>
      <c r="S507" s="165"/>
      <c r="T507" s="166"/>
      <c r="AT507" s="161" t="s">
        <v>152</v>
      </c>
      <c r="AU507" s="161" t="s">
        <v>82</v>
      </c>
      <c r="AV507" s="14" t="s">
        <v>82</v>
      </c>
      <c r="AW507" s="14" t="s">
        <v>28</v>
      </c>
      <c r="AX507" s="14" t="s">
        <v>72</v>
      </c>
      <c r="AY507" s="161" t="s">
        <v>137</v>
      </c>
    </row>
    <row r="508" spans="1:65" s="15" customFormat="1" ht="48">
      <c r="B508" s="167"/>
      <c r="C508" s="30"/>
      <c r="D508" s="150" t="s">
        <v>150</v>
      </c>
      <c r="E508" s="30"/>
      <c r="F508" s="151" t="s">
        <v>585</v>
      </c>
      <c r="G508" s="30"/>
      <c r="H508" s="30"/>
      <c r="I508" s="220"/>
      <c r="J508" s="30"/>
      <c r="K508" s="30"/>
      <c r="L508" s="195"/>
      <c r="M508" s="171"/>
      <c r="N508" s="172"/>
      <c r="O508" s="172"/>
      <c r="P508" s="172"/>
      <c r="Q508" s="172"/>
      <c r="R508" s="172"/>
      <c r="S508" s="172"/>
      <c r="T508" s="173"/>
      <c r="AT508" s="168" t="s">
        <v>152</v>
      </c>
      <c r="AU508" s="168" t="s">
        <v>82</v>
      </c>
      <c r="AV508" s="15" t="s">
        <v>144</v>
      </c>
      <c r="AW508" s="15" t="s">
        <v>28</v>
      </c>
      <c r="AX508" s="15" t="s">
        <v>80</v>
      </c>
      <c r="AY508" s="168" t="s">
        <v>137</v>
      </c>
    </row>
    <row r="509" spans="1:65" s="2" customFormat="1" ht="16.5" customHeight="1">
      <c r="A509" s="30"/>
      <c r="B509" s="137"/>
      <c r="C509" s="14"/>
      <c r="D509" s="150" t="s">
        <v>152</v>
      </c>
      <c r="E509" s="161" t="s">
        <v>1</v>
      </c>
      <c r="F509" s="162" t="s">
        <v>595</v>
      </c>
      <c r="G509" s="14"/>
      <c r="H509" s="163">
        <v>16.920000000000002</v>
      </c>
      <c r="I509" s="309"/>
      <c r="J509" s="14"/>
      <c r="K509" s="14"/>
      <c r="L509" s="195"/>
      <c r="M509" s="144" t="s">
        <v>1</v>
      </c>
      <c r="N509" s="145" t="s">
        <v>37</v>
      </c>
      <c r="O509" s="146">
        <v>0</v>
      </c>
      <c r="P509" s="146">
        <f>O509*H511</f>
        <v>0</v>
      </c>
      <c r="Q509" s="146">
        <v>0</v>
      </c>
      <c r="R509" s="146">
        <f>Q509*H511</f>
        <v>0</v>
      </c>
      <c r="S509" s="146">
        <v>0</v>
      </c>
      <c r="T509" s="147">
        <f>S509*H511</f>
        <v>0</v>
      </c>
      <c r="U509" s="30"/>
      <c r="V509" s="30"/>
      <c r="W509" s="30"/>
      <c r="X509" s="30"/>
      <c r="Y509" s="30"/>
      <c r="Z509" s="30"/>
      <c r="AA509" s="30"/>
      <c r="AB509" s="30"/>
      <c r="AC509" s="30"/>
      <c r="AD509" s="30"/>
      <c r="AE509" s="30"/>
      <c r="AR509" s="148" t="s">
        <v>205</v>
      </c>
      <c r="AT509" s="148" t="s">
        <v>139</v>
      </c>
      <c r="AU509" s="148" t="s">
        <v>82</v>
      </c>
      <c r="AY509" s="18" t="s">
        <v>137</v>
      </c>
      <c r="BE509" s="149">
        <f>IF(N509="základní",J511,0)</f>
        <v>0</v>
      </c>
      <c r="BF509" s="149">
        <f>IF(N509="snížená",J511,0)</f>
        <v>0</v>
      </c>
      <c r="BG509" s="149">
        <f>IF(N509="zákl. přenesená",J511,0)</f>
        <v>0</v>
      </c>
      <c r="BH509" s="149">
        <f>IF(N509="sníž. přenesená",J511,0)</f>
        <v>0</v>
      </c>
      <c r="BI509" s="149">
        <f>IF(N509="nulová",J511,0)</f>
        <v>0</v>
      </c>
      <c r="BJ509" s="18" t="s">
        <v>80</v>
      </c>
      <c r="BK509" s="149">
        <f>ROUND(I511*H511,2)</f>
        <v>0</v>
      </c>
      <c r="BL509" s="18" t="s">
        <v>205</v>
      </c>
      <c r="BM509" s="148" t="s">
        <v>598</v>
      </c>
    </row>
    <row r="510" spans="1:65" s="2" customFormat="1">
      <c r="A510" s="30"/>
      <c r="B510" s="31"/>
      <c r="C510" s="15"/>
      <c r="D510" s="150" t="s">
        <v>152</v>
      </c>
      <c r="E510" s="168" t="s">
        <v>1</v>
      </c>
      <c r="F510" s="169" t="s">
        <v>157</v>
      </c>
      <c r="G510" s="15"/>
      <c r="H510" s="170">
        <v>16.920000000000002</v>
      </c>
      <c r="I510" s="310"/>
      <c r="J510" s="15"/>
      <c r="K510" s="15"/>
      <c r="L510" s="195"/>
      <c r="M510" s="152"/>
      <c r="N510" s="153"/>
      <c r="O510" s="56"/>
      <c r="P510" s="56"/>
      <c r="Q510" s="56"/>
      <c r="R510" s="56"/>
      <c r="S510" s="56"/>
      <c r="T510" s="57"/>
      <c r="U510" s="30"/>
      <c r="V510" s="30"/>
      <c r="W510" s="30"/>
      <c r="X510" s="30"/>
      <c r="Y510" s="30"/>
      <c r="Z510" s="30"/>
      <c r="AA510" s="30"/>
      <c r="AB510" s="30"/>
      <c r="AC510" s="30"/>
      <c r="AD510" s="30"/>
      <c r="AE510" s="30"/>
      <c r="AT510" s="18" t="s">
        <v>150</v>
      </c>
      <c r="AU510" s="18" t="s">
        <v>82</v>
      </c>
    </row>
    <row r="511" spans="1:65" s="14" customFormat="1" ht="11.4">
      <c r="B511" s="160"/>
      <c r="C511" s="138">
        <v>128</v>
      </c>
      <c r="D511" s="138" t="s">
        <v>139</v>
      </c>
      <c r="E511" s="139" t="s">
        <v>596</v>
      </c>
      <c r="F511" s="140" t="s">
        <v>597</v>
      </c>
      <c r="G511" s="141" t="s">
        <v>482</v>
      </c>
      <c r="H511" s="142">
        <v>1</v>
      </c>
      <c r="I511" s="318">
        <v>0</v>
      </c>
      <c r="J511" s="143">
        <f>ROUND(I511*H511,2)</f>
        <v>0</v>
      </c>
      <c r="K511" s="140" t="s">
        <v>148</v>
      </c>
      <c r="L511" s="195"/>
      <c r="M511" s="164"/>
      <c r="N511" s="165"/>
      <c r="O511" s="165"/>
      <c r="P511" s="165"/>
      <c r="Q511" s="165"/>
      <c r="R511" s="165"/>
      <c r="S511" s="165"/>
      <c r="T511" s="166"/>
      <c r="AT511" s="161" t="s">
        <v>152</v>
      </c>
      <c r="AU511" s="161" t="s">
        <v>82</v>
      </c>
      <c r="AV511" s="14" t="s">
        <v>82</v>
      </c>
      <c r="AW511" s="14" t="s">
        <v>28</v>
      </c>
      <c r="AX511" s="14" t="s">
        <v>72</v>
      </c>
      <c r="AY511" s="161" t="s">
        <v>137</v>
      </c>
    </row>
    <row r="512" spans="1:65" s="15" customFormat="1" ht="144">
      <c r="B512" s="167"/>
      <c r="C512" s="30"/>
      <c r="D512" s="150" t="s">
        <v>150</v>
      </c>
      <c r="E512" s="30"/>
      <c r="F512" s="151" t="s">
        <v>599</v>
      </c>
      <c r="G512" s="30"/>
      <c r="H512" s="30"/>
      <c r="I512" s="220"/>
      <c r="J512" s="30"/>
      <c r="K512" s="30"/>
      <c r="L512" s="195"/>
      <c r="M512" s="171"/>
      <c r="N512" s="172"/>
      <c r="O512" s="172"/>
      <c r="P512" s="172"/>
      <c r="Q512" s="172"/>
      <c r="R512" s="172"/>
      <c r="S512" s="172"/>
      <c r="T512" s="173"/>
      <c r="AT512" s="168" t="s">
        <v>152</v>
      </c>
      <c r="AU512" s="168" t="s">
        <v>82</v>
      </c>
      <c r="AV512" s="15" t="s">
        <v>144</v>
      </c>
      <c r="AW512" s="15" t="s">
        <v>28</v>
      </c>
      <c r="AX512" s="15" t="s">
        <v>80</v>
      </c>
      <c r="AY512" s="168" t="s">
        <v>137</v>
      </c>
    </row>
    <row r="513" spans="1:65" s="2" customFormat="1" ht="16.5" customHeight="1">
      <c r="A513" s="30"/>
      <c r="B513" s="137"/>
      <c r="C513" s="14"/>
      <c r="D513" s="150" t="s">
        <v>152</v>
      </c>
      <c r="E513" s="161" t="s">
        <v>1</v>
      </c>
      <c r="F513" s="162" t="s">
        <v>600</v>
      </c>
      <c r="G513" s="14"/>
      <c r="H513" s="163">
        <v>1</v>
      </c>
      <c r="I513" s="309"/>
      <c r="J513" s="14"/>
      <c r="K513" s="14"/>
      <c r="L513" s="195"/>
      <c r="M513" s="144" t="s">
        <v>1</v>
      </c>
      <c r="N513" s="145" t="s">
        <v>37</v>
      </c>
      <c r="O513" s="146">
        <v>0</v>
      </c>
      <c r="P513" s="146">
        <f>O513*H515</f>
        <v>0</v>
      </c>
      <c r="Q513" s="146">
        <v>0</v>
      </c>
      <c r="R513" s="146">
        <f>Q513*H515</f>
        <v>0</v>
      </c>
      <c r="S513" s="146">
        <v>0</v>
      </c>
      <c r="T513" s="147">
        <f>S513*H515</f>
        <v>0</v>
      </c>
      <c r="U513" s="30"/>
      <c r="V513" s="30"/>
      <c r="W513" s="30"/>
      <c r="X513" s="30"/>
      <c r="Y513" s="30"/>
      <c r="Z513" s="30"/>
      <c r="AA513" s="30"/>
      <c r="AB513" s="30"/>
      <c r="AC513" s="30"/>
      <c r="AD513" s="30"/>
      <c r="AE513" s="30"/>
      <c r="AR513" s="148" t="s">
        <v>205</v>
      </c>
      <c r="AT513" s="148" t="s">
        <v>139</v>
      </c>
      <c r="AU513" s="148" t="s">
        <v>82</v>
      </c>
      <c r="AY513" s="18" t="s">
        <v>137</v>
      </c>
      <c r="BE513" s="149">
        <f>IF(N513="základní",J515,0)</f>
        <v>0</v>
      </c>
      <c r="BF513" s="149">
        <f>IF(N513="snížená",J515,0)</f>
        <v>0</v>
      </c>
      <c r="BG513" s="149">
        <f>IF(N513="zákl. přenesená",J515,0)</f>
        <v>0</v>
      </c>
      <c r="BH513" s="149">
        <f>IF(N513="sníž. přenesená",J515,0)</f>
        <v>0</v>
      </c>
      <c r="BI513" s="149">
        <f>IF(N513="nulová",J515,0)</f>
        <v>0</v>
      </c>
      <c r="BJ513" s="18" t="s">
        <v>80</v>
      </c>
      <c r="BK513" s="149">
        <f>ROUND(I515*H515,2)</f>
        <v>0</v>
      </c>
      <c r="BL513" s="18" t="s">
        <v>205</v>
      </c>
      <c r="BM513" s="148" t="s">
        <v>603</v>
      </c>
    </row>
    <row r="514" spans="1:65" s="12" customFormat="1" ht="22.95" customHeight="1">
      <c r="B514" s="125"/>
      <c r="C514" s="15"/>
      <c r="D514" s="150" t="s">
        <v>152</v>
      </c>
      <c r="E514" s="168" t="s">
        <v>1</v>
      </c>
      <c r="F514" s="169" t="s">
        <v>157</v>
      </c>
      <c r="G514" s="15"/>
      <c r="H514" s="170">
        <v>1</v>
      </c>
      <c r="I514" s="310"/>
      <c r="J514" s="15"/>
      <c r="K514" s="15"/>
      <c r="L514" s="125"/>
      <c r="M514" s="129"/>
      <c r="N514" s="130"/>
      <c r="O514" s="130"/>
      <c r="P514" s="131">
        <f>SUM(P515:P527)</f>
        <v>14.425581000000001</v>
      </c>
      <c r="Q514" s="130"/>
      <c r="R514" s="131">
        <f>SUM(R515:R527)</f>
        <v>0.28285439999999995</v>
      </c>
      <c r="S514" s="130"/>
      <c r="T514" s="132">
        <f>SUM(T515:T527)</f>
        <v>0</v>
      </c>
      <c r="AR514" s="126" t="s">
        <v>82</v>
      </c>
      <c r="AT514" s="133" t="s">
        <v>71</v>
      </c>
      <c r="AU514" s="133" t="s">
        <v>80</v>
      </c>
      <c r="AY514" s="126" t="s">
        <v>137</v>
      </c>
      <c r="BK514" s="134">
        <f>SUM(BK515:BK527)</f>
        <v>0</v>
      </c>
    </row>
    <row r="515" spans="1:65" s="2" customFormat="1" ht="16.5" customHeight="1">
      <c r="A515" s="30"/>
      <c r="B515" s="137"/>
      <c r="C515" s="138">
        <v>129</v>
      </c>
      <c r="D515" s="138" t="s">
        <v>139</v>
      </c>
      <c r="E515" s="139" t="s">
        <v>601</v>
      </c>
      <c r="F515" s="140" t="s">
        <v>602</v>
      </c>
      <c r="G515" s="141" t="s">
        <v>553</v>
      </c>
      <c r="H515" s="142">
        <f>(J501+J503+J505+J507+J511)/100</f>
        <v>0</v>
      </c>
      <c r="I515" s="318">
        <v>0</v>
      </c>
      <c r="J515" s="143">
        <f>ROUND(I515*H515,2)</f>
        <v>0</v>
      </c>
      <c r="K515" s="140" t="s">
        <v>143</v>
      </c>
      <c r="L515" s="195"/>
      <c r="M515" s="144" t="s">
        <v>1</v>
      </c>
      <c r="N515" s="145" t="s">
        <v>37</v>
      </c>
      <c r="O515" s="146">
        <v>2.4E-2</v>
      </c>
      <c r="P515" s="146">
        <f>O515*H517</f>
        <v>0.18431999999999998</v>
      </c>
      <c r="Q515" s="146">
        <v>0</v>
      </c>
      <c r="R515" s="146">
        <f>Q515*H517</f>
        <v>0</v>
      </c>
      <c r="S515" s="146">
        <v>0</v>
      </c>
      <c r="T515" s="147">
        <f>S515*H517</f>
        <v>0</v>
      </c>
      <c r="U515" s="30"/>
      <c r="V515" s="30"/>
      <c r="W515" s="30"/>
      <c r="X515" s="30"/>
      <c r="Y515" s="30"/>
      <c r="Z515" s="30"/>
      <c r="AA515" s="30"/>
      <c r="AB515" s="30"/>
      <c r="AC515" s="30"/>
      <c r="AD515" s="30"/>
      <c r="AE515" s="30"/>
      <c r="AR515" s="148" t="s">
        <v>205</v>
      </c>
      <c r="AT515" s="148" t="s">
        <v>139</v>
      </c>
      <c r="AU515" s="148" t="s">
        <v>82</v>
      </c>
      <c r="AY515" s="18" t="s">
        <v>137</v>
      </c>
      <c r="BE515" s="149">
        <f>IF(N515="základní",J517,0)</f>
        <v>0</v>
      </c>
      <c r="BF515" s="149">
        <f>IF(N515="snížená",J517,0)</f>
        <v>0</v>
      </c>
      <c r="BG515" s="149">
        <f>IF(N515="zákl. přenesená",J517,0)</f>
        <v>0</v>
      </c>
      <c r="BH515" s="149">
        <f>IF(N515="sníž. přenesená",J517,0)</f>
        <v>0</v>
      </c>
      <c r="BI515" s="149">
        <f>IF(N515="nulová",J517,0)</f>
        <v>0</v>
      </c>
      <c r="BJ515" s="18" t="s">
        <v>80</v>
      </c>
      <c r="BK515" s="149">
        <f>ROUND(I517*H517,2)</f>
        <v>0</v>
      </c>
      <c r="BL515" s="18" t="s">
        <v>205</v>
      </c>
      <c r="BM515" s="148" t="s">
        <v>608</v>
      </c>
    </row>
    <row r="516" spans="1:65" s="2" customFormat="1" ht="16.5" customHeight="1">
      <c r="A516" s="30"/>
      <c r="B516" s="137"/>
      <c r="C516" s="12"/>
      <c r="D516" s="126" t="s">
        <v>71</v>
      </c>
      <c r="E516" s="135" t="s">
        <v>604</v>
      </c>
      <c r="F516" s="135" t="s">
        <v>605</v>
      </c>
      <c r="G516" s="12"/>
      <c r="H516" s="12"/>
      <c r="I516" s="12"/>
      <c r="J516" s="136">
        <f>SUM(J517:J529)</f>
        <v>0</v>
      </c>
      <c r="K516" s="12"/>
      <c r="L516" s="195"/>
      <c r="M516" s="144" t="s">
        <v>1</v>
      </c>
      <c r="N516" s="145" t="s">
        <v>37</v>
      </c>
      <c r="O516" s="146">
        <v>4.3999999999999997E-2</v>
      </c>
      <c r="P516" s="146">
        <f>O516*H518</f>
        <v>0.33791999999999994</v>
      </c>
      <c r="Q516" s="146">
        <v>2.9999999999999997E-4</v>
      </c>
      <c r="R516" s="146">
        <f>Q516*H518</f>
        <v>2.3039999999999996E-3</v>
      </c>
      <c r="S516" s="146">
        <v>0</v>
      </c>
      <c r="T516" s="147">
        <f>S516*H518</f>
        <v>0</v>
      </c>
      <c r="U516" s="30"/>
      <c r="V516" s="30"/>
      <c r="W516" s="30"/>
      <c r="X516" s="30"/>
      <c r="Y516" s="30"/>
      <c r="Z516" s="30"/>
      <c r="AA516" s="30"/>
      <c r="AB516" s="30"/>
      <c r="AC516" s="30"/>
      <c r="AD516" s="30"/>
      <c r="AE516" s="30"/>
      <c r="AR516" s="148" t="s">
        <v>205</v>
      </c>
      <c r="AT516" s="148" t="s">
        <v>139</v>
      </c>
      <c r="AU516" s="148" t="s">
        <v>82</v>
      </c>
      <c r="AY516" s="18" t="s">
        <v>137</v>
      </c>
      <c r="BE516" s="149">
        <f>IF(N516="základní",J518,0)</f>
        <v>0</v>
      </c>
      <c r="BF516" s="149">
        <f>IF(N516="snížená",J518,0)</f>
        <v>0</v>
      </c>
      <c r="BG516" s="149">
        <f>IF(N516="zákl. přenesená",J518,0)</f>
        <v>0</v>
      </c>
      <c r="BH516" s="149">
        <f>IF(N516="sníž. přenesená",J518,0)</f>
        <v>0</v>
      </c>
      <c r="BI516" s="149">
        <f>IF(N516="nulová",J518,0)</f>
        <v>0</v>
      </c>
      <c r="BJ516" s="18" t="s">
        <v>80</v>
      </c>
      <c r="BK516" s="149">
        <f>ROUND(I518*H518,2)</f>
        <v>0</v>
      </c>
      <c r="BL516" s="18" t="s">
        <v>205</v>
      </c>
      <c r="BM516" s="148" t="s">
        <v>611</v>
      </c>
    </row>
    <row r="517" spans="1:65" s="2" customFormat="1" ht="16.5" customHeight="1">
      <c r="A517" s="30"/>
      <c r="B517" s="137"/>
      <c r="C517" s="138">
        <v>130</v>
      </c>
      <c r="D517" s="138" t="s">
        <v>139</v>
      </c>
      <c r="E517" s="139" t="s">
        <v>606</v>
      </c>
      <c r="F517" s="140" t="s">
        <v>607</v>
      </c>
      <c r="G517" s="141" t="s">
        <v>142</v>
      </c>
      <c r="H517" s="142">
        <v>7.68</v>
      </c>
      <c r="I517" s="318">
        <v>0</v>
      </c>
      <c r="J517" s="143">
        <f>ROUND(I517*H517,2)</f>
        <v>0</v>
      </c>
      <c r="K517" s="140" t="s">
        <v>143</v>
      </c>
      <c r="L517" s="195"/>
      <c r="M517" s="144" t="s">
        <v>1</v>
      </c>
      <c r="N517" s="145" t="s">
        <v>37</v>
      </c>
      <c r="O517" s="146">
        <v>0.245</v>
      </c>
      <c r="P517" s="146">
        <f>O517*H519</f>
        <v>1.8815999999999999</v>
      </c>
      <c r="Q517" s="146">
        <v>7.5799999999999999E-3</v>
      </c>
      <c r="R517" s="146">
        <f>Q517*H519</f>
        <v>5.8214399999999999E-2</v>
      </c>
      <c r="S517" s="146">
        <v>0</v>
      </c>
      <c r="T517" s="147">
        <f>S517*H519</f>
        <v>0</v>
      </c>
      <c r="U517" s="30"/>
      <c r="V517" s="30"/>
      <c r="W517" s="30"/>
      <c r="X517" s="30"/>
      <c r="Y517" s="30"/>
      <c r="Z517" s="30"/>
      <c r="AA517" s="30"/>
      <c r="AB517" s="30"/>
      <c r="AC517" s="30"/>
      <c r="AD517" s="30"/>
      <c r="AE517" s="30"/>
      <c r="AR517" s="148" t="s">
        <v>205</v>
      </c>
      <c r="AT517" s="148" t="s">
        <v>139</v>
      </c>
      <c r="AU517" s="148" t="s">
        <v>82</v>
      </c>
      <c r="AY517" s="18" t="s">
        <v>137</v>
      </c>
      <c r="BE517" s="149">
        <f>IF(N517="základní",J519,0)</f>
        <v>0</v>
      </c>
      <c r="BF517" s="149">
        <f>IF(N517="snížená",J519,0)</f>
        <v>0</v>
      </c>
      <c r="BG517" s="149">
        <f>IF(N517="zákl. přenesená",J519,0)</f>
        <v>0</v>
      </c>
      <c r="BH517" s="149">
        <f>IF(N517="sníž. přenesená",J519,0)</f>
        <v>0</v>
      </c>
      <c r="BI517" s="149">
        <f>IF(N517="nulová",J519,0)</f>
        <v>0</v>
      </c>
      <c r="BJ517" s="18" t="s">
        <v>80</v>
      </c>
      <c r="BK517" s="149">
        <f>ROUND(I519*H519,2)</f>
        <v>0</v>
      </c>
      <c r="BL517" s="18" t="s">
        <v>205</v>
      </c>
      <c r="BM517" s="148" t="s">
        <v>614</v>
      </c>
    </row>
    <row r="518" spans="1:65" s="2" customFormat="1" ht="24.15" customHeight="1">
      <c r="A518" s="30"/>
      <c r="B518" s="137"/>
      <c r="C518" s="138">
        <v>131</v>
      </c>
      <c r="D518" s="138" t="s">
        <v>139</v>
      </c>
      <c r="E518" s="139" t="s">
        <v>609</v>
      </c>
      <c r="F518" s="140" t="s">
        <v>610</v>
      </c>
      <c r="G518" s="141" t="s">
        <v>142</v>
      </c>
      <c r="H518" s="142">
        <v>7.68</v>
      </c>
      <c r="I518" s="318">
        <v>0</v>
      </c>
      <c r="J518" s="143">
        <f>ROUND(I518*H518,2)</f>
        <v>0</v>
      </c>
      <c r="K518" s="140" t="s">
        <v>143</v>
      </c>
      <c r="L518" s="195"/>
      <c r="M518" s="144" t="s">
        <v>1</v>
      </c>
      <c r="N518" s="145" t="s">
        <v>37</v>
      </c>
      <c r="O518" s="146">
        <v>1.0780000000000001</v>
      </c>
      <c r="P518" s="146">
        <f>O518*H520</f>
        <v>8.2790400000000002</v>
      </c>
      <c r="Q518" s="146">
        <v>5.3699999999999998E-3</v>
      </c>
      <c r="R518" s="146">
        <f>Q518*H520</f>
        <v>4.1241599999999996E-2</v>
      </c>
      <c r="S518" s="146">
        <v>0</v>
      </c>
      <c r="T518" s="147">
        <f>S518*H520</f>
        <v>0</v>
      </c>
      <c r="U518" s="30"/>
      <c r="V518" s="30"/>
      <c r="W518" s="30"/>
      <c r="X518" s="30"/>
      <c r="Y518" s="30"/>
      <c r="Z518" s="30"/>
      <c r="AA518" s="30"/>
      <c r="AB518" s="30"/>
      <c r="AC518" s="30"/>
      <c r="AD518" s="30"/>
      <c r="AE518" s="30"/>
      <c r="AR518" s="148" t="s">
        <v>205</v>
      </c>
      <c r="AT518" s="148" t="s">
        <v>139</v>
      </c>
      <c r="AU518" s="148" t="s">
        <v>82</v>
      </c>
      <c r="AY518" s="18" t="s">
        <v>137</v>
      </c>
      <c r="BE518" s="149">
        <f>IF(N518="základní",J520,0)</f>
        <v>0</v>
      </c>
      <c r="BF518" s="149">
        <f>IF(N518="snížená",J520,0)</f>
        <v>0</v>
      </c>
      <c r="BG518" s="149">
        <f>IF(N518="zákl. přenesená",J520,0)</f>
        <v>0</v>
      </c>
      <c r="BH518" s="149">
        <f>IF(N518="sníž. přenesená",J520,0)</f>
        <v>0</v>
      </c>
      <c r="BI518" s="149">
        <f>IF(N518="nulová",J520,0)</f>
        <v>0</v>
      </c>
      <c r="BJ518" s="18" t="s">
        <v>80</v>
      </c>
      <c r="BK518" s="149">
        <f>ROUND(I520*H520,2)</f>
        <v>0</v>
      </c>
      <c r="BL518" s="18" t="s">
        <v>205</v>
      </c>
      <c r="BM518" s="148" t="s">
        <v>617</v>
      </c>
    </row>
    <row r="519" spans="1:65" s="2" customFormat="1" ht="11.4">
      <c r="A519" s="30"/>
      <c r="B519" s="31"/>
      <c r="C519" s="138">
        <v>132</v>
      </c>
      <c r="D519" s="138" t="s">
        <v>139</v>
      </c>
      <c r="E519" s="139" t="s">
        <v>612</v>
      </c>
      <c r="F519" s="140" t="s">
        <v>613</v>
      </c>
      <c r="G519" s="141" t="s">
        <v>142</v>
      </c>
      <c r="H519" s="142">
        <v>7.68</v>
      </c>
      <c r="I519" s="318">
        <v>0</v>
      </c>
      <c r="J519" s="143">
        <f>ROUND(I519*H519,2)</f>
        <v>0</v>
      </c>
      <c r="K519" s="140" t="s">
        <v>143</v>
      </c>
      <c r="L519" s="195"/>
      <c r="M519" s="152"/>
      <c r="N519" s="153"/>
      <c r="O519" s="56"/>
      <c r="P519" s="56"/>
      <c r="Q519" s="56"/>
      <c r="R519" s="56"/>
      <c r="S519" s="56"/>
      <c r="T519" s="57"/>
      <c r="U519" s="30"/>
      <c r="V519" s="30"/>
      <c r="W519" s="30"/>
      <c r="X519" s="30"/>
      <c r="Y519" s="30"/>
      <c r="Z519" s="30"/>
      <c r="AA519" s="30"/>
      <c r="AB519" s="30"/>
      <c r="AC519" s="30"/>
      <c r="AD519" s="30"/>
      <c r="AE519" s="30"/>
      <c r="AT519" s="18" t="s">
        <v>150</v>
      </c>
      <c r="AU519" s="18" t="s">
        <v>82</v>
      </c>
    </row>
    <row r="520" spans="1:65" s="2" customFormat="1" ht="16.5" customHeight="1">
      <c r="A520" s="30"/>
      <c r="B520" s="137"/>
      <c r="C520" s="138">
        <v>133</v>
      </c>
      <c r="D520" s="138" t="s">
        <v>139</v>
      </c>
      <c r="E520" s="139" t="s">
        <v>615</v>
      </c>
      <c r="F520" s="140" t="s">
        <v>616</v>
      </c>
      <c r="G520" s="141" t="s">
        <v>142</v>
      </c>
      <c r="H520" s="142">
        <v>7.68</v>
      </c>
      <c r="I520" s="318">
        <v>0</v>
      </c>
      <c r="J520" s="143">
        <f>ROUND(I520*H520,2)</f>
        <v>0</v>
      </c>
      <c r="K520" s="140" t="s">
        <v>143</v>
      </c>
      <c r="L520" s="209"/>
      <c r="M520" s="180" t="s">
        <v>1</v>
      </c>
      <c r="N520" s="181" t="s">
        <v>37</v>
      </c>
      <c r="O520" s="146">
        <v>0</v>
      </c>
      <c r="P520" s="146">
        <f>O520*H522</f>
        <v>0</v>
      </c>
      <c r="Q520" s="146">
        <v>1.9199999999999998E-2</v>
      </c>
      <c r="R520" s="146">
        <f>Q520*H522</f>
        <v>0.16957439999999999</v>
      </c>
      <c r="S520" s="146">
        <v>0</v>
      </c>
      <c r="T520" s="147">
        <f>S520*H522</f>
        <v>0</v>
      </c>
      <c r="U520" s="30"/>
      <c r="V520" s="30"/>
      <c r="W520" s="30"/>
      <c r="X520" s="30"/>
      <c r="Y520" s="30"/>
      <c r="Z520" s="30"/>
      <c r="AA520" s="30"/>
      <c r="AB520" s="30"/>
      <c r="AC520" s="30"/>
      <c r="AD520" s="30"/>
      <c r="AE520" s="30"/>
      <c r="AR520" s="148" t="s">
        <v>265</v>
      </c>
      <c r="AT520" s="148" t="s">
        <v>184</v>
      </c>
      <c r="AU520" s="148" t="s">
        <v>82</v>
      </c>
      <c r="AY520" s="18" t="s">
        <v>137</v>
      </c>
      <c r="BE520" s="149">
        <f>IF(N520="základní",J522,0)</f>
        <v>0</v>
      </c>
      <c r="BF520" s="149">
        <f>IF(N520="snížená",J522,0)</f>
        <v>0</v>
      </c>
      <c r="BG520" s="149">
        <f>IF(N520="zákl. přenesená",J522,0)</f>
        <v>0</v>
      </c>
      <c r="BH520" s="149">
        <f>IF(N520="sníž. přenesená",J522,0)</f>
        <v>0</v>
      </c>
      <c r="BI520" s="149">
        <f>IF(N520="nulová",J522,0)</f>
        <v>0</v>
      </c>
      <c r="BJ520" s="18" t="s">
        <v>80</v>
      </c>
      <c r="BK520" s="149">
        <f>ROUND(I522*H522,2)</f>
        <v>0</v>
      </c>
      <c r="BL520" s="18" t="s">
        <v>205</v>
      </c>
      <c r="BM520" s="148" t="s">
        <v>621</v>
      </c>
    </row>
    <row r="521" spans="1:65" s="2" customFormat="1" ht="28.8">
      <c r="A521" s="30"/>
      <c r="B521" s="31"/>
      <c r="C521" s="30"/>
      <c r="D521" s="150" t="s">
        <v>150</v>
      </c>
      <c r="E521" s="30"/>
      <c r="F521" s="151" t="s">
        <v>618</v>
      </c>
      <c r="G521" s="30"/>
      <c r="H521" s="30"/>
      <c r="I521" s="30"/>
      <c r="J521" s="30"/>
      <c r="K521" s="30"/>
      <c r="L521" s="195"/>
      <c r="M521" s="152"/>
      <c r="N521" s="153"/>
      <c r="O521" s="56"/>
      <c r="P521" s="56"/>
      <c r="Q521" s="56"/>
      <c r="R521" s="56"/>
      <c r="S521" s="56"/>
      <c r="T521" s="57"/>
      <c r="U521" s="30"/>
      <c r="V521" s="30"/>
      <c r="W521" s="30"/>
      <c r="X521" s="30"/>
      <c r="Y521" s="30"/>
      <c r="Z521" s="30"/>
      <c r="AA521" s="30"/>
      <c r="AB521" s="30"/>
      <c r="AC521" s="30"/>
      <c r="AD521" s="30"/>
      <c r="AE521" s="30"/>
      <c r="AT521" s="18" t="s">
        <v>150</v>
      </c>
      <c r="AU521" s="18" t="s">
        <v>82</v>
      </c>
    </row>
    <row r="522" spans="1:65" s="14" customFormat="1" ht="11.4">
      <c r="B522" s="160"/>
      <c r="C522" s="174">
        <v>134</v>
      </c>
      <c r="D522" s="174" t="s">
        <v>184</v>
      </c>
      <c r="E522" s="175" t="s">
        <v>619</v>
      </c>
      <c r="F522" s="176" t="s">
        <v>620</v>
      </c>
      <c r="G522" s="177" t="s">
        <v>142</v>
      </c>
      <c r="H522" s="178">
        <v>8.8320000000000007</v>
      </c>
      <c r="I522" s="320">
        <v>0</v>
      </c>
      <c r="J522" s="179">
        <f>ROUND(I522*H522,2)</f>
        <v>0</v>
      </c>
      <c r="K522" s="176" t="s">
        <v>148</v>
      </c>
      <c r="L522" s="195"/>
      <c r="M522" s="164"/>
      <c r="N522" s="165"/>
      <c r="O522" s="165"/>
      <c r="P522" s="165"/>
      <c r="Q522" s="165"/>
      <c r="R522" s="165"/>
      <c r="S522" s="165"/>
      <c r="T522" s="166"/>
      <c r="AT522" s="161" t="s">
        <v>152</v>
      </c>
      <c r="AU522" s="161" t="s">
        <v>82</v>
      </c>
      <c r="AV522" s="14" t="s">
        <v>82</v>
      </c>
      <c r="AW522" s="14" t="s">
        <v>3</v>
      </c>
      <c r="AX522" s="14" t="s">
        <v>80</v>
      </c>
      <c r="AY522" s="161" t="s">
        <v>137</v>
      </c>
    </row>
    <row r="523" spans="1:65" s="2" customFormat="1" ht="16.5" customHeight="1">
      <c r="A523" s="30"/>
      <c r="B523" s="137"/>
      <c r="C523" s="30"/>
      <c r="D523" s="150" t="s">
        <v>150</v>
      </c>
      <c r="E523" s="30"/>
      <c r="F523" s="151" t="s">
        <v>622</v>
      </c>
      <c r="G523" s="30"/>
      <c r="H523" s="30"/>
      <c r="I523" s="30"/>
      <c r="J523" s="30"/>
      <c r="K523" s="30"/>
      <c r="L523" s="195"/>
      <c r="M523" s="144" t="s">
        <v>1</v>
      </c>
      <c r="N523" s="145" t="s">
        <v>37</v>
      </c>
      <c r="O523" s="146">
        <v>0.1</v>
      </c>
      <c r="P523" s="146">
        <f>O523*H525</f>
        <v>0.76800000000000002</v>
      </c>
      <c r="Q523" s="146">
        <v>0</v>
      </c>
      <c r="R523" s="146">
        <f>Q523*H525</f>
        <v>0</v>
      </c>
      <c r="S523" s="146">
        <v>0</v>
      </c>
      <c r="T523" s="147">
        <f>S523*H525</f>
        <v>0</v>
      </c>
      <c r="U523" s="30"/>
      <c r="V523" s="30"/>
      <c r="W523" s="30"/>
      <c r="X523" s="30"/>
      <c r="Y523" s="30"/>
      <c r="Z523" s="30"/>
      <c r="AA523" s="30"/>
      <c r="AB523" s="30"/>
      <c r="AC523" s="30"/>
      <c r="AD523" s="30"/>
      <c r="AE523" s="30"/>
      <c r="AR523" s="148" t="s">
        <v>205</v>
      </c>
      <c r="AT523" s="148" t="s">
        <v>139</v>
      </c>
      <c r="AU523" s="148" t="s">
        <v>82</v>
      </c>
      <c r="AY523" s="18" t="s">
        <v>137</v>
      </c>
      <c r="BE523" s="149">
        <f>IF(N523="základní",J525,0)</f>
        <v>0</v>
      </c>
      <c r="BF523" s="149">
        <f>IF(N523="snížená",J525,0)</f>
        <v>0</v>
      </c>
      <c r="BG523" s="149">
        <f>IF(N523="zákl. přenesená",J525,0)</f>
        <v>0</v>
      </c>
      <c r="BH523" s="149">
        <f>IF(N523="sníž. přenesená",J525,0)</f>
        <v>0</v>
      </c>
      <c r="BI523" s="149">
        <f>IF(N523="nulová",J525,0)</f>
        <v>0</v>
      </c>
      <c r="BJ523" s="18" t="s">
        <v>80</v>
      </c>
      <c r="BK523" s="149">
        <f>ROUND(I525*H525,2)</f>
        <v>0</v>
      </c>
      <c r="BL523" s="18" t="s">
        <v>205</v>
      </c>
      <c r="BM523" s="148" t="s">
        <v>626</v>
      </c>
    </row>
    <row r="524" spans="1:65" s="2" customFormat="1">
      <c r="A524" s="30"/>
      <c r="B524" s="31"/>
      <c r="C524" s="14"/>
      <c r="D524" s="150" t="s">
        <v>152</v>
      </c>
      <c r="E524" s="14"/>
      <c r="F524" s="162" t="s">
        <v>623</v>
      </c>
      <c r="G524" s="14"/>
      <c r="H524" s="163">
        <v>8.8320000000000007</v>
      </c>
      <c r="I524" s="14"/>
      <c r="J524" s="14"/>
      <c r="K524" s="14"/>
      <c r="L524" s="195"/>
      <c r="M524" s="152"/>
      <c r="N524" s="153"/>
      <c r="O524" s="56"/>
      <c r="P524" s="56"/>
      <c r="Q524" s="56"/>
      <c r="R524" s="56"/>
      <c r="S524" s="56"/>
      <c r="T524" s="57"/>
      <c r="U524" s="30"/>
      <c r="V524" s="30"/>
      <c r="W524" s="30"/>
      <c r="X524" s="30"/>
      <c r="Y524" s="30"/>
      <c r="Z524" s="30"/>
      <c r="AA524" s="30"/>
      <c r="AB524" s="30"/>
      <c r="AC524" s="30"/>
      <c r="AD524" s="30"/>
      <c r="AE524" s="30"/>
      <c r="AT524" s="18" t="s">
        <v>150</v>
      </c>
      <c r="AU524" s="18" t="s">
        <v>82</v>
      </c>
    </row>
    <row r="525" spans="1:65" s="2" customFormat="1" ht="16.5" customHeight="1">
      <c r="A525" s="30"/>
      <c r="B525" s="137"/>
      <c r="C525" s="138">
        <v>135</v>
      </c>
      <c r="D525" s="138" t="s">
        <v>139</v>
      </c>
      <c r="E525" s="139" t="s">
        <v>624</v>
      </c>
      <c r="F525" s="140" t="s">
        <v>625</v>
      </c>
      <c r="G525" s="141" t="s">
        <v>142</v>
      </c>
      <c r="H525" s="142">
        <v>7.68</v>
      </c>
      <c r="I525" s="318">
        <v>0</v>
      </c>
      <c r="J525" s="143">
        <f>ROUND(I525*H525,2)</f>
        <v>0</v>
      </c>
      <c r="K525" s="140" t="s">
        <v>148</v>
      </c>
      <c r="L525" s="195"/>
      <c r="M525" s="144" t="s">
        <v>1</v>
      </c>
      <c r="N525" s="145" t="s">
        <v>37</v>
      </c>
      <c r="O525" s="146">
        <v>0.27800000000000002</v>
      </c>
      <c r="P525" s="146">
        <f>O525*H527</f>
        <v>2.13504</v>
      </c>
      <c r="Q525" s="146">
        <v>1.5E-3</v>
      </c>
      <c r="R525" s="146">
        <f>Q525*H527</f>
        <v>1.1519999999999999E-2</v>
      </c>
      <c r="S525" s="146">
        <v>0</v>
      </c>
      <c r="T525" s="147">
        <f>S525*H527</f>
        <v>0</v>
      </c>
      <c r="U525" s="30"/>
      <c r="V525" s="30"/>
      <c r="W525" s="30"/>
      <c r="X525" s="30"/>
      <c r="Y525" s="30"/>
      <c r="Z525" s="30"/>
      <c r="AA525" s="30"/>
      <c r="AB525" s="30"/>
      <c r="AC525" s="30"/>
      <c r="AD525" s="30"/>
      <c r="AE525" s="30"/>
      <c r="AR525" s="148" t="s">
        <v>205</v>
      </c>
      <c r="AT525" s="148" t="s">
        <v>139</v>
      </c>
      <c r="AU525" s="148" t="s">
        <v>82</v>
      </c>
      <c r="AY525" s="18" t="s">
        <v>137</v>
      </c>
      <c r="BE525" s="149">
        <f>IF(N525="základní",J527,0)</f>
        <v>0</v>
      </c>
      <c r="BF525" s="149">
        <f>IF(N525="snížená",J527,0)</f>
        <v>0</v>
      </c>
      <c r="BG525" s="149">
        <f>IF(N525="zákl. přenesená",J527,0)</f>
        <v>0</v>
      </c>
      <c r="BH525" s="149">
        <f>IF(N525="sníž. přenesená",J527,0)</f>
        <v>0</v>
      </c>
      <c r="BI525" s="149">
        <f>IF(N525="nulová",J527,0)</f>
        <v>0</v>
      </c>
      <c r="BJ525" s="18" t="s">
        <v>80</v>
      </c>
      <c r="BK525" s="149">
        <f>ROUND(I527*H527,2)</f>
        <v>0</v>
      </c>
      <c r="BL525" s="18" t="s">
        <v>205</v>
      </c>
      <c r="BM525" s="148" t="s">
        <v>630</v>
      </c>
    </row>
    <row r="526" spans="1:65" s="2" customFormat="1" ht="38.4">
      <c r="A526" s="30"/>
      <c r="B526" s="31"/>
      <c r="C526" s="30"/>
      <c r="D526" s="150" t="s">
        <v>150</v>
      </c>
      <c r="E526" s="30"/>
      <c r="F526" s="151" t="s">
        <v>627</v>
      </c>
      <c r="G526" s="30"/>
      <c r="H526" s="30"/>
      <c r="I526" s="30"/>
      <c r="J526" s="30"/>
      <c r="K526" s="30"/>
      <c r="L526" s="195"/>
      <c r="M526" s="152"/>
      <c r="N526" s="153"/>
      <c r="O526" s="56"/>
      <c r="P526" s="56"/>
      <c r="Q526" s="56"/>
      <c r="R526" s="56"/>
      <c r="S526" s="56"/>
      <c r="T526" s="57"/>
      <c r="U526" s="30"/>
      <c r="V526" s="30"/>
      <c r="W526" s="30"/>
      <c r="X526" s="30"/>
      <c r="Y526" s="30"/>
      <c r="Z526" s="30"/>
      <c r="AA526" s="30"/>
      <c r="AB526" s="30"/>
      <c r="AC526" s="30"/>
      <c r="AD526" s="30"/>
      <c r="AE526" s="30"/>
      <c r="AT526" s="18" t="s">
        <v>150</v>
      </c>
      <c r="AU526" s="18" t="s">
        <v>82</v>
      </c>
    </row>
    <row r="527" spans="1:65" s="2" customFormat="1" ht="16.5" customHeight="1">
      <c r="A527" s="30"/>
      <c r="B527" s="137"/>
      <c r="C527" s="138">
        <v>136</v>
      </c>
      <c r="D527" s="138" t="s">
        <v>139</v>
      </c>
      <c r="E527" s="139" t="s">
        <v>628</v>
      </c>
      <c r="F527" s="140" t="s">
        <v>629</v>
      </c>
      <c r="G527" s="141" t="s">
        <v>142</v>
      </c>
      <c r="H527" s="142">
        <v>7.68</v>
      </c>
      <c r="I527" s="318">
        <v>0</v>
      </c>
      <c r="J527" s="143">
        <f>ROUND(I527*H527,2)</f>
        <v>0</v>
      </c>
      <c r="K527" s="140" t="s">
        <v>148</v>
      </c>
      <c r="L527" s="195"/>
      <c r="M527" s="144" t="s">
        <v>1</v>
      </c>
      <c r="N527" s="145" t="s">
        <v>37</v>
      </c>
      <c r="O527" s="146">
        <v>2.9670000000000001</v>
      </c>
      <c r="P527" s="146">
        <f>O527*H529</f>
        <v>0.83966099999999999</v>
      </c>
      <c r="Q527" s="146">
        <v>0</v>
      </c>
      <c r="R527" s="146">
        <f>Q527*H529</f>
        <v>0</v>
      </c>
      <c r="S527" s="146">
        <v>0</v>
      </c>
      <c r="T527" s="147">
        <f>S527*H529</f>
        <v>0</v>
      </c>
      <c r="U527" s="30"/>
      <c r="V527" s="30"/>
      <c r="W527" s="30"/>
      <c r="X527" s="30"/>
      <c r="Y527" s="30"/>
      <c r="Z527" s="30"/>
      <c r="AA527" s="30"/>
      <c r="AB527" s="30"/>
      <c r="AC527" s="30"/>
      <c r="AD527" s="30"/>
      <c r="AE527" s="30"/>
      <c r="AR527" s="148" t="s">
        <v>205</v>
      </c>
      <c r="AT527" s="148" t="s">
        <v>139</v>
      </c>
      <c r="AU527" s="148" t="s">
        <v>82</v>
      </c>
      <c r="AY527" s="18" t="s">
        <v>137</v>
      </c>
      <c r="BE527" s="149">
        <f>IF(N527="základní",J529,0)</f>
        <v>0</v>
      </c>
      <c r="BF527" s="149">
        <f>IF(N527="snížená",J529,0)</f>
        <v>0</v>
      </c>
      <c r="BG527" s="149">
        <f>IF(N527="zákl. přenesená",J529,0)</f>
        <v>0</v>
      </c>
      <c r="BH527" s="149">
        <f>IF(N527="sníž. přenesená",J529,0)</f>
        <v>0</v>
      </c>
      <c r="BI527" s="149">
        <f>IF(N527="nulová",J529,0)</f>
        <v>0</v>
      </c>
      <c r="BJ527" s="18" t="s">
        <v>80</v>
      </c>
      <c r="BK527" s="149">
        <f>ROUND(I529*H529,2)</f>
        <v>0</v>
      </c>
      <c r="BL527" s="18" t="s">
        <v>205</v>
      </c>
      <c r="BM527" s="148" t="s">
        <v>634</v>
      </c>
    </row>
    <row r="528" spans="1:65" s="12" customFormat="1" ht="22.95" customHeight="1">
      <c r="B528" s="125"/>
      <c r="C528" s="30"/>
      <c r="D528" s="150" t="s">
        <v>150</v>
      </c>
      <c r="E528" s="30"/>
      <c r="F528" s="151" t="s">
        <v>631</v>
      </c>
      <c r="G528" s="30"/>
      <c r="H528" s="30"/>
      <c r="I528" s="30"/>
      <c r="J528" s="30"/>
      <c r="K528" s="30"/>
      <c r="L528" s="125"/>
      <c r="M528" s="129"/>
      <c r="N528" s="130"/>
      <c r="O528" s="130"/>
      <c r="P528" s="131">
        <f>SUM(P529:P544)</f>
        <v>17.65494</v>
      </c>
      <c r="Q528" s="130"/>
      <c r="R528" s="131">
        <f>SUM(R529:R544)</f>
        <v>0.24952869</v>
      </c>
      <c r="S528" s="130"/>
      <c r="T528" s="132">
        <f>SUM(T529:T544)</f>
        <v>4.8825000000000007E-2</v>
      </c>
      <c r="AR528" s="126" t="s">
        <v>82</v>
      </c>
      <c r="AT528" s="133" t="s">
        <v>71</v>
      </c>
      <c r="AU528" s="133" t="s">
        <v>80</v>
      </c>
      <c r="AY528" s="126" t="s">
        <v>137</v>
      </c>
      <c r="BK528" s="134">
        <f>SUM(BK529:BK544)</f>
        <v>0</v>
      </c>
    </row>
    <row r="529" spans="1:65" s="2" customFormat="1" ht="16.5" customHeight="1">
      <c r="A529" s="30"/>
      <c r="B529" s="137"/>
      <c r="C529" s="138">
        <v>137</v>
      </c>
      <c r="D529" s="138" t="s">
        <v>139</v>
      </c>
      <c r="E529" s="139" t="s">
        <v>632</v>
      </c>
      <c r="F529" s="140" t="s">
        <v>633</v>
      </c>
      <c r="G529" s="141" t="s">
        <v>187</v>
      </c>
      <c r="H529" s="142">
        <v>0.28299999999999997</v>
      </c>
      <c r="I529" s="318">
        <v>0</v>
      </c>
      <c r="J529" s="143">
        <f>ROUND(I529*H529,2)</f>
        <v>0</v>
      </c>
      <c r="K529" s="140" t="s">
        <v>143</v>
      </c>
      <c r="L529" s="195"/>
      <c r="M529" s="144" t="s">
        <v>1</v>
      </c>
      <c r="N529" s="145" t="s">
        <v>37</v>
      </c>
      <c r="O529" s="146">
        <v>2.4E-2</v>
      </c>
      <c r="P529" s="146">
        <f>O529*H531</f>
        <v>0.54408000000000001</v>
      </c>
      <c r="Q529" s="146">
        <v>0</v>
      </c>
      <c r="R529" s="146">
        <f>Q529*H531</f>
        <v>0</v>
      </c>
      <c r="S529" s="146">
        <v>0</v>
      </c>
      <c r="T529" s="147">
        <f>S529*H531</f>
        <v>0</v>
      </c>
      <c r="U529" s="30"/>
      <c r="V529" s="30"/>
      <c r="W529" s="30"/>
      <c r="X529" s="30"/>
      <c r="Y529" s="30"/>
      <c r="Z529" s="30"/>
      <c r="AA529" s="30"/>
      <c r="AB529" s="30"/>
      <c r="AC529" s="30"/>
      <c r="AD529" s="30"/>
      <c r="AE529" s="30"/>
      <c r="AR529" s="148" t="s">
        <v>205</v>
      </c>
      <c r="AT529" s="148" t="s">
        <v>139</v>
      </c>
      <c r="AU529" s="148" t="s">
        <v>82</v>
      </c>
      <c r="AY529" s="18" t="s">
        <v>137</v>
      </c>
      <c r="BE529" s="149">
        <f>IF(N529="základní",J531,0)</f>
        <v>0</v>
      </c>
      <c r="BF529" s="149">
        <f>IF(N529="snížená",J531,0)</f>
        <v>0</v>
      </c>
      <c r="BG529" s="149">
        <f>IF(N529="zákl. přenesená",J531,0)</f>
        <v>0</v>
      </c>
      <c r="BH529" s="149">
        <f>IF(N529="sníž. přenesená",J531,0)</f>
        <v>0</v>
      </c>
      <c r="BI529" s="149">
        <f>IF(N529="nulová",J531,0)</f>
        <v>0</v>
      </c>
      <c r="BJ529" s="18" t="s">
        <v>80</v>
      </c>
      <c r="BK529" s="149">
        <f>ROUND(I531*H531,2)</f>
        <v>0</v>
      </c>
      <c r="BL529" s="18" t="s">
        <v>205</v>
      </c>
      <c r="BM529" s="148" t="s">
        <v>639</v>
      </c>
    </row>
    <row r="530" spans="1:65" s="2" customFormat="1" ht="16.5" customHeight="1">
      <c r="A530" s="30"/>
      <c r="B530" s="137"/>
      <c r="C530" s="12"/>
      <c r="D530" s="126" t="s">
        <v>71</v>
      </c>
      <c r="E530" s="135" t="s">
        <v>635</v>
      </c>
      <c r="F530" s="135" t="s">
        <v>636</v>
      </c>
      <c r="G530" s="12"/>
      <c r="H530" s="12"/>
      <c r="I530" s="12"/>
      <c r="J530" s="136">
        <f>SUM(J531:J546)</f>
        <v>0</v>
      </c>
      <c r="K530" s="12"/>
      <c r="L530" s="195"/>
      <c r="M530" s="144" t="s">
        <v>1</v>
      </c>
      <c r="N530" s="145" t="s">
        <v>37</v>
      </c>
      <c r="O530" s="146">
        <v>5.8000000000000003E-2</v>
      </c>
      <c r="P530" s="146">
        <f>O530*H532</f>
        <v>1.3148600000000001</v>
      </c>
      <c r="Q530" s="146">
        <v>3.0000000000000001E-5</v>
      </c>
      <c r="R530" s="146">
        <f>Q530*H532</f>
        <v>6.8010000000000011E-4</v>
      </c>
      <c r="S530" s="146">
        <v>0</v>
      </c>
      <c r="T530" s="147">
        <f>S530*H532</f>
        <v>0</v>
      </c>
      <c r="U530" s="30"/>
      <c r="V530" s="30"/>
      <c r="W530" s="30"/>
      <c r="X530" s="30"/>
      <c r="Y530" s="30"/>
      <c r="Z530" s="30"/>
      <c r="AA530" s="30"/>
      <c r="AB530" s="30"/>
      <c r="AC530" s="30"/>
      <c r="AD530" s="30"/>
      <c r="AE530" s="30"/>
      <c r="AR530" s="148" t="s">
        <v>205</v>
      </c>
      <c r="AT530" s="148" t="s">
        <v>139</v>
      </c>
      <c r="AU530" s="148" t="s">
        <v>82</v>
      </c>
      <c r="AY530" s="18" t="s">
        <v>137</v>
      </c>
      <c r="BE530" s="149">
        <f>IF(N530="základní",J532,0)</f>
        <v>0</v>
      </c>
      <c r="BF530" s="149">
        <f>IF(N530="snížená",J532,0)</f>
        <v>0</v>
      </c>
      <c r="BG530" s="149">
        <f>IF(N530="zákl. přenesená",J532,0)</f>
        <v>0</v>
      </c>
      <c r="BH530" s="149">
        <f>IF(N530="sníž. přenesená",J532,0)</f>
        <v>0</v>
      </c>
      <c r="BI530" s="149">
        <f>IF(N530="nulová",J532,0)</f>
        <v>0</v>
      </c>
      <c r="BJ530" s="18" t="s">
        <v>80</v>
      </c>
      <c r="BK530" s="149">
        <f>ROUND(I532*H532,2)</f>
        <v>0</v>
      </c>
      <c r="BL530" s="18" t="s">
        <v>205</v>
      </c>
      <c r="BM530" s="148" t="s">
        <v>642</v>
      </c>
    </row>
    <row r="531" spans="1:65" s="2" customFormat="1" ht="21.75" customHeight="1">
      <c r="A531" s="30"/>
      <c r="B531" s="137"/>
      <c r="C531" s="138">
        <v>138</v>
      </c>
      <c r="D531" s="138" t="s">
        <v>139</v>
      </c>
      <c r="E531" s="139" t="s">
        <v>637</v>
      </c>
      <c r="F531" s="140" t="s">
        <v>638</v>
      </c>
      <c r="G531" s="141" t="s">
        <v>142</v>
      </c>
      <c r="H531" s="142">
        <v>22.67</v>
      </c>
      <c r="I531" s="318">
        <v>0</v>
      </c>
      <c r="J531" s="143">
        <f>ROUND(I531*H531,2)</f>
        <v>0</v>
      </c>
      <c r="K531" s="140" t="s">
        <v>143</v>
      </c>
      <c r="L531" s="195"/>
      <c r="M531" s="144" t="s">
        <v>1</v>
      </c>
      <c r="N531" s="145" t="s">
        <v>37</v>
      </c>
      <c r="O531" s="146">
        <v>0.245</v>
      </c>
      <c r="P531" s="146">
        <f>O531*H533</f>
        <v>5.5541499999999999</v>
      </c>
      <c r="Q531" s="146">
        <v>7.4999999999999997E-3</v>
      </c>
      <c r="R531" s="146">
        <f>Q531*H533</f>
        <v>0.17002500000000001</v>
      </c>
      <c r="S531" s="146">
        <v>0</v>
      </c>
      <c r="T531" s="147">
        <f>S531*H533</f>
        <v>0</v>
      </c>
      <c r="U531" s="30"/>
      <c r="V531" s="30"/>
      <c r="W531" s="30"/>
      <c r="X531" s="30"/>
      <c r="Y531" s="30"/>
      <c r="Z531" s="30"/>
      <c r="AA531" s="30"/>
      <c r="AB531" s="30"/>
      <c r="AC531" s="30"/>
      <c r="AD531" s="30"/>
      <c r="AE531" s="30"/>
      <c r="AR531" s="148" t="s">
        <v>205</v>
      </c>
      <c r="AT531" s="148" t="s">
        <v>139</v>
      </c>
      <c r="AU531" s="148" t="s">
        <v>82</v>
      </c>
      <c r="AY531" s="18" t="s">
        <v>137</v>
      </c>
      <c r="BE531" s="149">
        <f>IF(N531="základní",J533,0)</f>
        <v>0</v>
      </c>
      <c r="BF531" s="149">
        <f>IF(N531="snížená",J533,0)</f>
        <v>0</v>
      </c>
      <c r="BG531" s="149">
        <f>IF(N531="zákl. přenesená",J533,0)</f>
        <v>0</v>
      </c>
      <c r="BH531" s="149">
        <f>IF(N531="sníž. přenesená",J533,0)</f>
        <v>0</v>
      </c>
      <c r="BI531" s="149">
        <f>IF(N531="nulová",J533,0)</f>
        <v>0</v>
      </c>
      <c r="BJ531" s="18" t="s">
        <v>80</v>
      </c>
      <c r="BK531" s="149">
        <f>ROUND(I533*H533,2)</f>
        <v>0</v>
      </c>
      <c r="BL531" s="18" t="s">
        <v>205</v>
      </c>
      <c r="BM531" s="148" t="s">
        <v>645</v>
      </c>
    </row>
    <row r="532" spans="1:65" s="2" customFormat="1" ht="16.5" customHeight="1">
      <c r="A532" s="30"/>
      <c r="B532" s="137"/>
      <c r="C532" s="138">
        <v>139</v>
      </c>
      <c r="D532" s="138" t="s">
        <v>139</v>
      </c>
      <c r="E532" s="139" t="s">
        <v>640</v>
      </c>
      <c r="F532" s="140" t="s">
        <v>641</v>
      </c>
      <c r="G532" s="141" t="s">
        <v>142</v>
      </c>
      <c r="H532" s="142">
        <v>22.67</v>
      </c>
      <c r="I532" s="318">
        <v>0</v>
      </c>
      <c r="J532" s="143">
        <f>ROUND(I532*H532,2)</f>
        <v>0</v>
      </c>
      <c r="K532" s="140" t="s">
        <v>143</v>
      </c>
      <c r="L532" s="195"/>
      <c r="M532" s="144" t="s">
        <v>1</v>
      </c>
      <c r="N532" s="145" t="s">
        <v>37</v>
      </c>
      <c r="O532" s="146">
        <v>0.105</v>
      </c>
      <c r="P532" s="146">
        <f>O532*H534</f>
        <v>2.0506500000000001</v>
      </c>
      <c r="Q532" s="146">
        <v>0</v>
      </c>
      <c r="R532" s="146">
        <f>Q532*H534</f>
        <v>0</v>
      </c>
      <c r="S532" s="146">
        <v>2.5000000000000001E-3</v>
      </c>
      <c r="T532" s="147">
        <f>S532*H534</f>
        <v>4.8825000000000007E-2</v>
      </c>
      <c r="U532" s="30"/>
      <c r="V532" s="30"/>
      <c r="W532" s="30"/>
      <c r="X532" s="30"/>
      <c r="Y532" s="30"/>
      <c r="Z532" s="30"/>
      <c r="AA532" s="30"/>
      <c r="AB532" s="30"/>
      <c r="AC532" s="30"/>
      <c r="AD532" s="30"/>
      <c r="AE532" s="30"/>
      <c r="AR532" s="148" t="s">
        <v>205</v>
      </c>
      <c r="AT532" s="148" t="s">
        <v>139</v>
      </c>
      <c r="AU532" s="148" t="s">
        <v>82</v>
      </c>
      <c r="AY532" s="18" t="s">
        <v>137</v>
      </c>
      <c r="BE532" s="149">
        <f>IF(N532="základní",J534,0)</f>
        <v>0</v>
      </c>
      <c r="BF532" s="149">
        <f>IF(N532="snížená",J534,0)</f>
        <v>0</v>
      </c>
      <c r="BG532" s="149">
        <f>IF(N532="zákl. přenesená",J534,0)</f>
        <v>0</v>
      </c>
      <c r="BH532" s="149">
        <f>IF(N532="sníž. přenesená",J534,0)</f>
        <v>0</v>
      </c>
      <c r="BI532" s="149">
        <f>IF(N532="nulová",J534,0)</f>
        <v>0</v>
      </c>
      <c r="BJ532" s="18" t="s">
        <v>80</v>
      </c>
      <c r="BK532" s="149">
        <f>ROUND(I534*H534,2)</f>
        <v>0</v>
      </c>
      <c r="BL532" s="18" t="s">
        <v>205</v>
      </c>
      <c r="BM532" s="148" t="s">
        <v>648</v>
      </c>
    </row>
    <row r="533" spans="1:65" s="2" customFormat="1" ht="22.8">
      <c r="A533" s="30"/>
      <c r="B533" s="31"/>
      <c r="C533" s="138">
        <v>140</v>
      </c>
      <c r="D533" s="138" t="s">
        <v>139</v>
      </c>
      <c r="E533" s="139" t="s">
        <v>643</v>
      </c>
      <c r="F533" s="140" t="s">
        <v>644</v>
      </c>
      <c r="G533" s="141" t="s">
        <v>142</v>
      </c>
      <c r="H533" s="142">
        <v>22.67</v>
      </c>
      <c r="I533" s="318">
        <v>0</v>
      </c>
      <c r="J533" s="143">
        <f>ROUND(I533*H533,2)</f>
        <v>0</v>
      </c>
      <c r="K533" s="140" t="s">
        <v>143</v>
      </c>
      <c r="L533" s="195"/>
      <c r="M533" s="152"/>
      <c r="N533" s="153"/>
      <c r="O533" s="56"/>
      <c r="P533" s="56"/>
      <c r="Q533" s="56"/>
      <c r="R533" s="56"/>
      <c r="S533" s="56"/>
      <c r="T533" s="57"/>
      <c r="U533" s="30"/>
      <c r="V533" s="30"/>
      <c r="W533" s="30"/>
      <c r="X533" s="30"/>
      <c r="Y533" s="30"/>
      <c r="Z533" s="30"/>
      <c r="AA533" s="30"/>
      <c r="AB533" s="30"/>
      <c r="AC533" s="30"/>
      <c r="AD533" s="30"/>
      <c r="AE533" s="30"/>
      <c r="AT533" s="18" t="s">
        <v>150</v>
      </c>
      <c r="AU533" s="18" t="s">
        <v>82</v>
      </c>
    </row>
    <row r="534" spans="1:65" s="2" customFormat="1" ht="16.5" customHeight="1">
      <c r="A534" s="30"/>
      <c r="B534" s="137"/>
      <c r="C534" s="138">
        <v>141</v>
      </c>
      <c r="D534" s="138" t="s">
        <v>139</v>
      </c>
      <c r="E534" s="139" t="s">
        <v>646</v>
      </c>
      <c r="F534" s="140" t="s">
        <v>647</v>
      </c>
      <c r="G534" s="141" t="s">
        <v>142</v>
      </c>
      <c r="H534" s="142">
        <v>19.53</v>
      </c>
      <c r="I534" s="318">
        <v>0</v>
      </c>
      <c r="J534" s="143">
        <f>ROUND(I534*H534,2)</f>
        <v>0</v>
      </c>
      <c r="K534" s="140" t="s">
        <v>143</v>
      </c>
      <c r="L534" s="195"/>
      <c r="M534" s="144" t="s">
        <v>1</v>
      </c>
      <c r="N534" s="145" t="s">
        <v>37</v>
      </c>
      <c r="O534" s="146">
        <v>0.23300000000000001</v>
      </c>
      <c r="P534" s="146">
        <f>O534*H536</f>
        <v>5.2821100000000003</v>
      </c>
      <c r="Q534" s="146">
        <v>2.9999999999999997E-4</v>
      </c>
      <c r="R534" s="146">
        <f>Q534*H536</f>
        <v>6.8009999999999998E-3</v>
      </c>
      <c r="S534" s="146">
        <v>0</v>
      </c>
      <c r="T534" s="147">
        <f>S534*H536</f>
        <v>0</v>
      </c>
      <c r="U534" s="30"/>
      <c r="V534" s="30"/>
      <c r="W534" s="30"/>
      <c r="X534" s="30"/>
      <c r="Y534" s="30"/>
      <c r="Z534" s="30"/>
      <c r="AA534" s="30"/>
      <c r="AB534" s="30"/>
      <c r="AC534" s="30"/>
      <c r="AD534" s="30"/>
      <c r="AE534" s="30"/>
      <c r="AR534" s="148" t="s">
        <v>205</v>
      </c>
      <c r="AT534" s="148" t="s">
        <v>139</v>
      </c>
      <c r="AU534" s="148" t="s">
        <v>82</v>
      </c>
      <c r="AY534" s="18" t="s">
        <v>137</v>
      </c>
      <c r="BE534" s="149">
        <f>IF(N534="základní",J536,0)</f>
        <v>0</v>
      </c>
      <c r="BF534" s="149">
        <f>IF(N534="snížená",J536,0)</f>
        <v>0</v>
      </c>
      <c r="BG534" s="149">
        <f>IF(N534="zákl. přenesená",J536,0)</f>
        <v>0</v>
      </c>
      <c r="BH534" s="149">
        <f>IF(N534="sníž. přenesená",J536,0)</f>
        <v>0</v>
      </c>
      <c r="BI534" s="149">
        <f>IF(N534="nulová",J536,0)</f>
        <v>0</v>
      </c>
      <c r="BJ534" s="18" t="s">
        <v>80</v>
      </c>
      <c r="BK534" s="149">
        <f>ROUND(I536*H536,2)</f>
        <v>0</v>
      </c>
      <c r="BL534" s="18" t="s">
        <v>205</v>
      </c>
      <c r="BM534" s="148" t="s">
        <v>652</v>
      </c>
    </row>
    <row r="535" spans="1:65" s="2" customFormat="1" ht="19.2">
      <c r="A535" s="30"/>
      <c r="B535" s="31"/>
      <c r="C535" s="30"/>
      <c r="D535" s="150" t="s">
        <v>150</v>
      </c>
      <c r="E535" s="30"/>
      <c r="F535" s="151" t="s">
        <v>649</v>
      </c>
      <c r="G535" s="30"/>
      <c r="H535" s="30"/>
      <c r="I535" s="30"/>
      <c r="J535" s="30"/>
      <c r="K535" s="30"/>
      <c r="L535" s="195"/>
      <c r="M535" s="152"/>
      <c r="N535" s="153"/>
      <c r="O535" s="56"/>
      <c r="P535" s="56"/>
      <c r="Q535" s="56"/>
      <c r="R535" s="56"/>
      <c r="S535" s="56"/>
      <c r="T535" s="57"/>
      <c r="U535" s="30"/>
      <c r="V535" s="30"/>
      <c r="W535" s="30"/>
      <c r="X535" s="30"/>
      <c r="Y535" s="30"/>
      <c r="Z535" s="30"/>
      <c r="AA535" s="30"/>
      <c r="AB535" s="30"/>
      <c r="AC535" s="30"/>
      <c r="AD535" s="30"/>
      <c r="AE535" s="30"/>
      <c r="AT535" s="18" t="s">
        <v>150</v>
      </c>
      <c r="AU535" s="18" t="s">
        <v>82</v>
      </c>
    </row>
    <row r="536" spans="1:65" s="2" customFormat="1" ht="16.5" customHeight="1">
      <c r="A536" s="30"/>
      <c r="B536" s="137"/>
      <c r="C536" s="138">
        <v>142</v>
      </c>
      <c r="D536" s="138" t="s">
        <v>139</v>
      </c>
      <c r="E536" s="139" t="s">
        <v>650</v>
      </c>
      <c r="F536" s="140" t="s">
        <v>651</v>
      </c>
      <c r="G536" s="141" t="s">
        <v>142</v>
      </c>
      <c r="H536" s="142">
        <v>22.67</v>
      </c>
      <c r="I536" s="318">
        <v>0</v>
      </c>
      <c r="J536" s="143">
        <f>ROUND(I536*H536,2)</f>
        <v>0</v>
      </c>
      <c r="K536" s="140" t="s">
        <v>143</v>
      </c>
      <c r="L536" s="209"/>
      <c r="M536" s="180" t="s">
        <v>1</v>
      </c>
      <c r="N536" s="181" t="s">
        <v>37</v>
      </c>
      <c r="O536" s="146">
        <v>0</v>
      </c>
      <c r="P536" s="146">
        <f>O536*H538</f>
        <v>0</v>
      </c>
      <c r="Q536" s="146">
        <v>2.8700000000000002E-3</v>
      </c>
      <c r="R536" s="146">
        <f>Q536*H538</f>
        <v>7.1569190000000005E-2</v>
      </c>
      <c r="S536" s="146">
        <v>0</v>
      </c>
      <c r="T536" s="147">
        <f>S536*H538</f>
        <v>0</v>
      </c>
      <c r="U536" s="30"/>
      <c r="V536" s="30"/>
      <c r="W536" s="30"/>
      <c r="X536" s="30"/>
      <c r="Y536" s="30"/>
      <c r="Z536" s="30"/>
      <c r="AA536" s="30"/>
      <c r="AB536" s="30"/>
      <c r="AC536" s="30"/>
      <c r="AD536" s="30"/>
      <c r="AE536" s="30"/>
      <c r="AR536" s="148" t="s">
        <v>265</v>
      </c>
      <c r="AT536" s="148" t="s">
        <v>184</v>
      </c>
      <c r="AU536" s="148" t="s">
        <v>82</v>
      </c>
      <c r="AY536" s="18" t="s">
        <v>137</v>
      </c>
      <c r="BE536" s="149">
        <f>IF(N536="základní",J538,0)</f>
        <v>0</v>
      </c>
      <c r="BF536" s="149">
        <f>IF(N536="snížená",J538,0)</f>
        <v>0</v>
      </c>
      <c r="BG536" s="149">
        <f>IF(N536="zákl. přenesená",J538,0)</f>
        <v>0</v>
      </c>
      <c r="BH536" s="149">
        <f>IF(N536="sníž. přenesená",J538,0)</f>
        <v>0</v>
      </c>
      <c r="BI536" s="149">
        <f>IF(N536="nulová",J538,0)</f>
        <v>0</v>
      </c>
      <c r="BJ536" s="18" t="s">
        <v>80</v>
      </c>
      <c r="BK536" s="149">
        <f>ROUND(I538*H538,2)</f>
        <v>0</v>
      </c>
      <c r="BL536" s="18" t="s">
        <v>205</v>
      </c>
      <c r="BM536" s="148" t="s">
        <v>656</v>
      </c>
    </row>
    <row r="537" spans="1:65" s="2" customFormat="1" ht="28.8">
      <c r="A537" s="30"/>
      <c r="B537" s="31"/>
      <c r="C537" s="30"/>
      <c r="D537" s="150" t="s">
        <v>150</v>
      </c>
      <c r="E537" s="30"/>
      <c r="F537" s="151" t="s">
        <v>653</v>
      </c>
      <c r="G537" s="30"/>
      <c r="H537" s="30"/>
      <c r="I537" s="30"/>
      <c r="J537" s="30"/>
      <c r="K537" s="30"/>
      <c r="L537" s="195"/>
      <c r="M537" s="152"/>
      <c r="N537" s="153"/>
      <c r="O537" s="56"/>
      <c r="P537" s="56"/>
      <c r="Q537" s="56"/>
      <c r="R537" s="56"/>
      <c r="S537" s="56"/>
      <c r="T537" s="57"/>
      <c r="U537" s="30"/>
      <c r="V537" s="30"/>
      <c r="W537" s="30"/>
      <c r="X537" s="30"/>
      <c r="Y537" s="30"/>
      <c r="Z537" s="30"/>
      <c r="AA537" s="30"/>
      <c r="AB537" s="30"/>
      <c r="AC537" s="30"/>
      <c r="AD537" s="30"/>
      <c r="AE537" s="30"/>
      <c r="AT537" s="18" t="s">
        <v>150</v>
      </c>
      <c r="AU537" s="18" t="s">
        <v>82</v>
      </c>
    </row>
    <row r="538" spans="1:65" s="14" customFormat="1" ht="11.4">
      <c r="B538" s="160"/>
      <c r="C538" s="174">
        <v>143</v>
      </c>
      <c r="D538" s="174" t="s">
        <v>184</v>
      </c>
      <c r="E538" s="175" t="s">
        <v>654</v>
      </c>
      <c r="F538" s="176" t="s">
        <v>655</v>
      </c>
      <c r="G538" s="177" t="s">
        <v>142</v>
      </c>
      <c r="H538" s="178">
        <v>24.937000000000001</v>
      </c>
      <c r="I538" s="320">
        <v>0</v>
      </c>
      <c r="J538" s="179">
        <f>ROUND(I538*H538,2)</f>
        <v>0</v>
      </c>
      <c r="K538" s="176" t="s">
        <v>148</v>
      </c>
      <c r="L538" s="195"/>
      <c r="M538" s="164"/>
      <c r="N538" s="165"/>
      <c r="O538" s="165"/>
      <c r="P538" s="165"/>
      <c r="Q538" s="165"/>
      <c r="R538" s="165"/>
      <c r="S538" s="165"/>
      <c r="T538" s="166"/>
      <c r="AT538" s="161" t="s">
        <v>152</v>
      </c>
      <c r="AU538" s="161" t="s">
        <v>82</v>
      </c>
      <c r="AV538" s="14" t="s">
        <v>82</v>
      </c>
      <c r="AW538" s="14" t="s">
        <v>3</v>
      </c>
      <c r="AX538" s="14" t="s">
        <v>80</v>
      </c>
      <c r="AY538" s="161" t="s">
        <v>137</v>
      </c>
    </row>
    <row r="539" spans="1:65" s="2" customFormat="1" ht="16.5" customHeight="1">
      <c r="A539" s="30"/>
      <c r="B539" s="137"/>
      <c r="C539" s="30"/>
      <c r="D539" s="150" t="s">
        <v>150</v>
      </c>
      <c r="E539" s="30"/>
      <c r="F539" s="151" t="s">
        <v>622</v>
      </c>
      <c r="G539" s="30"/>
      <c r="H539" s="30"/>
      <c r="I539" s="30"/>
      <c r="J539" s="30"/>
      <c r="K539" s="30"/>
      <c r="L539" s="195"/>
      <c r="M539" s="144" t="s">
        <v>1</v>
      </c>
      <c r="N539" s="145" t="s">
        <v>37</v>
      </c>
      <c r="O539" s="146">
        <v>0.10199999999999999</v>
      </c>
      <c r="P539" s="146">
        <f>O539*H541</f>
        <v>2.3123399999999998</v>
      </c>
      <c r="Q539" s="146">
        <v>2.0000000000000002E-5</v>
      </c>
      <c r="R539" s="146">
        <f>Q539*H541</f>
        <v>4.5340000000000007E-4</v>
      </c>
      <c r="S539" s="146">
        <v>0</v>
      </c>
      <c r="T539" s="147">
        <f>S539*H541</f>
        <v>0</v>
      </c>
      <c r="U539" s="30"/>
      <c r="V539" s="30"/>
      <c r="W539" s="30"/>
      <c r="X539" s="30"/>
      <c r="Y539" s="30"/>
      <c r="Z539" s="30"/>
      <c r="AA539" s="30"/>
      <c r="AB539" s="30"/>
      <c r="AC539" s="30"/>
      <c r="AD539" s="30"/>
      <c r="AE539" s="30"/>
      <c r="AR539" s="148" t="s">
        <v>205</v>
      </c>
      <c r="AT539" s="148" t="s">
        <v>139</v>
      </c>
      <c r="AU539" s="148" t="s">
        <v>82</v>
      </c>
      <c r="AY539" s="18" t="s">
        <v>137</v>
      </c>
      <c r="BE539" s="149">
        <f>IF(N539="základní",J541,0)</f>
        <v>0</v>
      </c>
      <c r="BF539" s="149">
        <f>IF(N539="snížená",J541,0)</f>
        <v>0</v>
      </c>
      <c r="BG539" s="149">
        <f>IF(N539="zákl. přenesená",J541,0)</f>
        <v>0</v>
      </c>
      <c r="BH539" s="149">
        <f>IF(N539="sníž. přenesená",J541,0)</f>
        <v>0</v>
      </c>
      <c r="BI539" s="149">
        <f>IF(N539="nulová",J541,0)</f>
        <v>0</v>
      </c>
      <c r="BJ539" s="18" t="s">
        <v>80</v>
      </c>
      <c r="BK539" s="149">
        <f>ROUND(I541*H541,2)</f>
        <v>0</v>
      </c>
      <c r="BL539" s="18" t="s">
        <v>205</v>
      </c>
      <c r="BM539" s="148" t="s">
        <v>660</v>
      </c>
    </row>
    <row r="540" spans="1:65" s="2" customFormat="1">
      <c r="A540" s="30"/>
      <c r="B540" s="31"/>
      <c r="C540" s="14"/>
      <c r="D540" s="150" t="s">
        <v>152</v>
      </c>
      <c r="E540" s="14"/>
      <c r="F540" s="162" t="s">
        <v>657</v>
      </c>
      <c r="G540" s="14"/>
      <c r="H540" s="163">
        <v>24.937000000000001</v>
      </c>
      <c r="I540" s="14"/>
      <c r="J540" s="14"/>
      <c r="K540" s="14"/>
      <c r="L540" s="195"/>
      <c r="M540" s="152"/>
      <c r="N540" s="153"/>
      <c r="O540" s="56"/>
      <c r="P540" s="56"/>
      <c r="Q540" s="56"/>
      <c r="R540" s="56"/>
      <c r="S540" s="56"/>
      <c r="T540" s="57"/>
      <c r="U540" s="30"/>
      <c r="V540" s="30"/>
      <c r="W540" s="30"/>
      <c r="X540" s="30"/>
      <c r="Y540" s="30"/>
      <c r="Z540" s="30"/>
      <c r="AA540" s="30"/>
      <c r="AB540" s="30"/>
      <c r="AC540" s="30"/>
      <c r="AD540" s="30"/>
      <c r="AE540" s="30"/>
      <c r="AT540" s="18" t="s">
        <v>150</v>
      </c>
      <c r="AU540" s="18" t="s">
        <v>82</v>
      </c>
    </row>
    <row r="541" spans="1:65" s="13" customFormat="1" ht="11.4">
      <c r="B541" s="154"/>
      <c r="C541" s="138">
        <v>144</v>
      </c>
      <c r="D541" s="138" t="s">
        <v>139</v>
      </c>
      <c r="E541" s="139" t="s">
        <v>658</v>
      </c>
      <c r="F541" s="140" t="s">
        <v>659</v>
      </c>
      <c r="G541" s="141" t="s">
        <v>142</v>
      </c>
      <c r="H541" s="142">
        <v>22.67</v>
      </c>
      <c r="I541" s="318">
        <v>0</v>
      </c>
      <c r="J541" s="143">
        <f>ROUND(I541*H541,2)</f>
        <v>0</v>
      </c>
      <c r="K541" s="140" t="s">
        <v>148</v>
      </c>
      <c r="L541" s="195"/>
      <c r="M541" s="157"/>
      <c r="N541" s="158"/>
      <c r="O541" s="158"/>
      <c r="P541" s="158"/>
      <c r="Q541" s="158"/>
      <c r="R541" s="158"/>
      <c r="S541" s="158"/>
      <c r="T541" s="159"/>
      <c r="AT541" s="155" t="s">
        <v>152</v>
      </c>
      <c r="AU541" s="155" t="s">
        <v>82</v>
      </c>
      <c r="AV541" s="13" t="s">
        <v>80</v>
      </c>
      <c r="AW541" s="13" t="s">
        <v>28</v>
      </c>
      <c r="AX541" s="13" t="s">
        <v>72</v>
      </c>
      <c r="AY541" s="155" t="s">
        <v>137</v>
      </c>
    </row>
    <row r="542" spans="1:65" s="14" customFormat="1" ht="57.6">
      <c r="B542" s="160"/>
      <c r="C542" s="30"/>
      <c r="D542" s="150" t="s">
        <v>150</v>
      </c>
      <c r="E542" s="30"/>
      <c r="F542" s="151" t="s">
        <v>661</v>
      </c>
      <c r="G542" s="30"/>
      <c r="H542" s="30"/>
      <c r="I542" s="30"/>
      <c r="J542" s="30"/>
      <c r="K542" s="30"/>
      <c r="L542" s="195"/>
      <c r="M542" s="164"/>
      <c r="N542" s="165"/>
      <c r="O542" s="165"/>
      <c r="P542" s="165"/>
      <c r="Q542" s="165"/>
      <c r="R542" s="165"/>
      <c r="S542" s="165"/>
      <c r="T542" s="166"/>
      <c r="AT542" s="161" t="s">
        <v>152</v>
      </c>
      <c r="AU542" s="161" t="s">
        <v>82</v>
      </c>
      <c r="AV542" s="14" t="s">
        <v>82</v>
      </c>
      <c r="AW542" s="14" t="s">
        <v>28</v>
      </c>
      <c r="AX542" s="14" t="s">
        <v>72</v>
      </c>
      <c r="AY542" s="161" t="s">
        <v>137</v>
      </c>
    </row>
    <row r="543" spans="1:65" s="15" customFormat="1">
      <c r="B543" s="167"/>
      <c r="C543" s="13"/>
      <c r="D543" s="150" t="s">
        <v>152</v>
      </c>
      <c r="E543" s="155" t="s">
        <v>1</v>
      </c>
      <c r="F543" s="156" t="s">
        <v>662</v>
      </c>
      <c r="G543" s="13"/>
      <c r="H543" s="155" t="s">
        <v>1</v>
      </c>
      <c r="I543" s="13"/>
      <c r="J543" s="13"/>
      <c r="K543" s="13"/>
      <c r="L543" s="195"/>
      <c r="M543" s="171"/>
      <c r="N543" s="172"/>
      <c r="O543" s="172"/>
      <c r="P543" s="172"/>
      <c r="Q543" s="172"/>
      <c r="R543" s="172"/>
      <c r="S543" s="172"/>
      <c r="T543" s="173"/>
      <c r="AT543" s="168" t="s">
        <v>152</v>
      </c>
      <c r="AU543" s="168" t="s">
        <v>82</v>
      </c>
      <c r="AV543" s="15" t="s">
        <v>144</v>
      </c>
      <c r="AW543" s="15" t="s">
        <v>28</v>
      </c>
      <c r="AX543" s="15" t="s">
        <v>80</v>
      </c>
      <c r="AY543" s="168" t="s">
        <v>137</v>
      </c>
    </row>
    <row r="544" spans="1:65" s="2" customFormat="1" ht="16.5" customHeight="1">
      <c r="A544" s="30"/>
      <c r="B544" s="137"/>
      <c r="C544" s="14"/>
      <c r="D544" s="150" t="s">
        <v>152</v>
      </c>
      <c r="E544" s="161" t="s">
        <v>1</v>
      </c>
      <c r="F544" s="162" t="s">
        <v>663</v>
      </c>
      <c r="G544" s="14"/>
      <c r="H544" s="163">
        <v>22.67</v>
      </c>
      <c r="I544" s="14"/>
      <c r="J544" s="14"/>
      <c r="K544" s="14"/>
      <c r="L544" s="195"/>
      <c r="M544" s="144" t="s">
        <v>1</v>
      </c>
      <c r="N544" s="145" t="s">
        <v>37</v>
      </c>
      <c r="O544" s="146">
        <v>2.387</v>
      </c>
      <c r="P544" s="146">
        <f>O544*H546</f>
        <v>0.59675</v>
      </c>
      <c r="Q544" s="146">
        <v>0</v>
      </c>
      <c r="R544" s="146">
        <f>Q544*H546</f>
        <v>0</v>
      </c>
      <c r="S544" s="146">
        <v>0</v>
      </c>
      <c r="T544" s="147">
        <f>S544*H546</f>
        <v>0</v>
      </c>
      <c r="U544" s="30"/>
      <c r="V544" s="30"/>
      <c r="W544" s="30"/>
      <c r="X544" s="30"/>
      <c r="Y544" s="30"/>
      <c r="Z544" s="30"/>
      <c r="AA544" s="30"/>
      <c r="AB544" s="30"/>
      <c r="AC544" s="30"/>
      <c r="AD544" s="30"/>
      <c r="AE544" s="30"/>
      <c r="AR544" s="148" t="s">
        <v>205</v>
      </c>
      <c r="AT544" s="148" t="s">
        <v>139</v>
      </c>
      <c r="AU544" s="148" t="s">
        <v>82</v>
      </c>
      <c r="AY544" s="18" t="s">
        <v>137</v>
      </c>
      <c r="BE544" s="149">
        <f>IF(N544="základní",J546,0)</f>
        <v>0</v>
      </c>
      <c r="BF544" s="149">
        <f>IF(N544="snížená",J546,0)</f>
        <v>0</v>
      </c>
      <c r="BG544" s="149">
        <f>IF(N544="zákl. přenesená",J546,0)</f>
        <v>0</v>
      </c>
      <c r="BH544" s="149">
        <f>IF(N544="sníž. přenesená",J546,0)</f>
        <v>0</v>
      </c>
      <c r="BI544" s="149">
        <f>IF(N544="nulová",J546,0)</f>
        <v>0</v>
      </c>
      <c r="BJ544" s="18" t="s">
        <v>80</v>
      </c>
      <c r="BK544" s="149">
        <f>ROUND(I546*H546,2)</f>
        <v>0</v>
      </c>
      <c r="BL544" s="18" t="s">
        <v>205</v>
      </c>
      <c r="BM544" s="148" t="s">
        <v>666</v>
      </c>
    </row>
    <row r="545" spans="1:65" s="12" customFormat="1" ht="22.95" customHeight="1">
      <c r="B545" s="125"/>
      <c r="C545" s="15"/>
      <c r="D545" s="150" t="s">
        <v>152</v>
      </c>
      <c r="E545" s="168" t="s">
        <v>1</v>
      </c>
      <c r="F545" s="169" t="s">
        <v>157</v>
      </c>
      <c r="G545" s="15"/>
      <c r="H545" s="170">
        <v>22.67</v>
      </c>
      <c r="I545" s="15"/>
      <c r="J545" s="15"/>
      <c r="K545" s="15"/>
      <c r="L545" s="222"/>
      <c r="M545" s="129"/>
      <c r="N545" s="130"/>
      <c r="O545" s="130"/>
      <c r="P545" s="131">
        <f>SUM(P546:P557)</f>
        <v>28.657085000000002</v>
      </c>
      <c r="Q545" s="130"/>
      <c r="R545" s="131">
        <f>SUM(R546:R557)</f>
        <v>0.63073374999999998</v>
      </c>
      <c r="S545" s="130"/>
      <c r="T545" s="132">
        <f>SUM(T546:T557)</f>
        <v>0</v>
      </c>
      <c r="AR545" s="126" t="s">
        <v>82</v>
      </c>
      <c r="AT545" s="133" t="s">
        <v>71</v>
      </c>
      <c r="AU545" s="133" t="s">
        <v>80</v>
      </c>
      <c r="AY545" s="126" t="s">
        <v>137</v>
      </c>
      <c r="BK545" s="134">
        <f>SUM(BK546:BK557)</f>
        <v>0</v>
      </c>
    </row>
    <row r="546" spans="1:65" s="2" customFormat="1" ht="16.5" customHeight="1">
      <c r="A546" s="30"/>
      <c r="B546" s="137"/>
      <c r="C546" s="138">
        <v>145</v>
      </c>
      <c r="D546" s="138" t="s">
        <v>139</v>
      </c>
      <c r="E546" s="139" t="s">
        <v>664</v>
      </c>
      <c r="F546" s="140" t="s">
        <v>665</v>
      </c>
      <c r="G546" s="141" t="s">
        <v>187</v>
      </c>
      <c r="H546" s="142">
        <v>0.25</v>
      </c>
      <c r="I546" s="318">
        <v>0</v>
      </c>
      <c r="J546" s="143">
        <f>ROUND(I546*H546,2)</f>
        <v>0</v>
      </c>
      <c r="K546" s="140" t="s">
        <v>143</v>
      </c>
      <c r="L546" s="221"/>
      <c r="M546" s="144" t="s">
        <v>1</v>
      </c>
      <c r="N546" s="145" t="s">
        <v>37</v>
      </c>
      <c r="O546" s="146">
        <v>4.3999999999999997E-2</v>
      </c>
      <c r="P546" s="146">
        <f>O546*H548</f>
        <v>1.3639999999999999</v>
      </c>
      <c r="Q546" s="146">
        <v>2.9999999999999997E-4</v>
      </c>
      <c r="R546" s="146">
        <f>Q546*H548</f>
        <v>9.2999999999999992E-3</v>
      </c>
      <c r="S546" s="146">
        <v>0</v>
      </c>
      <c r="T546" s="147">
        <f>S546*H548</f>
        <v>0</v>
      </c>
      <c r="U546" s="30"/>
      <c r="V546" s="30"/>
      <c r="W546" s="30"/>
      <c r="X546" s="30"/>
      <c r="Y546" s="30"/>
      <c r="Z546" s="30"/>
      <c r="AA546" s="30"/>
      <c r="AB546" s="30"/>
      <c r="AC546" s="30"/>
      <c r="AD546" s="30"/>
      <c r="AE546" s="30"/>
      <c r="AR546" s="148" t="s">
        <v>205</v>
      </c>
      <c r="AT546" s="148" t="s">
        <v>139</v>
      </c>
      <c r="AU546" s="148" t="s">
        <v>82</v>
      </c>
      <c r="AY546" s="18" t="s">
        <v>137</v>
      </c>
      <c r="BE546" s="149">
        <f>IF(N546="základní",J548,0)</f>
        <v>0</v>
      </c>
      <c r="BF546" s="149">
        <f>IF(N546="snížená",J548,0)</f>
        <v>0</v>
      </c>
      <c r="BG546" s="149">
        <f>IF(N546="zákl. přenesená",J548,0)</f>
        <v>0</v>
      </c>
      <c r="BH546" s="149">
        <f>IF(N546="sníž. přenesená",J548,0)</f>
        <v>0</v>
      </c>
      <c r="BI546" s="149">
        <f>IF(N546="nulová",J548,0)</f>
        <v>0</v>
      </c>
      <c r="BJ546" s="18" t="s">
        <v>80</v>
      </c>
      <c r="BK546" s="149">
        <f>ROUND(I548*H548,2)</f>
        <v>0</v>
      </c>
      <c r="BL546" s="18" t="s">
        <v>205</v>
      </c>
      <c r="BM546" s="148" t="s">
        <v>671</v>
      </c>
    </row>
    <row r="547" spans="1:65" s="2" customFormat="1" ht="16.5" customHeight="1">
      <c r="A547" s="30"/>
      <c r="B547" s="137"/>
      <c r="C547" s="12"/>
      <c r="D547" s="126" t="s">
        <v>71</v>
      </c>
      <c r="E547" s="135" t="s">
        <v>667</v>
      </c>
      <c r="F547" s="135" t="s">
        <v>668</v>
      </c>
      <c r="G547" s="12"/>
      <c r="H547" s="12"/>
      <c r="I547" s="12"/>
      <c r="J547" s="136">
        <f>SUM(J548:J559)</f>
        <v>0</v>
      </c>
      <c r="K547" s="12"/>
      <c r="L547" s="221"/>
      <c r="M547" s="144" t="s">
        <v>1</v>
      </c>
      <c r="N547" s="145" t="s">
        <v>37</v>
      </c>
      <c r="O547" s="146">
        <v>0.06</v>
      </c>
      <c r="P547" s="146">
        <f>O547*H549</f>
        <v>0.92999999999999994</v>
      </c>
      <c r="Q547" s="146">
        <v>3.2000000000000003E-4</v>
      </c>
      <c r="R547" s="146">
        <f>Q547*H549</f>
        <v>4.96E-3</v>
      </c>
      <c r="S547" s="146">
        <v>0</v>
      </c>
      <c r="T547" s="147">
        <f>S547*H549</f>
        <v>0</v>
      </c>
      <c r="U547" s="30"/>
      <c r="V547" s="30"/>
      <c r="W547" s="30"/>
      <c r="X547" s="30"/>
      <c r="Y547" s="30"/>
      <c r="Z547" s="30"/>
      <c r="AA547" s="30"/>
      <c r="AB547" s="30"/>
      <c r="AC547" s="30"/>
      <c r="AD547" s="30"/>
      <c r="AE547" s="30"/>
      <c r="AR547" s="148" t="s">
        <v>205</v>
      </c>
      <c r="AT547" s="148" t="s">
        <v>139</v>
      </c>
      <c r="AU547" s="148" t="s">
        <v>82</v>
      </c>
      <c r="AY547" s="18" t="s">
        <v>137</v>
      </c>
      <c r="BE547" s="149">
        <f>IF(N547="základní",J549,0)</f>
        <v>0</v>
      </c>
      <c r="BF547" s="149">
        <f>IF(N547="snížená",J549,0)</f>
        <v>0</v>
      </c>
      <c r="BG547" s="149">
        <f>IF(N547="zákl. přenesená",J549,0)</f>
        <v>0</v>
      </c>
      <c r="BH547" s="149">
        <f>IF(N547="sníž. přenesená",J549,0)</f>
        <v>0</v>
      </c>
      <c r="BI547" s="149">
        <f>IF(N547="nulová",J549,0)</f>
        <v>0</v>
      </c>
      <c r="BJ547" s="18" t="s">
        <v>80</v>
      </c>
      <c r="BK547" s="149">
        <f>ROUND(I549*H549,2)</f>
        <v>0</v>
      </c>
      <c r="BL547" s="18" t="s">
        <v>205</v>
      </c>
      <c r="BM547" s="148" t="s">
        <v>674</v>
      </c>
    </row>
    <row r="548" spans="1:65" s="2" customFormat="1" ht="16.5" customHeight="1">
      <c r="A548" s="30"/>
      <c r="B548" s="137"/>
      <c r="C548" s="138">
        <v>146</v>
      </c>
      <c r="D548" s="138" t="s">
        <v>139</v>
      </c>
      <c r="E548" s="139" t="s">
        <v>669</v>
      </c>
      <c r="F548" s="140" t="s">
        <v>670</v>
      </c>
      <c r="G548" s="141" t="s">
        <v>142</v>
      </c>
      <c r="H548" s="142">
        <v>31</v>
      </c>
      <c r="I548" s="318">
        <v>0</v>
      </c>
      <c r="J548" s="143">
        <f>ROUND(I548*H548,2)</f>
        <v>0</v>
      </c>
      <c r="K548" s="140" t="s">
        <v>143</v>
      </c>
      <c r="L548" s="221"/>
      <c r="M548" s="144" t="s">
        <v>1</v>
      </c>
      <c r="N548" s="145" t="s">
        <v>37</v>
      </c>
      <c r="O548" s="146">
        <v>0.64200000000000002</v>
      </c>
      <c r="P548" s="146">
        <f>O548*H550</f>
        <v>19.902000000000001</v>
      </c>
      <c r="Q548" s="146">
        <v>6.0000000000000001E-3</v>
      </c>
      <c r="R548" s="146">
        <f>Q548*H550</f>
        <v>0.186</v>
      </c>
      <c r="S548" s="146">
        <v>0</v>
      </c>
      <c r="T548" s="147">
        <f>S548*H550</f>
        <v>0</v>
      </c>
      <c r="U548" s="30"/>
      <c r="V548" s="30"/>
      <c r="W548" s="30"/>
      <c r="X548" s="30"/>
      <c r="Y548" s="30"/>
      <c r="Z548" s="30"/>
      <c r="AA548" s="30"/>
      <c r="AB548" s="30"/>
      <c r="AC548" s="30"/>
      <c r="AD548" s="30"/>
      <c r="AE548" s="30"/>
      <c r="AR548" s="148" t="s">
        <v>205</v>
      </c>
      <c r="AT548" s="148" t="s">
        <v>139</v>
      </c>
      <c r="AU548" s="148" t="s">
        <v>82</v>
      </c>
      <c r="AY548" s="18" t="s">
        <v>137</v>
      </c>
      <c r="BE548" s="149">
        <f>IF(N548="základní",J550,0)</f>
        <v>0</v>
      </c>
      <c r="BF548" s="149">
        <f>IF(N548="snížená",J550,0)</f>
        <v>0</v>
      </c>
      <c r="BG548" s="149">
        <f>IF(N548="zákl. přenesená",J550,0)</f>
        <v>0</v>
      </c>
      <c r="BH548" s="149">
        <f>IF(N548="sníž. přenesená",J550,0)</f>
        <v>0</v>
      </c>
      <c r="BI548" s="149">
        <f>IF(N548="nulová",J550,0)</f>
        <v>0</v>
      </c>
      <c r="BJ548" s="18" t="s">
        <v>80</v>
      </c>
      <c r="BK548" s="149">
        <f>ROUND(I550*H550,2)</f>
        <v>0</v>
      </c>
      <c r="BL548" s="18" t="s">
        <v>205</v>
      </c>
      <c r="BM548" s="148" t="s">
        <v>677</v>
      </c>
    </row>
    <row r="549" spans="1:65" s="2" customFormat="1" ht="11.4">
      <c r="A549" s="30"/>
      <c r="B549" s="31"/>
      <c r="C549" s="138">
        <v>147</v>
      </c>
      <c r="D549" s="138" t="s">
        <v>139</v>
      </c>
      <c r="E549" s="139" t="s">
        <v>672</v>
      </c>
      <c r="F549" s="140" t="s">
        <v>673</v>
      </c>
      <c r="G549" s="141" t="s">
        <v>242</v>
      </c>
      <c r="H549" s="142">
        <v>15.5</v>
      </c>
      <c r="I549" s="318">
        <v>0</v>
      </c>
      <c r="J549" s="143">
        <f>ROUND(I549*H549,2)</f>
        <v>0</v>
      </c>
      <c r="K549" s="140" t="s">
        <v>143</v>
      </c>
      <c r="L549" s="221"/>
      <c r="M549" s="152"/>
      <c r="N549" s="153"/>
      <c r="O549" s="56"/>
      <c r="P549" s="56"/>
      <c r="Q549" s="56"/>
      <c r="R549" s="56"/>
      <c r="S549" s="56"/>
      <c r="T549" s="57"/>
      <c r="U549" s="30"/>
      <c r="V549" s="30"/>
      <c r="W549" s="30"/>
      <c r="X549" s="30"/>
      <c r="Y549" s="30"/>
      <c r="Z549" s="30"/>
      <c r="AA549" s="30"/>
      <c r="AB549" s="30"/>
      <c r="AC549" s="30"/>
      <c r="AD549" s="30"/>
      <c r="AE549" s="30"/>
      <c r="AT549" s="18" t="s">
        <v>150</v>
      </c>
      <c r="AU549" s="18" t="s">
        <v>82</v>
      </c>
    </row>
    <row r="550" spans="1:65" s="2" customFormat="1" ht="16.5" customHeight="1">
      <c r="A550" s="30"/>
      <c r="B550" s="137"/>
      <c r="C550" s="138">
        <v>148</v>
      </c>
      <c r="D550" s="138" t="s">
        <v>139</v>
      </c>
      <c r="E550" s="139" t="s">
        <v>675</v>
      </c>
      <c r="F550" s="140" t="s">
        <v>676</v>
      </c>
      <c r="G550" s="141" t="s">
        <v>142</v>
      </c>
      <c r="H550" s="142">
        <v>31</v>
      </c>
      <c r="I550" s="318">
        <v>0</v>
      </c>
      <c r="J550" s="143">
        <f>ROUND(I550*H550,2)</f>
        <v>0</v>
      </c>
      <c r="K550" s="140" t="s">
        <v>143</v>
      </c>
      <c r="L550" s="205"/>
      <c r="M550" s="180" t="s">
        <v>1</v>
      </c>
      <c r="N550" s="181" t="s">
        <v>37</v>
      </c>
      <c r="O550" s="146">
        <v>0</v>
      </c>
      <c r="P550" s="146">
        <f>O550*H552</f>
        <v>0</v>
      </c>
      <c r="Q550" s="146">
        <v>1.26E-2</v>
      </c>
      <c r="R550" s="146">
        <f>Q550*H552</f>
        <v>0.42966000000000004</v>
      </c>
      <c r="S550" s="146">
        <v>0</v>
      </c>
      <c r="T550" s="147">
        <f>S550*H552</f>
        <v>0</v>
      </c>
      <c r="U550" s="30"/>
      <c r="V550" s="30"/>
      <c r="W550" s="30"/>
      <c r="X550" s="30"/>
      <c r="Y550" s="30"/>
      <c r="Z550" s="30"/>
      <c r="AA550" s="30"/>
      <c r="AB550" s="30"/>
      <c r="AC550" s="30"/>
      <c r="AD550" s="30"/>
      <c r="AE550" s="30"/>
      <c r="AR550" s="148" t="s">
        <v>265</v>
      </c>
      <c r="AT550" s="148" t="s">
        <v>184</v>
      </c>
      <c r="AU550" s="148" t="s">
        <v>82</v>
      </c>
      <c r="AY550" s="18" t="s">
        <v>137</v>
      </c>
      <c r="BE550" s="149">
        <f>IF(N550="základní",J552,0)</f>
        <v>0</v>
      </c>
      <c r="BF550" s="149">
        <f>IF(N550="snížená",J552,0)</f>
        <v>0</v>
      </c>
      <c r="BG550" s="149">
        <f>IF(N550="zákl. přenesená",J552,0)</f>
        <v>0</v>
      </c>
      <c r="BH550" s="149">
        <f>IF(N550="sníž. přenesená",J552,0)</f>
        <v>0</v>
      </c>
      <c r="BI550" s="149">
        <f>IF(N550="nulová",J552,0)</f>
        <v>0</v>
      </c>
      <c r="BJ550" s="18" t="s">
        <v>80</v>
      </c>
      <c r="BK550" s="149">
        <f>ROUND(I552*H552,2)</f>
        <v>0</v>
      </c>
      <c r="BL550" s="18" t="s">
        <v>205</v>
      </c>
      <c r="BM550" s="148" t="s">
        <v>681</v>
      </c>
    </row>
    <row r="551" spans="1:65" s="2" customFormat="1" ht="48">
      <c r="A551" s="30"/>
      <c r="B551" s="31"/>
      <c r="C551" s="30"/>
      <c r="D551" s="150" t="s">
        <v>150</v>
      </c>
      <c r="E551" s="30"/>
      <c r="F551" s="151" t="s">
        <v>678</v>
      </c>
      <c r="G551" s="30"/>
      <c r="H551" s="30"/>
      <c r="I551" s="30"/>
      <c r="J551" s="30"/>
      <c r="K551" s="30"/>
      <c r="L551" s="221"/>
      <c r="M551" s="152"/>
      <c r="N551" s="153"/>
      <c r="O551" s="56"/>
      <c r="P551" s="56"/>
      <c r="Q551" s="56"/>
      <c r="R551" s="56"/>
      <c r="S551" s="56"/>
      <c r="T551" s="57"/>
      <c r="U551" s="30"/>
      <c r="V551" s="30"/>
      <c r="W551" s="30"/>
      <c r="X551" s="30"/>
      <c r="Y551" s="30"/>
      <c r="Z551" s="30"/>
      <c r="AA551" s="30"/>
      <c r="AB551" s="30"/>
      <c r="AC551" s="30"/>
      <c r="AD551" s="30"/>
      <c r="AE551" s="30"/>
      <c r="AT551" s="18" t="s">
        <v>150</v>
      </c>
      <c r="AU551" s="18" t="s">
        <v>82</v>
      </c>
    </row>
    <row r="552" spans="1:65" s="14" customFormat="1" ht="11.4">
      <c r="B552" s="160"/>
      <c r="C552" s="174">
        <v>149</v>
      </c>
      <c r="D552" s="174" t="s">
        <v>184</v>
      </c>
      <c r="E552" s="175" t="s">
        <v>679</v>
      </c>
      <c r="F552" s="176" t="s">
        <v>680</v>
      </c>
      <c r="G552" s="177" t="s">
        <v>142</v>
      </c>
      <c r="H552" s="178">
        <v>34.1</v>
      </c>
      <c r="I552" s="320">
        <v>0</v>
      </c>
      <c r="J552" s="179">
        <f>ROUND(I552*H552,2)</f>
        <v>0</v>
      </c>
      <c r="K552" s="176" t="s">
        <v>148</v>
      </c>
      <c r="L552" s="221"/>
      <c r="M552" s="164"/>
      <c r="N552" s="165"/>
      <c r="O552" s="165"/>
      <c r="P552" s="165"/>
      <c r="Q552" s="165"/>
      <c r="R552" s="165"/>
      <c r="S552" s="165"/>
      <c r="T552" s="166"/>
      <c r="AT552" s="161" t="s">
        <v>152</v>
      </c>
      <c r="AU552" s="161" t="s">
        <v>82</v>
      </c>
      <c r="AV552" s="14" t="s">
        <v>82</v>
      </c>
      <c r="AW552" s="14" t="s">
        <v>3</v>
      </c>
      <c r="AX552" s="14" t="s">
        <v>80</v>
      </c>
      <c r="AY552" s="161" t="s">
        <v>137</v>
      </c>
    </row>
    <row r="553" spans="1:65" s="2" customFormat="1" ht="16.5" customHeight="1">
      <c r="A553" s="30"/>
      <c r="B553" s="137"/>
      <c r="C553" s="30"/>
      <c r="D553" s="150" t="s">
        <v>150</v>
      </c>
      <c r="E553" s="30"/>
      <c r="F553" s="151" t="s">
        <v>682</v>
      </c>
      <c r="G553" s="30"/>
      <c r="H553" s="30"/>
      <c r="I553" s="30"/>
      <c r="J553" s="30"/>
      <c r="K553" s="30"/>
      <c r="L553" s="221"/>
      <c r="M553" s="144" t="s">
        <v>1</v>
      </c>
      <c r="N553" s="145" t="s">
        <v>37</v>
      </c>
      <c r="O553" s="146">
        <v>0.1</v>
      </c>
      <c r="P553" s="146">
        <f>O553*H555</f>
        <v>3.1</v>
      </c>
      <c r="Q553" s="146">
        <v>0</v>
      </c>
      <c r="R553" s="146">
        <f>Q553*H555</f>
        <v>0</v>
      </c>
      <c r="S553" s="146">
        <v>0</v>
      </c>
      <c r="T553" s="147">
        <f>S553*H555</f>
        <v>0</v>
      </c>
      <c r="U553" s="30"/>
      <c r="V553" s="30"/>
      <c r="W553" s="30"/>
      <c r="X553" s="30"/>
      <c r="Y553" s="30"/>
      <c r="Z553" s="30"/>
      <c r="AA553" s="30"/>
      <c r="AB553" s="30"/>
      <c r="AC553" s="30"/>
      <c r="AD553" s="30"/>
      <c r="AE553" s="30"/>
      <c r="AR553" s="148" t="s">
        <v>205</v>
      </c>
      <c r="AT553" s="148" t="s">
        <v>139</v>
      </c>
      <c r="AU553" s="148" t="s">
        <v>82</v>
      </c>
      <c r="AY553" s="18" t="s">
        <v>137</v>
      </c>
      <c r="BE553" s="149">
        <f>IF(N553="základní",J555,0)</f>
        <v>0</v>
      </c>
      <c r="BF553" s="149">
        <f>IF(N553="snížená",J555,0)</f>
        <v>0</v>
      </c>
      <c r="BG553" s="149">
        <f>IF(N553="zákl. přenesená",J555,0)</f>
        <v>0</v>
      </c>
      <c r="BH553" s="149">
        <f>IF(N553="sníž. přenesená",J555,0)</f>
        <v>0</v>
      </c>
      <c r="BI553" s="149">
        <f>IF(N553="nulová",J555,0)</f>
        <v>0</v>
      </c>
      <c r="BJ553" s="18" t="s">
        <v>80</v>
      </c>
      <c r="BK553" s="149">
        <f>ROUND(I555*H555,2)</f>
        <v>0</v>
      </c>
      <c r="BL553" s="18" t="s">
        <v>205</v>
      </c>
      <c r="BM553" s="148" t="s">
        <v>686</v>
      </c>
    </row>
    <row r="554" spans="1:65" s="2" customFormat="1">
      <c r="A554" s="30"/>
      <c r="B554" s="31"/>
      <c r="C554" s="14"/>
      <c r="D554" s="150" t="s">
        <v>152</v>
      </c>
      <c r="E554" s="14"/>
      <c r="F554" s="162" t="s">
        <v>683</v>
      </c>
      <c r="G554" s="14"/>
      <c r="H554" s="163">
        <v>34.1</v>
      </c>
      <c r="I554" s="14"/>
      <c r="J554" s="14"/>
      <c r="K554" s="14"/>
      <c r="L554" s="221"/>
      <c r="M554" s="152"/>
      <c r="N554" s="153"/>
      <c r="O554" s="56"/>
      <c r="P554" s="56"/>
      <c r="Q554" s="56"/>
      <c r="R554" s="56"/>
      <c r="S554" s="56"/>
      <c r="T554" s="57"/>
      <c r="U554" s="30"/>
      <c r="V554" s="30"/>
      <c r="W554" s="30"/>
      <c r="X554" s="30"/>
      <c r="Y554" s="30"/>
      <c r="Z554" s="30"/>
      <c r="AA554" s="30"/>
      <c r="AB554" s="30"/>
      <c r="AC554" s="30"/>
      <c r="AD554" s="30"/>
      <c r="AE554" s="30"/>
      <c r="AT554" s="18" t="s">
        <v>150</v>
      </c>
      <c r="AU554" s="18" t="s">
        <v>82</v>
      </c>
    </row>
    <row r="555" spans="1:65" s="2" customFormat="1" ht="16.5" customHeight="1">
      <c r="A555" s="30"/>
      <c r="B555" s="137"/>
      <c r="C555" s="138">
        <v>150</v>
      </c>
      <c r="D555" s="138" t="s">
        <v>139</v>
      </c>
      <c r="E555" s="139" t="s">
        <v>684</v>
      </c>
      <c r="F555" s="140" t="s">
        <v>685</v>
      </c>
      <c r="G555" s="141" t="s">
        <v>142</v>
      </c>
      <c r="H555" s="142">
        <v>31</v>
      </c>
      <c r="I555" s="318">
        <v>0</v>
      </c>
      <c r="J555" s="143">
        <f>ROUND(I555*H555,2)</f>
        <v>0</v>
      </c>
      <c r="K555" s="140" t="s">
        <v>148</v>
      </c>
      <c r="L555" s="221"/>
      <c r="M555" s="144" t="s">
        <v>1</v>
      </c>
      <c r="N555" s="145" t="s">
        <v>37</v>
      </c>
      <c r="O555" s="146">
        <v>5.5E-2</v>
      </c>
      <c r="P555" s="146">
        <f>O555*H557</f>
        <v>1.4918750000000001</v>
      </c>
      <c r="Q555" s="146">
        <v>3.0000000000000001E-5</v>
      </c>
      <c r="R555" s="146">
        <f>Q555*H557</f>
        <v>8.1375000000000002E-4</v>
      </c>
      <c r="S555" s="146">
        <v>0</v>
      </c>
      <c r="T555" s="147">
        <f>S555*H557</f>
        <v>0</v>
      </c>
      <c r="U555" s="30"/>
      <c r="V555" s="30"/>
      <c r="W555" s="30"/>
      <c r="X555" s="30"/>
      <c r="Y555" s="30"/>
      <c r="Z555" s="30"/>
      <c r="AA555" s="30"/>
      <c r="AB555" s="30"/>
      <c r="AC555" s="30"/>
      <c r="AD555" s="30"/>
      <c r="AE555" s="30"/>
      <c r="AR555" s="148" t="s">
        <v>144</v>
      </c>
      <c r="AT555" s="148" t="s">
        <v>139</v>
      </c>
      <c r="AU555" s="148" t="s">
        <v>82</v>
      </c>
      <c r="AY555" s="18" t="s">
        <v>137</v>
      </c>
      <c r="BE555" s="149">
        <f>IF(N555="základní",J557,0)</f>
        <v>0</v>
      </c>
      <c r="BF555" s="149">
        <f>IF(N555="snížená",J557,0)</f>
        <v>0</v>
      </c>
      <c r="BG555" s="149">
        <f>IF(N555="zákl. přenesená",J557,0)</f>
        <v>0</v>
      </c>
      <c r="BH555" s="149">
        <f>IF(N555="sníž. přenesená",J557,0)</f>
        <v>0</v>
      </c>
      <c r="BI555" s="149">
        <f>IF(N555="nulová",J557,0)</f>
        <v>0</v>
      </c>
      <c r="BJ555" s="18" t="s">
        <v>80</v>
      </c>
      <c r="BK555" s="149">
        <f>ROUND(I557*H557,2)</f>
        <v>0</v>
      </c>
      <c r="BL555" s="18" t="s">
        <v>144</v>
      </c>
      <c r="BM555" s="148" t="s">
        <v>690</v>
      </c>
    </row>
    <row r="556" spans="1:65" s="14" customFormat="1" ht="38.4">
      <c r="B556" s="160"/>
      <c r="C556" s="30"/>
      <c r="D556" s="150" t="s">
        <v>150</v>
      </c>
      <c r="E556" s="30"/>
      <c r="F556" s="151" t="s">
        <v>687</v>
      </c>
      <c r="G556" s="30"/>
      <c r="H556" s="30"/>
      <c r="I556" s="30"/>
      <c r="J556" s="30"/>
      <c r="K556" s="30"/>
      <c r="L556" s="221"/>
      <c r="M556" s="164"/>
      <c r="N556" s="165"/>
      <c r="O556" s="165"/>
      <c r="P556" s="165"/>
      <c r="Q556" s="165"/>
      <c r="R556" s="165"/>
      <c r="S556" s="165"/>
      <c r="T556" s="166"/>
      <c r="AT556" s="161" t="s">
        <v>152</v>
      </c>
      <c r="AU556" s="161" t="s">
        <v>82</v>
      </c>
      <c r="AV556" s="14" t="s">
        <v>82</v>
      </c>
      <c r="AW556" s="14" t="s">
        <v>3</v>
      </c>
      <c r="AX556" s="14" t="s">
        <v>80</v>
      </c>
      <c r="AY556" s="161" t="s">
        <v>137</v>
      </c>
    </row>
    <row r="557" spans="1:65" s="2" customFormat="1" ht="16.5" customHeight="1">
      <c r="A557" s="30"/>
      <c r="B557" s="137"/>
      <c r="C557" s="138">
        <v>151</v>
      </c>
      <c r="D557" s="138" t="s">
        <v>139</v>
      </c>
      <c r="E557" s="139" t="s">
        <v>688</v>
      </c>
      <c r="F557" s="140" t="s">
        <v>689</v>
      </c>
      <c r="G557" s="141" t="s">
        <v>242</v>
      </c>
      <c r="H557" s="142">
        <v>27.125</v>
      </c>
      <c r="I557" s="318">
        <v>0</v>
      </c>
      <c r="J557" s="143">
        <f>ROUND(I557*H557,2)</f>
        <v>0</v>
      </c>
      <c r="K557" s="140" t="s">
        <v>143</v>
      </c>
      <c r="L557" s="221"/>
      <c r="M557" s="144" t="s">
        <v>1</v>
      </c>
      <c r="N557" s="145" t="s">
        <v>37</v>
      </c>
      <c r="O557" s="146">
        <v>2.9670000000000001</v>
      </c>
      <c r="P557" s="146">
        <f>O557*H559</f>
        <v>1.86921</v>
      </c>
      <c r="Q557" s="146">
        <v>0</v>
      </c>
      <c r="R557" s="146">
        <f>Q557*H559</f>
        <v>0</v>
      </c>
      <c r="S557" s="146">
        <v>0</v>
      </c>
      <c r="T557" s="147">
        <f>S557*H559</f>
        <v>0</v>
      </c>
      <c r="U557" s="30"/>
      <c r="V557" s="30"/>
      <c r="W557" s="30"/>
      <c r="X557" s="30"/>
      <c r="Y557" s="30"/>
      <c r="Z557" s="30"/>
      <c r="AA557" s="30"/>
      <c r="AB557" s="30"/>
      <c r="AC557" s="30"/>
      <c r="AD557" s="30"/>
      <c r="AE557" s="30"/>
      <c r="AR557" s="148" t="s">
        <v>205</v>
      </c>
      <c r="AT557" s="148" t="s">
        <v>139</v>
      </c>
      <c r="AU557" s="148" t="s">
        <v>82</v>
      </c>
      <c r="AY557" s="18" t="s">
        <v>137</v>
      </c>
      <c r="BE557" s="149">
        <f>IF(N557="základní",J559,0)</f>
        <v>0</v>
      </c>
      <c r="BF557" s="149">
        <f>IF(N557="snížená",J559,0)</f>
        <v>0</v>
      </c>
      <c r="BG557" s="149">
        <f>IF(N557="zákl. přenesená",J559,0)</f>
        <v>0</v>
      </c>
      <c r="BH557" s="149">
        <f>IF(N557="sníž. přenesená",J559,0)</f>
        <v>0</v>
      </c>
      <c r="BI557" s="149">
        <f>IF(N557="nulová",J559,0)</f>
        <v>0</v>
      </c>
      <c r="BJ557" s="18" t="s">
        <v>80</v>
      </c>
      <c r="BK557" s="149">
        <f>ROUND(I559*H559,2)</f>
        <v>0</v>
      </c>
      <c r="BL557" s="18" t="s">
        <v>205</v>
      </c>
      <c r="BM557" s="148" t="s">
        <v>694</v>
      </c>
    </row>
    <row r="558" spans="1:65" s="12" customFormat="1" ht="22.95" customHeight="1">
      <c r="B558" s="125"/>
      <c r="C558" s="14"/>
      <c r="D558" s="150" t="s">
        <v>152</v>
      </c>
      <c r="E558" s="14"/>
      <c r="F558" s="162" t="s">
        <v>691</v>
      </c>
      <c r="G558" s="14"/>
      <c r="H558" s="163">
        <v>27.125</v>
      </c>
      <c r="I558" s="14"/>
      <c r="J558" s="14"/>
      <c r="K558" s="14"/>
      <c r="L558" s="125"/>
      <c r="M558" s="129"/>
      <c r="N558" s="130"/>
      <c r="O558" s="130"/>
      <c r="P558" s="131">
        <f>SUM(P559:P570)</f>
        <v>0</v>
      </c>
      <c r="Q558" s="130"/>
      <c r="R558" s="131">
        <f>SUM(R559:R570)</f>
        <v>0</v>
      </c>
      <c r="S558" s="130"/>
      <c r="T558" s="132">
        <f>SUM(T559:T570)</f>
        <v>0</v>
      </c>
      <c r="AR558" s="126" t="s">
        <v>82</v>
      </c>
      <c r="AT558" s="133" t="s">
        <v>71</v>
      </c>
      <c r="AU558" s="133" t="s">
        <v>80</v>
      </c>
      <c r="AY558" s="126" t="s">
        <v>137</v>
      </c>
      <c r="BK558" s="134">
        <f>SUM(BK559:BK570)</f>
        <v>0</v>
      </c>
    </row>
    <row r="559" spans="1:65" s="2" customFormat="1" ht="16.5" customHeight="1">
      <c r="A559" s="30"/>
      <c r="B559" s="137"/>
      <c r="C559" s="138">
        <v>152</v>
      </c>
      <c r="D559" s="138" t="s">
        <v>139</v>
      </c>
      <c r="E559" s="139" t="s">
        <v>692</v>
      </c>
      <c r="F559" s="140" t="s">
        <v>693</v>
      </c>
      <c r="G559" s="141" t="s">
        <v>187</v>
      </c>
      <c r="H559" s="142">
        <v>0.63</v>
      </c>
      <c r="I559" s="318">
        <v>0</v>
      </c>
      <c r="J559" s="143">
        <f>ROUND(I559*H559,2)</f>
        <v>0</v>
      </c>
      <c r="K559" s="140" t="s">
        <v>143</v>
      </c>
      <c r="L559" s="195"/>
      <c r="M559" s="144"/>
      <c r="N559" s="145"/>
      <c r="O559" s="146"/>
      <c r="P559" s="146"/>
      <c r="Q559" s="146"/>
      <c r="R559" s="146"/>
      <c r="S559" s="146"/>
      <c r="T559" s="147"/>
      <c r="U559" s="30"/>
      <c r="V559" s="30"/>
      <c r="W559" s="30"/>
      <c r="X559" s="30"/>
      <c r="Y559" s="30"/>
      <c r="Z559" s="30"/>
      <c r="AA559" s="30"/>
      <c r="AB559" s="30"/>
      <c r="AC559" s="30"/>
      <c r="AD559" s="30"/>
      <c r="AE559" s="30"/>
      <c r="AR559" s="148" t="s">
        <v>205</v>
      </c>
      <c r="AT559" s="148" t="s">
        <v>139</v>
      </c>
      <c r="AU559" s="148" t="s">
        <v>82</v>
      </c>
      <c r="AY559" s="18" t="s">
        <v>137</v>
      </c>
      <c r="BE559" s="149">
        <f>IF(N559="základní",J561,0)</f>
        <v>0</v>
      </c>
      <c r="BF559" s="149">
        <f>IF(N559="snížená",J561,0)</f>
        <v>0</v>
      </c>
      <c r="BG559" s="149">
        <f>IF(N559="zákl. přenesená",J561,0)</f>
        <v>0</v>
      </c>
      <c r="BH559" s="149">
        <f>IF(N559="sníž. přenesená",J561,0)</f>
        <v>0</v>
      </c>
      <c r="BI559" s="149">
        <f>IF(N559="nulová",J561,0)</f>
        <v>0</v>
      </c>
      <c r="BJ559" s="18" t="s">
        <v>80</v>
      </c>
      <c r="BK559" s="149">
        <f>ROUND(I561*H561,2)</f>
        <v>0</v>
      </c>
      <c r="BL559" s="18" t="s">
        <v>205</v>
      </c>
      <c r="BM559" s="148" t="s">
        <v>699</v>
      </c>
    </row>
    <row r="560" spans="1:65" s="14" customFormat="1" ht="13.2">
      <c r="B560" s="160"/>
      <c r="C560" s="12"/>
      <c r="D560" s="126" t="s">
        <v>71</v>
      </c>
      <c r="E560" s="135" t="s">
        <v>695</v>
      </c>
      <c r="F560" s="135" t="s">
        <v>696</v>
      </c>
      <c r="G560" s="12"/>
      <c r="H560" s="12"/>
      <c r="I560" s="12"/>
      <c r="J560" s="136">
        <f>SUM(J561:J572)</f>
        <v>0</v>
      </c>
      <c r="K560" s="12"/>
      <c r="L560" s="160"/>
      <c r="M560" s="164"/>
      <c r="N560" s="165"/>
      <c r="O560" s="165"/>
      <c r="P560" s="165"/>
      <c r="Q560" s="165"/>
      <c r="R560" s="165"/>
      <c r="S560" s="165"/>
      <c r="T560" s="166"/>
      <c r="AT560" s="161" t="s">
        <v>152</v>
      </c>
      <c r="AU560" s="161" t="s">
        <v>82</v>
      </c>
      <c r="AV560" s="14" t="s">
        <v>82</v>
      </c>
      <c r="AW560" s="14" t="s">
        <v>28</v>
      </c>
      <c r="AX560" s="14" t="s">
        <v>72</v>
      </c>
      <c r="AY560" s="161" t="s">
        <v>137</v>
      </c>
    </row>
    <row r="561" spans="1:65" s="15" customFormat="1" ht="11.4">
      <c r="B561" s="167"/>
      <c r="C561" s="138">
        <v>153</v>
      </c>
      <c r="D561" s="138" t="s">
        <v>139</v>
      </c>
      <c r="E561" s="139" t="s">
        <v>697</v>
      </c>
      <c r="F561" s="140" t="s">
        <v>698</v>
      </c>
      <c r="G561" s="141" t="s">
        <v>142</v>
      </c>
      <c r="H561" s="280">
        <f>H563</f>
        <v>158.256</v>
      </c>
      <c r="I561" s="318">
        <v>0</v>
      </c>
      <c r="J561" s="143">
        <f>ROUND(I561*H561,2)</f>
        <v>0</v>
      </c>
      <c r="K561" s="140" t="s">
        <v>143</v>
      </c>
      <c r="L561" s="167"/>
      <c r="M561" s="171"/>
      <c r="N561" s="172"/>
      <c r="O561" s="172"/>
      <c r="P561" s="172"/>
      <c r="Q561" s="172"/>
      <c r="R561" s="172"/>
      <c r="S561" s="172"/>
      <c r="T561" s="173"/>
      <c r="AT561" s="168" t="s">
        <v>152</v>
      </c>
      <c r="AU561" s="168" t="s">
        <v>82</v>
      </c>
      <c r="AV561" s="15" t="s">
        <v>144</v>
      </c>
      <c r="AW561" s="15" t="s">
        <v>28</v>
      </c>
      <c r="AX561" s="15" t="s">
        <v>80</v>
      </c>
      <c r="AY561" s="168" t="s">
        <v>137</v>
      </c>
    </row>
    <row r="562" spans="1:65" s="2" customFormat="1" ht="16.5" customHeight="1">
      <c r="A562" s="30"/>
      <c r="B562" s="137"/>
      <c r="C562" s="14"/>
      <c r="D562" s="150" t="s">
        <v>152</v>
      </c>
      <c r="E562" s="161" t="s">
        <v>1</v>
      </c>
      <c r="F562" s="204" t="s">
        <v>822</v>
      </c>
      <c r="G562" s="14"/>
      <c r="H562" s="279">
        <f>(2*3.14*0.25)*((4*17+0.7*4)+(1.5*20))</f>
        <v>158.256</v>
      </c>
      <c r="I562" s="14"/>
      <c r="J562" s="14"/>
      <c r="K562" s="14"/>
      <c r="L562" s="195"/>
      <c r="M562" s="144"/>
      <c r="N562" s="145"/>
      <c r="O562" s="146"/>
      <c r="P562" s="146"/>
      <c r="Q562" s="146"/>
      <c r="R562" s="146"/>
      <c r="S562" s="146"/>
      <c r="T562" s="147"/>
      <c r="U562" s="30"/>
      <c r="V562" s="30"/>
      <c r="W562" s="30"/>
      <c r="X562" s="30"/>
      <c r="Y562" s="30"/>
      <c r="Z562" s="30"/>
      <c r="AA562" s="30"/>
      <c r="AB562" s="30"/>
      <c r="AC562" s="30"/>
      <c r="AD562" s="30"/>
      <c r="AE562" s="30"/>
      <c r="AR562" s="148" t="s">
        <v>205</v>
      </c>
      <c r="AT562" s="148" t="s">
        <v>139</v>
      </c>
      <c r="AU562" s="148" t="s">
        <v>82</v>
      </c>
      <c r="AY562" s="18" t="s">
        <v>137</v>
      </c>
      <c r="BE562" s="149">
        <f>IF(N562="základní",J564,0)</f>
        <v>0</v>
      </c>
      <c r="BF562" s="149">
        <f>IF(N562="snížená",J564,0)</f>
        <v>0</v>
      </c>
      <c r="BG562" s="149">
        <f>IF(N562="zákl. přenesená",J564,0)</f>
        <v>0</v>
      </c>
      <c r="BH562" s="149">
        <f>IF(N562="sníž. přenesená",J564,0)</f>
        <v>0</v>
      </c>
      <c r="BI562" s="149">
        <f>IF(N562="nulová",J564,0)</f>
        <v>0</v>
      </c>
      <c r="BJ562" s="18" t="s">
        <v>80</v>
      </c>
      <c r="BK562" s="149">
        <f>ROUND(I564*H564,2)</f>
        <v>0</v>
      </c>
      <c r="BL562" s="18" t="s">
        <v>205</v>
      </c>
      <c r="BM562" s="148" t="s">
        <v>702</v>
      </c>
    </row>
    <row r="563" spans="1:65" s="14" customFormat="1">
      <c r="B563" s="160"/>
      <c r="C563" s="15"/>
      <c r="D563" s="150" t="s">
        <v>152</v>
      </c>
      <c r="E563" s="168" t="s">
        <v>1</v>
      </c>
      <c r="F563" s="169" t="s">
        <v>157</v>
      </c>
      <c r="G563" s="15"/>
      <c r="H563" s="170">
        <f>H562</f>
        <v>158.256</v>
      </c>
      <c r="I563" s="15"/>
      <c r="J563" s="15"/>
      <c r="K563" s="15"/>
      <c r="L563" s="160"/>
      <c r="M563" s="164"/>
      <c r="N563" s="165"/>
      <c r="O563" s="165"/>
      <c r="P563" s="165"/>
      <c r="Q563" s="165"/>
      <c r="R563" s="165"/>
      <c r="S563" s="165"/>
      <c r="T563" s="166"/>
      <c r="AT563" s="161" t="s">
        <v>152</v>
      </c>
      <c r="AU563" s="161" t="s">
        <v>82</v>
      </c>
      <c r="AV563" s="14" t="s">
        <v>82</v>
      </c>
      <c r="AW563" s="14" t="s">
        <v>28</v>
      </c>
      <c r="AX563" s="14" t="s">
        <v>72</v>
      </c>
      <c r="AY563" s="161" t="s">
        <v>137</v>
      </c>
    </row>
    <row r="564" spans="1:65" s="15" customFormat="1" ht="11.4">
      <c r="B564" s="167"/>
      <c r="C564" s="138">
        <v>154</v>
      </c>
      <c r="D564" s="138" t="s">
        <v>139</v>
      </c>
      <c r="E564" s="139" t="s">
        <v>700</v>
      </c>
      <c r="F564" s="140" t="s">
        <v>701</v>
      </c>
      <c r="G564" s="141" t="s">
        <v>142</v>
      </c>
      <c r="H564" s="280">
        <f>H565</f>
        <v>158.256</v>
      </c>
      <c r="I564" s="318">
        <v>0</v>
      </c>
      <c r="J564" s="143">
        <f>ROUND(I564*H564,2)</f>
        <v>0</v>
      </c>
      <c r="K564" s="140" t="s">
        <v>143</v>
      </c>
      <c r="L564" s="167"/>
      <c r="M564" s="171"/>
      <c r="N564" s="172"/>
      <c r="O564" s="172"/>
      <c r="P564" s="172"/>
      <c r="Q564" s="172"/>
      <c r="R564" s="172"/>
      <c r="S564" s="172"/>
      <c r="T564" s="173"/>
      <c r="AT564" s="168" t="s">
        <v>152</v>
      </c>
      <c r="AU564" s="168" t="s">
        <v>82</v>
      </c>
      <c r="AV564" s="15" t="s">
        <v>144</v>
      </c>
      <c r="AW564" s="15" t="s">
        <v>28</v>
      </c>
      <c r="AX564" s="15" t="s">
        <v>80</v>
      </c>
      <c r="AY564" s="168" t="s">
        <v>137</v>
      </c>
    </row>
    <row r="565" spans="1:65" s="2" customFormat="1" ht="16.5" customHeight="1">
      <c r="A565" s="30"/>
      <c r="B565" s="137"/>
      <c r="C565" s="14"/>
      <c r="D565" s="150" t="s">
        <v>152</v>
      </c>
      <c r="E565" s="161" t="s">
        <v>1</v>
      </c>
      <c r="F565" s="204" t="s">
        <v>823</v>
      </c>
      <c r="G565" s="14"/>
      <c r="H565" s="279">
        <f>H562</f>
        <v>158.256</v>
      </c>
      <c r="I565" s="14"/>
      <c r="J565" s="14"/>
      <c r="K565" s="14"/>
      <c r="L565" s="195"/>
      <c r="M565" s="144"/>
      <c r="N565" s="145"/>
      <c r="O565" s="146"/>
      <c r="P565" s="146"/>
      <c r="Q565" s="146"/>
      <c r="R565" s="146"/>
      <c r="S565" s="146"/>
      <c r="T565" s="147"/>
      <c r="U565" s="30"/>
      <c r="V565" s="30"/>
      <c r="W565" s="30"/>
      <c r="X565" s="30"/>
      <c r="Y565" s="30"/>
      <c r="Z565" s="30"/>
      <c r="AA565" s="30"/>
      <c r="AB565" s="30"/>
      <c r="AC565" s="30"/>
      <c r="AD565" s="30"/>
      <c r="AE565" s="30"/>
      <c r="AR565" s="148" t="s">
        <v>205</v>
      </c>
      <c r="AT565" s="148" t="s">
        <v>139</v>
      </c>
      <c r="AU565" s="148" t="s">
        <v>82</v>
      </c>
      <c r="AY565" s="18" t="s">
        <v>137</v>
      </c>
      <c r="BE565" s="149">
        <f>IF(N565="základní",J567,0)</f>
        <v>0</v>
      </c>
      <c r="BF565" s="149">
        <f>IF(N565="snížená",J567,0)</f>
        <v>0</v>
      </c>
      <c r="BG565" s="149">
        <f>IF(N565="zákl. přenesená",J567,0)</f>
        <v>0</v>
      </c>
      <c r="BH565" s="149">
        <f>IF(N565="sníž. přenesená",J567,0)</f>
        <v>0</v>
      </c>
      <c r="BI565" s="149">
        <f>IF(N565="nulová",J567,0)</f>
        <v>0</v>
      </c>
      <c r="BJ565" s="18" t="s">
        <v>80</v>
      </c>
      <c r="BK565" s="149">
        <f>ROUND(I567*H567,2)</f>
        <v>0</v>
      </c>
      <c r="BL565" s="18" t="s">
        <v>205</v>
      </c>
      <c r="BM565" s="148" t="s">
        <v>705</v>
      </c>
    </row>
    <row r="566" spans="1:65" s="14" customFormat="1">
      <c r="B566" s="160"/>
      <c r="C566" s="15"/>
      <c r="D566" s="150" t="s">
        <v>152</v>
      </c>
      <c r="E566" s="168" t="s">
        <v>1</v>
      </c>
      <c r="F566" s="169" t="s">
        <v>157</v>
      </c>
      <c r="G566" s="15"/>
      <c r="H566" s="170">
        <f>H565</f>
        <v>158.256</v>
      </c>
      <c r="I566" s="15"/>
      <c r="J566" s="15"/>
      <c r="K566" s="15"/>
      <c r="L566" s="160"/>
      <c r="M566" s="164"/>
      <c r="N566" s="165"/>
      <c r="O566" s="165"/>
      <c r="P566" s="165"/>
      <c r="Q566" s="165"/>
      <c r="R566" s="165"/>
      <c r="S566" s="165"/>
      <c r="T566" s="166"/>
      <c r="AT566" s="161" t="s">
        <v>152</v>
      </c>
      <c r="AU566" s="161" t="s">
        <v>82</v>
      </c>
      <c r="AV566" s="14" t="s">
        <v>82</v>
      </c>
      <c r="AW566" s="14" t="s">
        <v>28</v>
      </c>
      <c r="AX566" s="14" t="s">
        <v>72</v>
      </c>
      <c r="AY566" s="161" t="s">
        <v>137</v>
      </c>
    </row>
    <row r="567" spans="1:65" s="15" customFormat="1" ht="11.4">
      <c r="B567" s="167"/>
      <c r="C567" s="138">
        <v>155</v>
      </c>
      <c r="D567" s="138" t="s">
        <v>139</v>
      </c>
      <c r="E567" s="139" t="s">
        <v>703</v>
      </c>
      <c r="F567" s="140" t="s">
        <v>704</v>
      </c>
      <c r="G567" s="141" t="s">
        <v>142</v>
      </c>
      <c r="H567" s="280">
        <f>H568</f>
        <v>158.256</v>
      </c>
      <c r="I567" s="318">
        <v>0</v>
      </c>
      <c r="J567" s="143">
        <f>ROUND(I567*H567,2)</f>
        <v>0</v>
      </c>
      <c r="K567" s="140" t="s">
        <v>143</v>
      </c>
      <c r="L567" s="167"/>
      <c r="M567" s="171"/>
      <c r="N567" s="172"/>
      <c r="O567" s="172"/>
      <c r="P567" s="172"/>
      <c r="Q567" s="172"/>
      <c r="R567" s="172"/>
      <c r="S567" s="172"/>
      <c r="T567" s="173"/>
      <c r="AT567" s="168" t="s">
        <v>152</v>
      </c>
      <c r="AU567" s="168" t="s">
        <v>82</v>
      </c>
      <c r="AV567" s="15" t="s">
        <v>144</v>
      </c>
      <c r="AW567" s="15" t="s">
        <v>28</v>
      </c>
      <c r="AX567" s="15" t="s">
        <v>80</v>
      </c>
      <c r="AY567" s="168" t="s">
        <v>137</v>
      </c>
    </row>
    <row r="568" spans="1:65" s="2" customFormat="1" ht="16.5" customHeight="1">
      <c r="A568" s="30"/>
      <c r="B568" s="137"/>
      <c r="C568" s="14"/>
      <c r="D568" s="150" t="s">
        <v>152</v>
      </c>
      <c r="E568" s="161" t="s">
        <v>1</v>
      </c>
      <c r="F568" s="204" t="s">
        <v>823</v>
      </c>
      <c r="G568" s="14"/>
      <c r="H568" s="279">
        <f>H565</f>
        <v>158.256</v>
      </c>
      <c r="I568" s="14"/>
      <c r="J568" s="14"/>
      <c r="K568" s="14"/>
      <c r="L568" s="195"/>
      <c r="M568" s="144"/>
      <c r="N568" s="145"/>
      <c r="O568" s="146"/>
      <c r="P568" s="146"/>
      <c r="Q568" s="146"/>
      <c r="R568" s="146"/>
      <c r="S568" s="146"/>
      <c r="T568" s="147"/>
      <c r="U568" s="30"/>
      <c r="V568" s="30"/>
      <c r="W568" s="30"/>
      <c r="X568" s="30"/>
      <c r="Y568" s="30"/>
      <c r="Z568" s="30"/>
      <c r="AA568" s="30"/>
      <c r="AB568" s="30"/>
      <c r="AC568" s="30"/>
      <c r="AD568" s="30"/>
      <c r="AE568" s="30"/>
      <c r="AR568" s="148" t="s">
        <v>205</v>
      </c>
      <c r="AT568" s="148" t="s">
        <v>139</v>
      </c>
      <c r="AU568" s="148" t="s">
        <v>82</v>
      </c>
      <c r="AY568" s="18" t="s">
        <v>137</v>
      </c>
      <c r="BE568" s="149">
        <f>IF(N568="základní",J570,0)</f>
        <v>0</v>
      </c>
      <c r="BF568" s="149">
        <f>IF(N568="snížená",J570,0)</f>
        <v>0</v>
      </c>
      <c r="BG568" s="149">
        <f>IF(N568="zákl. přenesená",J570,0)</f>
        <v>0</v>
      </c>
      <c r="BH568" s="149">
        <f>IF(N568="sníž. přenesená",J570,0)</f>
        <v>0</v>
      </c>
      <c r="BI568" s="149">
        <f>IF(N568="nulová",J570,0)</f>
        <v>0</v>
      </c>
      <c r="BJ568" s="18" t="s">
        <v>80</v>
      </c>
      <c r="BK568" s="149">
        <f>ROUND(I570*H570,2)</f>
        <v>0</v>
      </c>
      <c r="BL568" s="18" t="s">
        <v>205</v>
      </c>
      <c r="BM568" s="148" t="s">
        <v>708</v>
      </c>
    </row>
    <row r="569" spans="1:65" s="14" customFormat="1">
      <c r="B569" s="160"/>
      <c r="C569" s="15"/>
      <c r="D569" s="150" t="s">
        <v>152</v>
      </c>
      <c r="E569" s="168" t="s">
        <v>1</v>
      </c>
      <c r="F569" s="169" t="s">
        <v>157</v>
      </c>
      <c r="G569" s="15"/>
      <c r="H569" s="170">
        <f>H568</f>
        <v>158.256</v>
      </c>
      <c r="I569" s="15"/>
      <c r="J569" s="15"/>
      <c r="K569" s="15"/>
      <c r="L569" s="160"/>
      <c r="M569" s="164"/>
      <c r="N569" s="165"/>
      <c r="O569" s="165"/>
      <c r="P569" s="165"/>
      <c r="Q569" s="165"/>
      <c r="R569" s="165"/>
      <c r="S569" s="165"/>
      <c r="T569" s="166"/>
      <c r="AT569" s="161" t="s">
        <v>152</v>
      </c>
      <c r="AU569" s="161" t="s">
        <v>82</v>
      </c>
      <c r="AV569" s="14" t="s">
        <v>82</v>
      </c>
      <c r="AW569" s="14" t="s">
        <v>3</v>
      </c>
      <c r="AX569" s="14" t="s">
        <v>80</v>
      </c>
      <c r="AY569" s="161" t="s">
        <v>137</v>
      </c>
    </row>
    <row r="570" spans="1:65" s="2" customFormat="1" ht="16.5" customHeight="1">
      <c r="A570" s="30"/>
      <c r="B570" s="137"/>
      <c r="C570" s="138">
        <v>156</v>
      </c>
      <c r="D570" s="138" t="s">
        <v>139</v>
      </c>
      <c r="E570" s="139" t="s">
        <v>706</v>
      </c>
      <c r="F570" s="140" t="s">
        <v>707</v>
      </c>
      <c r="G570" s="141" t="s">
        <v>142</v>
      </c>
      <c r="H570" s="280">
        <f>H571</f>
        <v>159.80000000000001</v>
      </c>
      <c r="I570" s="318">
        <v>0</v>
      </c>
      <c r="J570" s="143">
        <f>ROUND(I570*H570,2)</f>
        <v>0</v>
      </c>
      <c r="K570" s="140" t="s">
        <v>143</v>
      </c>
      <c r="L570" s="195"/>
      <c r="M570" s="144"/>
      <c r="N570" s="145"/>
      <c r="O570" s="146"/>
      <c r="P570" s="146"/>
      <c r="Q570" s="146"/>
      <c r="R570" s="146"/>
      <c r="S570" s="146"/>
      <c r="T570" s="147"/>
      <c r="U570" s="30"/>
      <c r="V570" s="30"/>
      <c r="W570" s="30"/>
      <c r="X570" s="30"/>
      <c r="Y570" s="30"/>
      <c r="Z570" s="30"/>
      <c r="AA570" s="30"/>
      <c r="AB570" s="30"/>
      <c r="AC570" s="30"/>
      <c r="AD570" s="30"/>
      <c r="AE570" s="30"/>
      <c r="AR570" s="148" t="s">
        <v>205</v>
      </c>
      <c r="AT570" s="148" t="s">
        <v>139</v>
      </c>
      <c r="AU570" s="148" t="s">
        <v>82</v>
      </c>
      <c r="AY570" s="18" t="s">
        <v>137</v>
      </c>
      <c r="BE570" s="149">
        <f>IF(N570="základní",J572,0)</f>
        <v>0</v>
      </c>
      <c r="BF570" s="149">
        <f>IF(N570="snížená",J572,0)</f>
        <v>0</v>
      </c>
      <c r="BG570" s="149">
        <f>IF(N570="zákl. přenesená",J572,0)</f>
        <v>0</v>
      </c>
      <c r="BH570" s="149">
        <f>IF(N570="sníž. přenesená",J572,0)</f>
        <v>0</v>
      </c>
      <c r="BI570" s="149">
        <f>IF(N570="nulová",J572,0)</f>
        <v>0</v>
      </c>
      <c r="BJ570" s="18" t="s">
        <v>80</v>
      </c>
      <c r="BK570" s="149">
        <f>ROUND(I572*H572,2)</f>
        <v>0</v>
      </c>
      <c r="BL570" s="18" t="s">
        <v>205</v>
      </c>
      <c r="BM570" s="148" t="s">
        <v>711</v>
      </c>
    </row>
    <row r="571" spans="1:65" s="12" customFormat="1" ht="22.95" customHeight="1">
      <c r="B571" s="125"/>
      <c r="C571" s="14"/>
      <c r="D571" s="150" t="s">
        <v>152</v>
      </c>
      <c r="E571" s="14"/>
      <c r="F571" s="204" t="s">
        <v>806</v>
      </c>
      <c r="G571" s="14"/>
      <c r="H571" s="208">
        <f>79.9*2</f>
        <v>159.80000000000001</v>
      </c>
      <c r="I571" s="14"/>
      <c r="J571" s="14"/>
      <c r="K571" s="14"/>
      <c r="L571" s="125"/>
      <c r="M571" s="129"/>
      <c r="N571" s="130"/>
      <c r="O571" s="130"/>
      <c r="P571" s="131">
        <f>SUM(P572:P578)</f>
        <v>36.706090000000003</v>
      </c>
      <c r="Q571" s="130"/>
      <c r="R571" s="131">
        <f>SUM(R572:R578)</f>
        <v>0.27736329999999998</v>
      </c>
      <c r="S571" s="130"/>
      <c r="T571" s="132">
        <f>SUM(T572:T578)</f>
        <v>5.7272499999999997E-2</v>
      </c>
      <c r="AR571" s="126" t="s">
        <v>82</v>
      </c>
      <c r="AT571" s="133" t="s">
        <v>71</v>
      </c>
      <c r="AU571" s="133" t="s">
        <v>80</v>
      </c>
      <c r="AY571" s="126" t="s">
        <v>137</v>
      </c>
      <c r="BK571" s="134">
        <f>SUM(BK572:BK578)</f>
        <v>0</v>
      </c>
    </row>
    <row r="572" spans="1:65" s="2" customFormat="1" ht="16.5" customHeight="1">
      <c r="A572" s="30"/>
      <c r="B572" s="137"/>
      <c r="C572" s="138">
        <v>157</v>
      </c>
      <c r="D572" s="138" t="s">
        <v>139</v>
      </c>
      <c r="E572" s="139" t="s">
        <v>709</v>
      </c>
      <c r="F572" s="140" t="s">
        <v>710</v>
      </c>
      <c r="G572" s="141" t="s">
        <v>142</v>
      </c>
      <c r="H572" s="142">
        <v>30.35</v>
      </c>
      <c r="I572" s="318">
        <v>0</v>
      </c>
      <c r="J572" s="143">
        <f>ROUND(I572*H572,2)</f>
        <v>0</v>
      </c>
      <c r="K572" s="140" t="s">
        <v>143</v>
      </c>
      <c r="L572" s="195"/>
      <c r="M572" s="144" t="s">
        <v>1</v>
      </c>
      <c r="N572" s="145" t="s">
        <v>37</v>
      </c>
      <c r="O572" s="146">
        <v>7.3999999999999996E-2</v>
      </c>
      <c r="P572" s="146">
        <f>O572*H574</f>
        <v>13.6715</v>
      </c>
      <c r="Q572" s="146">
        <v>1E-3</v>
      </c>
      <c r="R572" s="146">
        <f>Q572*H574</f>
        <v>0.18475</v>
      </c>
      <c r="S572" s="146">
        <v>3.1E-4</v>
      </c>
      <c r="T572" s="147">
        <f>S572*H574</f>
        <v>5.7272499999999997E-2</v>
      </c>
      <c r="U572" s="30"/>
      <c r="V572" s="30"/>
      <c r="W572" s="30"/>
      <c r="X572" s="30"/>
      <c r="Y572" s="30"/>
      <c r="Z572" s="30"/>
      <c r="AA572" s="30"/>
      <c r="AB572" s="30"/>
      <c r="AC572" s="30"/>
      <c r="AD572" s="30"/>
      <c r="AE572" s="30"/>
      <c r="AR572" s="148" t="s">
        <v>205</v>
      </c>
      <c r="AT572" s="148" t="s">
        <v>139</v>
      </c>
      <c r="AU572" s="148" t="s">
        <v>82</v>
      </c>
      <c r="AY572" s="18" t="s">
        <v>137</v>
      </c>
      <c r="BE572" s="149">
        <f>IF(N572="základní",J574,0)</f>
        <v>0</v>
      </c>
      <c r="BF572" s="149">
        <f>IF(N572="snížená",J574,0)</f>
        <v>0</v>
      </c>
      <c r="BG572" s="149">
        <f>IF(N572="zákl. přenesená",J574,0)</f>
        <v>0</v>
      </c>
      <c r="BH572" s="149">
        <f>IF(N572="sníž. přenesená",J574,0)</f>
        <v>0</v>
      </c>
      <c r="BI572" s="149">
        <f>IF(N572="nulová",J574,0)</f>
        <v>0</v>
      </c>
      <c r="BJ572" s="18" t="s">
        <v>80</v>
      </c>
      <c r="BK572" s="149">
        <f>ROUND(I574*H574,2)</f>
        <v>0</v>
      </c>
      <c r="BL572" s="18" t="s">
        <v>205</v>
      </c>
      <c r="BM572" s="148" t="s">
        <v>716</v>
      </c>
    </row>
    <row r="573" spans="1:65" s="13" customFormat="1" ht="13.2">
      <c r="B573" s="154"/>
      <c r="C573" s="12"/>
      <c r="D573" s="126" t="s">
        <v>71</v>
      </c>
      <c r="E573" s="135" t="s">
        <v>712</v>
      </c>
      <c r="F573" s="135" t="s">
        <v>713</v>
      </c>
      <c r="G573" s="12"/>
      <c r="H573" s="12"/>
      <c r="I573" s="12"/>
      <c r="J573" s="136">
        <f>SUM(J574:J580)</f>
        <v>0</v>
      </c>
      <c r="K573" s="12"/>
      <c r="L573" s="195"/>
      <c r="M573" s="157"/>
      <c r="N573" s="158"/>
      <c r="O573" s="158"/>
      <c r="P573" s="158"/>
      <c r="Q573" s="158"/>
      <c r="R573" s="158"/>
      <c r="S573" s="158"/>
      <c r="T573" s="159"/>
      <c r="AT573" s="155" t="s">
        <v>152</v>
      </c>
      <c r="AU573" s="155" t="s">
        <v>82</v>
      </c>
      <c r="AV573" s="13" t="s">
        <v>80</v>
      </c>
      <c r="AW573" s="13" t="s">
        <v>28</v>
      </c>
      <c r="AX573" s="13" t="s">
        <v>72</v>
      </c>
      <c r="AY573" s="155" t="s">
        <v>137</v>
      </c>
    </row>
    <row r="574" spans="1:65" s="14" customFormat="1" ht="11.4">
      <c r="B574" s="160"/>
      <c r="C574" s="138">
        <v>158</v>
      </c>
      <c r="D574" s="138" t="s">
        <v>139</v>
      </c>
      <c r="E574" s="139" t="s">
        <v>714</v>
      </c>
      <c r="F574" s="140" t="s">
        <v>715</v>
      </c>
      <c r="G574" s="141" t="s">
        <v>142</v>
      </c>
      <c r="H574" s="142">
        <v>184.75</v>
      </c>
      <c r="I574" s="318">
        <v>0</v>
      </c>
      <c r="J574" s="143">
        <f>ROUND(I574*H574,2)</f>
        <v>0</v>
      </c>
      <c r="K574" s="140" t="s">
        <v>143</v>
      </c>
      <c r="L574" s="195"/>
      <c r="M574" s="164"/>
      <c r="N574" s="165"/>
      <c r="O574" s="165"/>
      <c r="P574" s="165"/>
      <c r="Q574" s="165"/>
      <c r="R574" s="165"/>
      <c r="S574" s="165"/>
      <c r="T574" s="166"/>
      <c r="AT574" s="161" t="s">
        <v>152</v>
      </c>
      <c r="AU574" s="161" t="s">
        <v>82</v>
      </c>
      <c r="AV574" s="14" t="s">
        <v>82</v>
      </c>
      <c r="AW574" s="14" t="s">
        <v>28</v>
      </c>
      <c r="AX574" s="14" t="s">
        <v>72</v>
      </c>
      <c r="AY574" s="161" t="s">
        <v>137</v>
      </c>
    </row>
    <row r="575" spans="1:65" s="14" customFormat="1">
      <c r="B575" s="160"/>
      <c r="C575" s="13"/>
      <c r="D575" s="150" t="s">
        <v>152</v>
      </c>
      <c r="E575" s="155" t="s">
        <v>1</v>
      </c>
      <c r="F575" s="156" t="s">
        <v>411</v>
      </c>
      <c r="G575" s="13"/>
      <c r="H575" s="155" t="s">
        <v>1</v>
      </c>
      <c r="I575" s="13"/>
      <c r="J575" s="13"/>
      <c r="K575" s="13"/>
      <c r="L575" s="195"/>
      <c r="M575" s="164"/>
      <c r="N575" s="165"/>
      <c r="O575" s="165"/>
      <c r="P575" s="165"/>
      <c r="Q575" s="165"/>
      <c r="R575" s="165"/>
      <c r="S575" s="165"/>
      <c r="T575" s="166"/>
      <c r="AT575" s="161" t="s">
        <v>152</v>
      </c>
      <c r="AU575" s="161" t="s">
        <v>82</v>
      </c>
      <c r="AV575" s="14" t="s">
        <v>82</v>
      </c>
      <c r="AW575" s="14" t="s">
        <v>28</v>
      </c>
      <c r="AX575" s="14" t="s">
        <v>72</v>
      </c>
      <c r="AY575" s="161" t="s">
        <v>137</v>
      </c>
    </row>
    <row r="576" spans="1:65" s="15" customFormat="1">
      <c r="B576" s="167"/>
      <c r="C576" s="14"/>
      <c r="D576" s="150" t="s">
        <v>152</v>
      </c>
      <c r="E576" s="161" t="s">
        <v>1</v>
      </c>
      <c r="F576" s="162" t="s">
        <v>412</v>
      </c>
      <c r="G576" s="14"/>
      <c r="H576" s="163">
        <v>30.35</v>
      </c>
      <c r="I576" s="14"/>
      <c r="J576" s="14"/>
      <c r="K576" s="14"/>
      <c r="L576" s="195"/>
      <c r="M576" s="171"/>
      <c r="N576" s="172"/>
      <c r="O576" s="172"/>
      <c r="P576" s="172"/>
      <c r="Q576" s="172"/>
      <c r="R576" s="172"/>
      <c r="S576" s="172"/>
      <c r="T576" s="173"/>
      <c r="AT576" s="168" t="s">
        <v>152</v>
      </c>
      <c r="AU576" s="168" t="s">
        <v>82</v>
      </c>
      <c r="AV576" s="15" t="s">
        <v>144</v>
      </c>
      <c r="AW576" s="15" t="s">
        <v>28</v>
      </c>
      <c r="AX576" s="15" t="s">
        <v>80</v>
      </c>
      <c r="AY576" s="168" t="s">
        <v>137</v>
      </c>
    </row>
    <row r="577" spans="1:65" s="2" customFormat="1" ht="16.5" customHeight="1">
      <c r="A577" s="30"/>
      <c r="B577" s="137"/>
      <c r="C577" s="14"/>
      <c r="D577" s="150" t="s">
        <v>152</v>
      </c>
      <c r="E577" s="161" t="s">
        <v>1</v>
      </c>
      <c r="F577" s="162" t="s">
        <v>446</v>
      </c>
      <c r="G577" s="14"/>
      <c r="H577" s="163">
        <v>154.4</v>
      </c>
      <c r="I577" s="14"/>
      <c r="J577" s="14"/>
      <c r="K577" s="14"/>
      <c r="L577" s="195"/>
      <c r="M577" s="144" t="s">
        <v>1</v>
      </c>
      <c r="N577" s="145" t="s">
        <v>37</v>
      </c>
      <c r="O577" s="146">
        <v>3.3000000000000002E-2</v>
      </c>
      <c r="P577" s="146">
        <f>O577*H579</f>
        <v>7.8365100000000005</v>
      </c>
      <c r="Q577" s="146">
        <v>1E-4</v>
      </c>
      <c r="R577" s="146">
        <f>Q577*H579</f>
        <v>2.3747000000000001E-2</v>
      </c>
      <c r="S577" s="146">
        <v>0</v>
      </c>
      <c r="T577" s="147">
        <f>S577*H579</f>
        <v>0</v>
      </c>
      <c r="U577" s="30"/>
      <c r="V577" s="30"/>
      <c r="W577" s="30"/>
      <c r="X577" s="30"/>
      <c r="Y577" s="30"/>
      <c r="Z577" s="30"/>
      <c r="AA577" s="30"/>
      <c r="AB577" s="30"/>
      <c r="AC577" s="30"/>
      <c r="AD577" s="30"/>
      <c r="AE577" s="30"/>
      <c r="AR577" s="148" t="s">
        <v>205</v>
      </c>
      <c r="AT577" s="148" t="s">
        <v>139</v>
      </c>
      <c r="AU577" s="148" t="s">
        <v>82</v>
      </c>
      <c r="AY577" s="18" t="s">
        <v>137</v>
      </c>
      <c r="BE577" s="149">
        <f>IF(N577="základní",J579,0)</f>
        <v>0</v>
      </c>
      <c r="BF577" s="149">
        <f>IF(N577="snížená",J579,0)</f>
        <v>0</v>
      </c>
      <c r="BG577" s="149">
        <f>IF(N577="zákl. přenesená",J579,0)</f>
        <v>0</v>
      </c>
      <c r="BH577" s="149">
        <f>IF(N577="sníž. přenesená",J579,0)</f>
        <v>0</v>
      </c>
      <c r="BI577" s="149">
        <f>IF(N577="nulová",J579,0)</f>
        <v>0</v>
      </c>
      <c r="BJ577" s="18" t="s">
        <v>80</v>
      </c>
      <c r="BK577" s="149">
        <f>ROUND(I579*H579,2)</f>
        <v>0</v>
      </c>
      <c r="BL577" s="18" t="s">
        <v>205</v>
      </c>
      <c r="BM577" s="148" t="s">
        <v>719</v>
      </c>
    </row>
    <row r="578" spans="1:65" s="2" customFormat="1" ht="16.5" customHeight="1">
      <c r="A578" s="30"/>
      <c r="B578" s="137"/>
      <c r="C578" s="15"/>
      <c r="D578" s="150" t="s">
        <v>152</v>
      </c>
      <c r="E578" s="168" t="s">
        <v>1</v>
      </c>
      <c r="F578" s="169" t="s">
        <v>157</v>
      </c>
      <c r="G578" s="15"/>
      <c r="H578" s="170">
        <v>184.75</v>
      </c>
      <c r="I578" s="15"/>
      <c r="J578" s="15"/>
      <c r="K578" s="15"/>
      <c r="L578" s="195"/>
      <c r="M578" s="144" t="s">
        <v>1</v>
      </c>
      <c r="N578" s="145" t="s">
        <v>37</v>
      </c>
      <c r="O578" s="146">
        <v>6.4000000000000001E-2</v>
      </c>
      <c r="P578" s="146">
        <f>O578*H580</f>
        <v>15.198080000000001</v>
      </c>
      <c r="Q578" s="146">
        <v>2.9E-4</v>
      </c>
      <c r="R578" s="146">
        <f>Q578*H580</f>
        <v>6.8866300000000005E-2</v>
      </c>
      <c r="S578" s="146">
        <v>0</v>
      </c>
      <c r="T578" s="147">
        <f>S578*H580</f>
        <v>0</v>
      </c>
      <c r="U578" s="30"/>
      <c r="V578" s="30"/>
      <c r="W578" s="30"/>
      <c r="X578" s="30"/>
      <c r="Y578" s="30"/>
      <c r="Z578" s="30"/>
      <c r="AA578" s="30"/>
      <c r="AB578" s="30"/>
      <c r="AC578" s="30"/>
      <c r="AD578" s="30"/>
      <c r="AE578" s="30"/>
      <c r="AR578" s="148" t="s">
        <v>205</v>
      </c>
      <c r="AT578" s="148" t="s">
        <v>139</v>
      </c>
      <c r="AU578" s="148" t="s">
        <v>82</v>
      </c>
      <c r="AY578" s="18" t="s">
        <v>137</v>
      </c>
      <c r="BE578" s="149">
        <f>IF(N578="základní",J580,0)</f>
        <v>0</v>
      </c>
      <c r="BF578" s="149">
        <f>IF(N578="snížená",J580,0)</f>
        <v>0</v>
      </c>
      <c r="BG578" s="149">
        <f>IF(N578="zákl. přenesená",J580,0)</f>
        <v>0</v>
      </c>
      <c r="BH578" s="149">
        <f>IF(N578="sníž. přenesená",J580,0)</f>
        <v>0</v>
      </c>
      <c r="BI578" s="149">
        <f>IF(N578="nulová",J580,0)</f>
        <v>0</v>
      </c>
      <c r="BJ578" s="18" t="s">
        <v>80</v>
      </c>
      <c r="BK578" s="149">
        <f>ROUND(I580*H580,2)</f>
        <v>0</v>
      </c>
      <c r="BL578" s="18" t="s">
        <v>205</v>
      </c>
      <c r="BM578" s="148" t="s">
        <v>722</v>
      </c>
    </row>
    <row r="579" spans="1:65" s="12" customFormat="1" ht="25.95" customHeight="1">
      <c r="B579" s="125"/>
      <c r="C579" s="138">
        <v>159</v>
      </c>
      <c r="D579" s="138" t="s">
        <v>139</v>
      </c>
      <c r="E579" s="139" t="s">
        <v>717</v>
      </c>
      <c r="F579" s="140" t="s">
        <v>718</v>
      </c>
      <c r="G579" s="141" t="s">
        <v>142</v>
      </c>
      <c r="H579" s="142">
        <v>237.47</v>
      </c>
      <c r="I579" s="318">
        <v>0</v>
      </c>
      <c r="J579" s="143">
        <f>ROUND(I579*H579,2)</f>
        <v>0</v>
      </c>
      <c r="K579" s="140" t="s">
        <v>143</v>
      </c>
      <c r="L579" s="125"/>
      <c r="M579" s="129"/>
      <c r="N579" s="130"/>
      <c r="O579" s="130"/>
      <c r="P579" s="131">
        <f>P580+P589+P592+P597+P602+P605</f>
        <v>0</v>
      </c>
      <c r="Q579" s="130"/>
      <c r="R579" s="131">
        <f>R580+R589+R592+R597+R602+R605</f>
        <v>0</v>
      </c>
      <c r="S579" s="130"/>
      <c r="T579" s="132">
        <f>T580+T589+T592+T597+T602+T605</f>
        <v>0</v>
      </c>
      <c r="AR579" s="126" t="s">
        <v>167</v>
      </c>
      <c r="AT579" s="133" t="s">
        <v>71</v>
      </c>
      <c r="AU579" s="133" t="s">
        <v>72</v>
      </c>
      <c r="AY579" s="126" t="s">
        <v>137</v>
      </c>
      <c r="BK579" s="134">
        <f>BK580+BK589+BK592+BK597+BK602+BK605</f>
        <v>0</v>
      </c>
    </row>
    <row r="580" spans="1:65" s="12" customFormat="1" ht="22.95" customHeight="1">
      <c r="B580" s="125"/>
      <c r="C580" s="138">
        <v>160</v>
      </c>
      <c r="D580" s="138" t="s">
        <v>139</v>
      </c>
      <c r="E580" s="139" t="s">
        <v>720</v>
      </c>
      <c r="F580" s="140" t="s">
        <v>721</v>
      </c>
      <c r="G580" s="141" t="s">
        <v>142</v>
      </c>
      <c r="H580" s="142">
        <v>237.47</v>
      </c>
      <c r="I580" s="318">
        <v>0</v>
      </c>
      <c r="J580" s="143">
        <f>ROUND(I580*H580,2)</f>
        <v>0</v>
      </c>
      <c r="K580" s="140" t="s">
        <v>143</v>
      </c>
      <c r="L580" s="125"/>
      <c r="M580" s="129"/>
      <c r="N580" s="130"/>
      <c r="O580" s="130"/>
      <c r="P580" s="131">
        <f>SUM(P581:P588)</f>
        <v>0</v>
      </c>
      <c r="Q580" s="130"/>
      <c r="R580" s="131">
        <f>SUM(R581:R588)</f>
        <v>0</v>
      </c>
      <c r="S580" s="130"/>
      <c r="T580" s="132">
        <f>SUM(T581:T588)</f>
        <v>0</v>
      </c>
      <c r="AR580" s="126" t="s">
        <v>167</v>
      </c>
      <c r="AT580" s="133" t="s">
        <v>71</v>
      </c>
      <c r="AU580" s="133" t="s">
        <v>80</v>
      </c>
      <c r="AY580" s="126" t="s">
        <v>137</v>
      </c>
      <c r="BK580" s="134">
        <f>SUM(BK581:BK588)</f>
        <v>0</v>
      </c>
    </row>
    <row r="581" spans="1:65" s="2" customFormat="1" ht="16.5" customHeight="1">
      <c r="A581" s="30"/>
      <c r="B581" s="137"/>
      <c r="C581" s="12"/>
      <c r="D581" s="126" t="s">
        <v>71</v>
      </c>
      <c r="E581" s="127" t="s">
        <v>723</v>
      </c>
      <c r="F581" s="127" t="s">
        <v>723</v>
      </c>
      <c r="G581" s="12"/>
      <c r="H581" s="12"/>
      <c r="I581" s="12"/>
      <c r="J581" s="312">
        <f>J582+J591+J594+J599+J604+J607</f>
        <v>0</v>
      </c>
      <c r="K581" s="12"/>
      <c r="L581" s="195"/>
      <c r="M581" s="144"/>
      <c r="N581" s="145"/>
      <c r="O581" s="146"/>
      <c r="P581" s="146"/>
      <c r="Q581" s="146"/>
      <c r="R581" s="146"/>
      <c r="S581" s="146"/>
      <c r="T581" s="147"/>
      <c r="U581" s="30"/>
      <c r="V581" s="30"/>
      <c r="W581" s="30"/>
      <c r="X581" s="30"/>
      <c r="Y581" s="30"/>
      <c r="Z581" s="30"/>
      <c r="AA581" s="30"/>
      <c r="AB581" s="30"/>
      <c r="AC581" s="30"/>
      <c r="AD581" s="30"/>
      <c r="AE581" s="30"/>
      <c r="AR581" s="148" t="s">
        <v>728</v>
      </c>
      <c r="AT581" s="148" t="s">
        <v>139</v>
      </c>
      <c r="AU581" s="148" t="s">
        <v>82</v>
      </c>
      <c r="AY581" s="18" t="s">
        <v>137</v>
      </c>
      <c r="BE581" s="149">
        <f>IF(N581="základní",J583,0)</f>
        <v>0</v>
      </c>
      <c r="BF581" s="149">
        <f>IF(N581="snížená",J583,0)</f>
        <v>0</v>
      </c>
      <c r="BG581" s="149">
        <f>IF(N581="zákl. přenesená",J583,0)</f>
        <v>0</v>
      </c>
      <c r="BH581" s="149">
        <f>IF(N581="sníž. přenesená",J583,0)</f>
        <v>0</v>
      </c>
      <c r="BI581" s="149">
        <f>IF(N581="nulová",J583,0)</f>
        <v>0</v>
      </c>
      <c r="BJ581" s="18" t="s">
        <v>80</v>
      </c>
      <c r="BK581" s="149">
        <f>ROUND(I583*H583,2)</f>
        <v>0</v>
      </c>
      <c r="BL581" s="18" t="s">
        <v>728</v>
      </c>
      <c r="BM581" s="148" t="s">
        <v>729</v>
      </c>
    </row>
    <row r="582" spans="1:65" s="2" customFormat="1" ht="16.5" customHeight="1">
      <c r="A582" s="30"/>
      <c r="B582" s="137"/>
      <c r="C582" s="12"/>
      <c r="D582" s="126" t="s">
        <v>71</v>
      </c>
      <c r="E582" s="135" t="s">
        <v>724</v>
      </c>
      <c r="F582" s="135" t="s">
        <v>725</v>
      </c>
      <c r="G582" s="12"/>
      <c r="H582" s="12"/>
      <c r="I582" s="12"/>
      <c r="J582" s="136">
        <f>SUM(J583:J589)</f>
        <v>0</v>
      </c>
      <c r="K582" s="12"/>
      <c r="L582" s="195"/>
      <c r="M582" s="144"/>
      <c r="N582" s="145"/>
      <c r="O582" s="146"/>
      <c r="P582" s="146"/>
      <c r="Q582" s="146"/>
      <c r="R582" s="146"/>
      <c r="S582" s="146"/>
      <c r="T582" s="147"/>
      <c r="U582" s="30"/>
      <c r="V582" s="149"/>
      <c r="W582" s="30"/>
      <c r="X582" s="30"/>
      <c r="Y582" s="30"/>
      <c r="Z582" s="30"/>
      <c r="AA582" s="30"/>
      <c r="AB582" s="30"/>
      <c r="AC582" s="30"/>
      <c r="AD582" s="30"/>
      <c r="AE582" s="30"/>
      <c r="AR582" s="148" t="s">
        <v>728</v>
      </c>
      <c r="AT582" s="148" t="s">
        <v>139</v>
      </c>
      <c r="AU582" s="148" t="s">
        <v>82</v>
      </c>
      <c r="AY582" s="18" t="s">
        <v>137</v>
      </c>
      <c r="BE582" s="149">
        <f>IF(N582="základní",J584,0)</f>
        <v>0</v>
      </c>
      <c r="BF582" s="149">
        <f>IF(N582="snížená",J584,0)</f>
        <v>0</v>
      </c>
      <c r="BG582" s="149">
        <f>IF(N582="zákl. přenesená",J584,0)</f>
        <v>0</v>
      </c>
      <c r="BH582" s="149">
        <f>IF(N582="sníž. přenesená",J584,0)</f>
        <v>0</v>
      </c>
      <c r="BI582" s="149">
        <f>IF(N582="nulová",J584,0)</f>
        <v>0</v>
      </c>
      <c r="BJ582" s="18" t="s">
        <v>80</v>
      </c>
      <c r="BK582" s="149">
        <f>ROUND(I584*H584,2)</f>
        <v>0</v>
      </c>
      <c r="BL582" s="18" t="s">
        <v>728</v>
      </c>
      <c r="BM582" s="148" t="s">
        <v>732</v>
      </c>
    </row>
    <row r="583" spans="1:65" s="2" customFormat="1" ht="11.4">
      <c r="A583" s="30"/>
      <c r="B583" s="31"/>
      <c r="C583" s="296">
        <v>161</v>
      </c>
      <c r="D583" s="296" t="s">
        <v>139</v>
      </c>
      <c r="E583" s="297" t="s">
        <v>726</v>
      </c>
      <c r="F583" s="193" t="s">
        <v>727</v>
      </c>
      <c r="G583" s="298" t="s">
        <v>477</v>
      </c>
      <c r="H583" s="280">
        <v>1</v>
      </c>
      <c r="I583" s="319">
        <v>0</v>
      </c>
      <c r="J583" s="281">
        <f>ROUND(I583*H583,2)</f>
        <v>0</v>
      </c>
      <c r="K583" s="193" t="s">
        <v>143</v>
      </c>
      <c r="L583" s="31"/>
      <c r="M583" s="152"/>
      <c r="N583" s="153"/>
      <c r="O583" s="56"/>
      <c r="P583" s="56"/>
      <c r="Q583" s="56"/>
      <c r="R583" s="56"/>
      <c r="S583" s="56"/>
      <c r="T583" s="57"/>
      <c r="U583" s="30"/>
      <c r="V583" s="30"/>
      <c r="W583" s="30"/>
      <c r="X583" s="30"/>
      <c r="Y583" s="30"/>
      <c r="Z583" s="30"/>
      <c r="AA583" s="30"/>
      <c r="AB583" s="30"/>
      <c r="AC583" s="30"/>
      <c r="AD583" s="30"/>
      <c r="AE583" s="30"/>
      <c r="AT583" s="18" t="s">
        <v>150</v>
      </c>
      <c r="AU583" s="18" t="s">
        <v>82</v>
      </c>
    </row>
    <row r="584" spans="1:65" s="2" customFormat="1" ht="16.5" customHeight="1">
      <c r="A584" s="30"/>
      <c r="B584" s="137"/>
      <c r="C584" s="296">
        <v>162</v>
      </c>
      <c r="D584" s="296" t="s">
        <v>139</v>
      </c>
      <c r="E584" s="297" t="s">
        <v>730</v>
      </c>
      <c r="F584" s="193" t="s">
        <v>731</v>
      </c>
      <c r="G584" s="298" t="s">
        <v>477</v>
      </c>
      <c r="H584" s="280">
        <v>1</v>
      </c>
      <c r="I584" s="319">
        <v>0</v>
      </c>
      <c r="J584" s="281">
        <f>ROUND(I584*H584,2)</f>
        <v>0</v>
      </c>
      <c r="K584" s="193" t="s">
        <v>143</v>
      </c>
      <c r="L584" s="195"/>
      <c r="M584" s="144"/>
      <c r="N584" s="145"/>
      <c r="O584" s="146"/>
      <c r="P584" s="146"/>
      <c r="Q584" s="146"/>
      <c r="R584" s="146"/>
      <c r="S584" s="146"/>
      <c r="T584" s="147"/>
      <c r="U584" s="30"/>
      <c r="V584" s="30"/>
      <c r="W584" s="30"/>
      <c r="X584" s="30"/>
      <c r="Y584" s="30"/>
      <c r="Z584" s="30"/>
      <c r="AA584" s="30"/>
      <c r="AB584" s="30"/>
      <c r="AC584" s="30"/>
      <c r="AD584" s="30"/>
      <c r="AE584" s="30"/>
      <c r="AR584" s="148" t="s">
        <v>728</v>
      </c>
      <c r="AT584" s="148" t="s">
        <v>139</v>
      </c>
      <c r="AU584" s="148" t="s">
        <v>82</v>
      </c>
      <c r="AY584" s="18" t="s">
        <v>137</v>
      </c>
      <c r="BE584" s="149">
        <f>IF(N584="základní",J586,0)</f>
        <v>0</v>
      </c>
      <c r="BF584" s="149">
        <f>IF(N584="snížená",J586,0)</f>
        <v>0</v>
      </c>
      <c r="BG584" s="149">
        <f>IF(N584="zákl. přenesená",J586,0)</f>
        <v>0</v>
      </c>
      <c r="BH584" s="149">
        <f>IF(N584="sníž. přenesená",J586,0)</f>
        <v>0</v>
      </c>
      <c r="BI584" s="149">
        <f>IF(N584="nulová",J586,0)</f>
        <v>0</v>
      </c>
      <c r="BJ584" s="18" t="s">
        <v>80</v>
      </c>
      <c r="BK584" s="149">
        <f>ROUND(I586*H586,2)</f>
        <v>0</v>
      </c>
      <c r="BL584" s="18" t="s">
        <v>728</v>
      </c>
      <c r="BM584" s="148" t="s">
        <v>734</v>
      </c>
    </row>
    <row r="585" spans="1:65" s="2" customFormat="1" ht="16.5" customHeight="1">
      <c r="A585" s="30"/>
      <c r="B585" s="137"/>
      <c r="C585" s="30"/>
      <c r="D585" s="150" t="s">
        <v>150</v>
      </c>
      <c r="E585" s="30"/>
      <c r="F585" s="151" t="s">
        <v>733</v>
      </c>
      <c r="G585" s="30"/>
      <c r="H585" s="30"/>
      <c r="I585" s="30"/>
      <c r="J585" s="30"/>
      <c r="K585" s="30"/>
      <c r="L585" s="31"/>
      <c r="M585" s="144" t="s">
        <v>1</v>
      </c>
      <c r="N585" s="145" t="s">
        <v>37</v>
      </c>
      <c r="O585" s="146">
        <v>0</v>
      </c>
      <c r="P585" s="146">
        <f>O585*H587</f>
        <v>0</v>
      </c>
      <c r="Q585" s="146">
        <v>0</v>
      </c>
      <c r="R585" s="146">
        <f>Q585*H587</f>
        <v>0</v>
      </c>
      <c r="S585" s="146">
        <v>0</v>
      </c>
      <c r="T585" s="147">
        <f>S585*H587</f>
        <v>0</v>
      </c>
      <c r="U585" s="30"/>
      <c r="V585" s="30"/>
      <c r="W585" s="30"/>
      <c r="X585" s="30"/>
      <c r="Y585" s="30"/>
      <c r="Z585" s="30"/>
      <c r="AA585" s="30"/>
      <c r="AB585" s="30"/>
      <c r="AC585" s="30"/>
      <c r="AD585" s="30"/>
      <c r="AE585" s="30"/>
      <c r="AR585" s="148" t="s">
        <v>728</v>
      </c>
      <c r="AT585" s="148" t="s">
        <v>139</v>
      </c>
      <c r="AU585" s="148" t="s">
        <v>82</v>
      </c>
      <c r="AY585" s="18" t="s">
        <v>137</v>
      </c>
      <c r="BE585" s="149">
        <f>IF(N585="základní",J587,0)</f>
        <v>0</v>
      </c>
      <c r="BF585" s="149">
        <f>IF(N585="snížená",J587,0)</f>
        <v>0</v>
      </c>
      <c r="BG585" s="149">
        <f>IF(N585="zákl. přenesená",J587,0)</f>
        <v>0</v>
      </c>
      <c r="BH585" s="149">
        <f>IF(N585="sníž. přenesená",J587,0)</f>
        <v>0</v>
      </c>
      <c r="BI585" s="149">
        <f>IF(N585="nulová",J587,0)</f>
        <v>0</v>
      </c>
      <c r="BJ585" s="18" t="s">
        <v>80</v>
      </c>
      <c r="BK585" s="149">
        <f>ROUND(I587*H587,2)</f>
        <v>0</v>
      </c>
      <c r="BL585" s="18" t="s">
        <v>728</v>
      </c>
      <c r="BM585" s="148" t="s">
        <v>737</v>
      </c>
    </row>
    <row r="586" spans="1:65" s="2" customFormat="1" ht="11.4">
      <c r="A586" s="30"/>
      <c r="B586" s="31"/>
      <c r="C586" s="299"/>
      <c r="D586" s="299"/>
      <c r="E586" s="300"/>
      <c r="F586" s="301"/>
      <c r="G586" s="302"/>
      <c r="H586" s="303"/>
      <c r="I586" s="304"/>
      <c r="J586" s="304"/>
      <c r="K586" s="305"/>
      <c r="L586" s="56"/>
      <c r="M586" s="152"/>
      <c r="N586" s="153"/>
      <c r="O586" s="56"/>
      <c r="P586" s="56"/>
      <c r="Q586" s="56"/>
      <c r="R586" s="56"/>
      <c r="S586" s="56"/>
      <c r="T586" s="57"/>
      <c r="U586" s="30"/>
      <c r="V586" s="30"/>
      <c r="W586" s="30"/>
      <c r="X586" s="30"/>
      <c r="Y586" s="30"/>
      <c r="Z586" s="30"/>
      <c r="AA586" s="30"/>
      <c r="AB586" s="30"/>
      <c r="AC586" s="30"/>
      <c r="AD586" s="30"/>
      <c r="AE586" s="30"/>
      <c r="AT586" s="18" t="s">
        <v>150</v>
      </c>
      <c r="AU586" s="18" t="s">
        <v>82</v>
      </c>
    </row>
    <row r="587" spans="1:65" s="2" customFormat="1" ht="16.5" customHeight="1">
      <c r="A587" s="30"/>
      <c r="B587" s="137"/>
      <c r="C587" s="138">
        <v>163</v>
      </c>
      <c r="D587" s="138" t="s">
        <v>139</v>
      </c>
      <c r="E587" s="139" t="s">
        <v>735</v>
      </c>
      <c r="F587" s="140" t="s">
        <v>736</v>
      </c>
      <c r="G587" s="141" t="s">
        <v>477</v>
      </c>
      <c r="H587" s="142">
        <v>1</v>
      </c>
      <c r="I587" s="318">
        <v>0</v>
      </c>
      <c r="J587" s="143">
        <f>ROUND(I587*H587,2)</f>
        <v>0</v>
      </c>
      <c r="K587" s="140" t="s">
        <v>143</v>
      </c>
      <c r="L587" s="31"/>
      <c r="M587" s="144" t="s">
        <v>1</v>
      </c>
      <c r="N587" s="145" t="s">
        <v>37</v>
      </c>
      <c r="O587" s="146">
        <v>0</v>
      </c>
      <c r="P587" s="146">
        <f>O587*H589</f>
        <v>0</v>
      </c>
      <c r="Q587" s="146">
        <v>0</v>
      </c>
      <c r="R587" s="146">
        <f>Q587*H589</f>
        <v>0</v>
      </c>
      <c r="S587" s="146">
        <v>0</v>
      </c>
      <c r="T587" s="147">
        <f>S587*H589</f>
        <v>0</v>
      </c>
      <c r="U587" s="30"/>
      <c r="V587" s="30"/>
      <c r="W587" s="30"/>
      <c r="X587" s="30"/>
      <c r="Y587" s="30"/>
      <c r="Z587" s="30"/>
      <c r="AA587" s="30"/>
      <c r="AB587" s="30"/>
      <c r="AC587" s="30"/>
      <c r="AD587" s="30"/>
      <c r="AE587" s="30"/>
      <c r="AR587" s="148" t="s">
        <v>728</v>
      </c>
      <c r="AT587" s="148" t="s">
        <v>139</v>
      </c>
      <c r="AU587" s="148" t="s">
        <v>82</v>
      </c>
      <c r="AY587" s="18" t="s">
        <v>137</v>
      </c>
      <c r="BE587" s="149">
        <f>IF(N587="základní",J589,0)</f>
        <v>0</v>
      </c>
      <c r="BF587" s="149">
        <f>IF(N587="snížená",J589,0)</f>
        <v>0</v>
      </c>
      <c r="BG587" s="149">
        <f>IF(N587="zákl. přenesená",J589,0)</f>
        <v>0</v>
      </c>
      <c r="BH587" s="149">
        <f>IF(N587="sníž. přenesená",J589,0)</f>
        <v>0</v>
      </c>
      <c r="BI587" s="149">
        <f>IF(N587="nulová",J589,0)</f>
        <v>0</v>
      </c>
      <c r="BJ587" s="18" t="s">
        <v>80</v>
      </c>
      <c r="BK587" s="149">
        <f>ROUND(I589*H589,2)</f>
        <v>0</v>
      </c>
      <c r="BL587" s="18" t="s">
        <v>728</v>
      </c>
      <c r="BM587" s="148" t="s">
        <v>741</v>
      </c>
    </row>
    <row r="588" spans="1:65" s="2" customFormat="1" ht="48">
      <c r="A588" s="30"/>
      <c r="B588" s="31"/>
      <c r="C588" s="30"/>
      <c r="D588" s="150" t="s">
        <v>150</v>
      </c>
      <c r="E588" s="30"/>
      <c r="F588" s="151" t="s">
        <v>738</v>
      </c>
      <c r="G588" s="30"/>
      <c r="H588" s="30"/>
      <c r="I588" s="30"/>
      <c r="J588" s="30"/>
      <c r="K588" s="30"/>
      <c r="L588" s="31"/>
      <c r="M588" s="152"/>
      <c r="N588" s="153"/>
      <c r="O588" s="56"/>
      <c r="P588" s="56"/>
      <c r="Q588" s="56"/>
      <c r="R588" s="56"/>
      <c r="S588" s="56"/>
      <c r="T588" s="57"/>
      <c r="U588" s="30"/>
      <c r="V588" s="30"/>
      <c r="W588" s="30"/>
      <c r="X588" s="30"/>
      <c r="Y588" s="30"/>
      <c r="Z588" s="30"/>
      <c r="AA588" s="30"/>
      <c r="AB588" s="30"/>
      <c r="AC588" s="30"/>
      <c r="AD588" s="30"/>
      <c r="AE588" s="30"/>
      <c r="AT588" s="18" t="s">
        <v>150</v>
      </c>
      <c r="AU588" s="18" t="s">
        <v>82</v>
      </c>
    </row>
    <row r="589" spans="1:65" s="12" customFormat="1" ht="22.95" customHeight="1">
      <c r="B589" s="125"/>
      <c r="C589" s="138">
        <v>164</v>
      </c>
      <c r="D589" s="138" t="s">
        <v>139</v>
      </c>
      <c r="E589" s="139" t="s">
        <v>739</v>
      </c>
      <c r="F589" s="140" t="s">
        <v>740</v>
      </c>
      <c r="G589" s="141" t="s">
        <v>477</v>
      </c>
      <c r="H589" s="142">
        <v>1</v>
      </c>
      <c r="I589" s="318">
        <v>0</v>
      </c>
      <c r="J589" s="143">
        <f>ROUND(I589*H589,2)</f>
        <v>0</v>
      </c>
      <c r="K589" s="140" t="s">
        <v>143</v>
      </c>
      <c r="L589" s="125"/>
      <c r="M589" s="129"/>
      <c r="N589" s="130"/>
      <c r="O589" s="130"/>
      <c r="P589" s="131">
        <f>SUM(P590:P591)</f>
        <v>0</v>
      </c>
      <c r="Q589" s="130"/>
      <c r="R589" s="131">
        <f>SUM(R590:R591)</f>
        <v>0</v>
      </c>
      <c r="S589" s="130"/>
      <c r="T589" s="132">
        <f>SUM(T590:T591)</f>
        <v>0</v>
      </c>
      <c r="AR589" s="126" t="s">
        <v>167</v>
      </c>
      <c r="AT589" s="133" t="s">
        <v>71</v>
      </c>
      <c r="AU589" s="133" t="s">
        <v>80</v>
      </c>
      <c r="AY589" s="126" t="s">
        <v>137</v>
      </c>
      <c r="BK589" s="134">
        <f>SUM(BK590:BK591)</f>
        <v>0</v>
      </c>
    </row>
    <row r="590" spans="1:65" s="2" customFormat="1" ht="16.5" customHeight="1">
      <c r="A590" s="30"/>
      <c r="B590" s="137"/>
      <c r="C590" s="30"/>
      <c r="D590" s="150" t="s">
        <v>150</v>
      </c>
      <c r="E590" s="30"/>
      <c r="F590" s="151" t="s">
        <v>742</v>
      </c>
      <c r="G590" s="30"/>
      <c r="H590" s="30"/>
      <c r="I590" s="30"/>
      <c r="J590" s="30"/>
      <c r="K590" s="30"/>
      <c r="L590" s="31"/>
      <c r="M590" s="144" t="s">
        <v>1</v>
      </c>
      <c r="N590" s="145" t="s">
        <v>37</v>
      </c>
      <c r="O590" s="146">
        <v>0</v>
      </c>
      <c r="P590" s="146">
        <f>O590*H592</f>
        <v>0</v>
      </c>
      <c r="Q590" s="146">
        <v>0</v>
      </c>
      <c r="R590" s="146">
        <f>Q590*H592</f>
        <v>0</v>
      </c>
      <c r="S590" s="146">
        <v>0</v>
      </c>
      <c r="T590" s="147">
        <f>S590*H592</f>
        <v>0</v>
      </c>
      <c r="U590" s="30"/>
      <c r="V590" s="30"/>
      <c r="W590" s="30"/>
      <c r="X590" s="30"/>
      <c r="Y590" s="30"/>
      <c r="Z590" s="30"/>
      <c r="AA590" s="30"/>
      <c r="AB590" s="30"/>
      <c r="AC590" s="30"/>
      <c r="AD590" s="30"/>
      <c r="AE590" s="30"/>
      <c r="AR590" s="148" t="s">
        <v>728</v>
      </c>
      <c r="AT590" s="148" t="s">
        <v>139</v>
      </c>
      <c r="AU590" s="148" t="s">
        <v>82</v>
      </c>
      <c r="AY590" s="18" t="s">
        <v>137</v>
      </c>
      <c r="BE590" s="149">
        <f>IF(N590="základní",J592,0)</f>
        <v>0</v>
      </c>
      <c r="BF590" s="149">
        <f>IF(N590="snížená",J592,0)</f>
        <v>0</v>
      </c>
      <c r="BG590" s="149">
        <f>IF(N590="zákl. přenesená",J592,0)</f>
        <v>0</v>
      </c>
      <c r="BH590" s="149">
        <f>IF(N590="sníž. přenesená",J592,0)</f>
        <v>0</v>
      </c>
      <c r="BI590" s="149">
        <f>IF(N590="nulová",J592,0)</f>
        <v>0</v>
      </c>
      <c r="BJ590" s="18" t="s">
        <v>80</v>
      </c>
      <c r="BK590" s="149">
        <f>ROUND(I592*H592,2)</f>
        <v>0</v>
      </c>
      <c r="BL590" s="18" t="s">
        <v>728</v>
      </c>
      <c r="BM590" s="148" t="s">
        <v>747</v>
      </c>
    </row>
    <row r="591" spans="1:65" s="2" customFormat="1" ht="13.2">
      <c r="A591" s="30"/>
      <c r="B591" s="31"/>
      <c r="C591" s="12"/>
      <c r="D591" s="126" t="s">
        <v>71</v>
      </c>
      <c r="E591" s="135" t="s">
        <v>743</v>
      </c>
      <c r="F591" s="135" t="s">
        <v>744</v>
      </c>
      <c r="G591" s="12"/>
      <c r="H591" s="12"/>
      <c r="I591" s="12"/>
      <c r="J591" s="136">
        <f>J592</f>
        <v>0</v>
      </c>
      <c r="K591" s="12"/>
      <c r="L591" s="31"/>
      <c r="M591" s="152"/>
      <c r="N591" s="153"/>
      <c r="O591" s="56"/>
      <c r="P591" s="56"/>
      <c r="Q591" s="56"/>
      <c r="R591" s="56"/>
      <c r="S591" s="56"/>
      <c r="T591" s="57"/>
      <c r="U591" s="30"/>
      <c r="V591" s="30"/>
      <c r="W591" s="30"/>
      <c r="X591" s="30"/>
      <c r="Y591" s="30"/>
      <c r="Z591" s="30"/>
      <c r="AA591" s="30"/>
      <c r="AB591" s="30"/>
      <c r="AC591" s="30"/>
      <c r="AD591" s="30"/>
      <c r="AE591" s="30"/>
      <c r="AT591" s="18" t="s">
        <v>150</v>
      </c>
      <c r="AU591" s="18" t="s">
        <v>82</v>
      </c>
    </row>
    <row r="592" spans="1:65" s="12" customFormat="1" ht="22.95" customHeight="1">
      <c r="B592" s="125"/>
      <c r="C592" s="138">
        <v>165</v>
      </c>
      <c r="D592" s="138" t="s">
        <v>139</v>
      </c>
      <c r="E592" s="139" t="s">
        <v>745</v>
      </c>
      <c r="F592" s="140" t="s">
        <v>746</v>
      </c>
      <c r="G592" s="141" t="s">
        <v>477</v>
      </c>
      <c r="H592" s="142">
        <v>1</v>
      </c>
      <c r="I592" s="318">
        <v>0</v>
      </c>
      <c r="J592" s="143">
        <f>ROUND(I592*H592,2)</f>
        <v>0</v>
      </c>
      <c r="K592" s="140" t="s">
        <v>143</v>
      </c>
      <c r="L592" s="125"/>
      <c r="M592" s="129"/>
      <c r="N592" s="130"/>
      <c r="O592" s="130"/>
      <c r="P592" s="131">
        <f>SUM(P593:P596)</f>
        <v>0</v>
      </c>
      <c r="Q592" s="130"/>
      <c r="R592" s="131">
        <f>SUM(R593:R596)</f>
        <v>0</v>
      </c>
      <c r="S592" s="130"/>
      <c r="T592" s="132">
        <f>SUM(T593:T596)</f>
        <v>0</v>
      </c>
      <c r="AR592" s="126" t="s">
        <v>167</v>
      </c>
      <c r="AT592" s="133" t="s">
        <v>71</v>
      </c>
      <c r="AU592" s="133" t="s">
        <v>80</v>
      </c>
      <c r="AY592" s="126" t="s">
        <v>137</v>
      </c>
      <c r="BK592" s="134">
        <f>SUM(BK593:BK596)</f>
        <v>0</v>
      </c>
    </row>
    <row r="593" spans="1:65" s="2" customFormat="1" ht="16.5" customHeight="1">
      <c r="A593" s="30"/>
      <c r="B593" s="137"/>
      <c r="C593" s="30"/>
      <c r="D593" s="150" t="s">
        <v>150</v>
      </c>
      <c r="E593" s="30"/>
      <c r="F593" s="151" t="s">
        <v>748</v>
      </c>
      <c r="G593" s="30"/>
      <c r="H593" s="30"/>
      <c r="I593" s="30"/>
      <c r="J593" s="30"/>
      <c r="K593" s="30"/>
      <c r="L593" s="31"/>
      <c r="M593" s="144" t="s">
        <v>1</v>
      </c>
      <c r="N593" s="145" t="s">
        <v>37</v>
      </c>
      <c r="O593" s="146">
        <v>0</v>
      </c>
      <c r="P593" s="146">
        <f>O593*H595</f>
        <v>0</v>
      </c>
      <c r="Q593" s="146">
        <v>0</v>
      </c>
      <c r="R593" s="146">
        <f>Q593*H595</f>
        <v>0</v>
      </c>
      <c r="S593" s="146">
        <v>0</v>
      </c>
      <c r="T593" s="147">
        <f>S593*H595</f>
        <v>0</v>
      </c>
      <c r="U593" s="30"/>
      <c r="V593" s="30"/>
      <c r="W593" s="30"/>
      <c r="X593" s="30"/>
      <c r="Y593" s="30"/>
      <c r="Z593" s="30"/>
      <c r="AA593" s="30"/>
      <c r="AB593" s="30"/>
      <c r="AC593" s="30"/>
      <c r="AD593" s="30"/>
      <c r="AE593" s="30"/>
      <c r="AR593" s="148" t="s">
        <v>728</v>
      </c>
      <c r="AT593" s="148" t="s">
        <v>139</v>
      </c>
      <c r="AU593" s="148" t="s">
        <v>82</v>
      </c>
      <c r="AY593" s="18" t="s">
        <v>137</v>
      </c>
      <c r="BE593" s="149">
        <f>IF(N593="základní",J595,0)</f>
        <v>0</v>
      </c>
      <c r="BF593" s="149">
        <f>IF(N593="snížená",J595,0)</f>
        <v>0</v>
      </c>
      <c r="BG593" s="149">
        <f>IF(N593="zákl. přenesená",J595,0)</f>
        <v>0</v>
      </c>
      <c r="BH593" s="149">
        <f>IF(N593="sníž. přenesená",J595,0)</f>
        <v>0</v>
      </c>
      <c r="BI593" s="149">
        <f>IF(N593="nulová",J595,0)</f>
        <v>0</v>
      </c>
      <c r="BJ593" s="18" t="s">
        <v>80</v>
      </c>
      <c r="BK593" s="149">
        <f>ROUND(I595*H595,2)</f>
        <v>0</v>
      </c>
      <c r="BL593" s="18" t="s">
        <v>728</v>
      </c>
      <c r="BM593" s="148" t="s">
        <v>753</v>
      </c>
    </row>
    <row r="594" spans="1:65" s="2" customFormat="1" ht="13.2">
      <c r="A594" s="30"/>
      <c r="B594" s="31"/>
      <c r="C594" s="12"/>
      <c r="D594" s="126" t="s">
        <v>71</v>
      </c>
      <c r="E594" s="135" t="s">
        <v>749</v>
      </c>
      <c r="F594" s="135" t="s">
        <v>750</v>
      </c>
      <c r="G594" s="12"/>
      <c r="H594" s="12"/>
      <c r="I594" s="12"/>
      <c r="J594" s="136">
        <f>SUM(J595:J597)</f>
        <v>0</v>
      </c>
      <c r="K594" s="12"/>
      <c r="L594" s="31"/>
      <c r="M594" s="152"/>
      <c r="N594" s="153"/>
      <c r="O594" s="56"/>
      <c r="P594" s="56"/>
      <c r="Q594" s="56"/>
      <c r="R594" s="56"/>
      <c r="S594" s="56"/>
      <c r="T594" s="57"/>
      <c r="U594" s="30"/>
      <c r="V594" s="30"/>
      <c r="W594" s="30"/>
      <c r="X594" s="30"/>
      <c r="Y594" s="30"/>
      <c r="Z594" s="30"/>
      <c r="AA594" s="30"/>
      <c r="AB594" s="30"/>
      <c r="AC594" s="30"/>
      <c r="AD594" s="30"/>
      <c r="AE594" s="30"/>
      <c r="AT594" s="18" t="s">
        <v>150</v>
      </c>
      <c r="AU594" s="18" t="s">
        <v>82</v>
      </c>
    </row>
    <row r="595" spans="1:65" s="2" customFormat="1" ht="16.5" customHeight="1">
      <c r="A595" s="30"/>
      <c r="B595" s="137"/>
      <c r="C595" s="138">
        <v>166</v>
      </c>
      <c r="D595" s="138" t="s">
        <v>139</v>
      </c>
      <c r="E595" s="139" t="s">
        <v>751</v>
      </c>
      <c r="F595" s="140" t="s">
        <v>752</v>
      </c>
      <c r="G595" s="141" t="s">
        <v>477</v>
      </c>
      <c r="H595" s="142">
        <v>1</v>
      </c>
      <c r="I595" s="318">
        <v>0</v>
      </c>
      <c r="J595" s="143">
        <f>ROUND(I595*H595,2)</f>
        <v>0</v>
      </c>
      <c r="K595" s="140" t="s">
        <v>143</v>
      </c>
      <c r="L595" s="31"/>
      <c r="M595" s="144" t="s">
        <v>1</v>
      </c>
      <c r="N595" s="145" t="s">
        <v>37</v>
      </c>
      <c r="O595" s="146">
        <v>0</v>
      </c>
      <c r="P595" s="146">
        <f>O595*H597</f>
        <v>0</v>
      </c>
      <c r="Q595" s="146">
        <v>0</v>
      </c>
      <c r="R595" s="146">
        <f>Q595*H597</f>
        <v>0</v>
      </c>
      <c r="S595" s="146">
        <v>0</v>
      </c>
      <c r="T595" s="147">
        <f>S595*H597</f>
        <v>0</v>
      </c>
      <c r="U595" s="30"/>
      <c r="V595" s="30"/>
      <c r="W595" s="30"/>
      <c r="X595" s="30"/>
      <c r="Y595" s="30"/>
      <c r="Z595" s="30"/>
      <c r="AA595" s="30"/>
      <c r="AB595" s="30"/>
      <c r="AC595" s="30"/>
      <c r="AD595" s="30"/>
      <c r="AE595" s="30"/>
      <c r="AR595" s="148" t="s">
        <v>728</v>
      </c>
      <c r="AT595" s="148" t="s">
        <v>139</v>
      </c>
      <c r="AU595" s="148" t="s">
        <v>82</v>
      </c>
      <c r="AY595" s="18" t="s">
        <v>137</v>
      </c>
      <c r="BE595" s="149">
        <f>IF(N595="základní",J597,0)</f>
        <v>0</v>
      </c>
      <c r="BF595" s="149">
        <f>IF(N595="snížená",J597,0)</f>
        <v>0</v>
      </c>
      <c r="BG595" s="149">
        <f>IF(N595="zákl. přenesená",J597,0)</f>
        <v>0</v>
      </c>
      <c r="BH595" s="149">
        <f>IF(N595="sníž. přenesená",J597,0)</f>
        <v>0</v>
      </c>
      <c r="BI595" s="149">
        <f>IF(N595="nulová",J597,0)</f>
        <v>0</v>
      </c>
      <c r="BJ595" s="18" t="s">
        <v>80</v>
      </c>
      <c r="BK595" s="149">
        <f>ROUND(I597*H597,2)</f>
        <v>0</v>
      </c>
      <c r="BL595" s="18" t="s">
        <v>728</v>
      </c>
      <c r="BM595" s="148" t="s">
        <v>757</v>
      </c>
    </row>
    <row r="596" spans="1:65" s="2" customFormat="1" ht="76.8">
      <c r="A596" s="30"/>
      <c r="B596" s="31"/>
      <c r="C596" s="30"/>
      <c r="D596" s="150" t="s">
        <v>150</v>
      </c>
      <c r="E596" s="30"/>
      <c r="F596" s="151" t="s">
        <v>754</v>
      </c>
      <c r="G596" s="30"/>
      <c r="H596" s="30"/>
      <c r="I596" s="30"/>
      <c r="J596" s="30"/>
      <c r="K596" s="30"/>
      <c r="L596" s="31"/>
      <c r="M596" s="152"/>
      <c r="N596" s="153"/>
      <c r="O596" s="56"/>
      <c r="P596" s="56"/>
      <c r="Q596" s="56"/>
      <c r="R596" s="56"/>
      <c r="S596" s="56"/>
      <c r="T596" s="57"/>
      <c r="U596" s="30"/>
      <c r="V596" s="30"/>
      <c r="W596" s="30"/>
      <c r="X596" s="30"/>
      <c r="Y596" s="30"/>
      <c r="Z596" s="30"/>
      <c r="AA596" s="30"/>
      <c r="AB596" s="30"/>
      <c r="AC596" s="30"/>
      <c r="AD596" s="30"/>
      <c r="AE596" s="30"/>
      <c r="AT596" s="18" t="s">
        <v>150</v>
      </c>
      <c r="AU596" s="18" t="s">
        <v>82</v>
      </c>
    </row>
    <row r="597" spans="1:65" s="12" customFormat="1" ht="22.95" customHeight="1">
      <c r="B597" s="125"/>
      <c r="C597" s="138">
        <v>167</v>
      </c>
      <c r="D597" s="138" t="s">
        <v>139</v>
      </c>
      <c r="E597" s="139" t="s">
        <v>755</v>
      </c>
      <c r="F597" s="140" t="s">
        <v>756</v>
      </c>
      <c r="G597" s="141" t="s">
        <v>477</v>
      </c>
      <c r="H597" s="142">
        <v>1</v>
      </c>
      <c r="I597" s="318">
        <v>0</v>
      </c>
      <c r="J597" s="143">
        <f>ROUND(I597*H597,2)</f>
        <v>0</v>
      </c>
      <c r="K597" s="140" t="s">
        <v>143</v>
      </c>
      <c r="L597" s="125"/>
      <c r="M597" s="129"/>
      <c r="N597" s="130"/>
      <c r="O597" s="130"/>
      <c r="P597" s="131">
        <f>SUM(P598:P601)</f>
        <v>0</v>
      </c>
      <c r="Q597" s="130"/>
      <c r="R597" s="131">
        <f>SUM(R598:R601)</f>
        <v>0</v>
      </c>
      <c r="S597" s="130"/>
      <c r="T597" s="132">
        <f>SUM(T598:T601)</f>
        <v>0</v>
      </c>
      <c r="AR597" s="126" t="s">
        <v>167</v>
      </c>
      <c r="AT597" s="133" t="s">
        <v>71</v>
      </c>
      <c r="AU597" s="133" t="s">
        <v>80</v>
      </c>
      <c r="AY597" s="126" t="s">
        <v>137</v>
      </c>
      <c r="BK597" s="134">
        <f>SUM(BK598:BK601)</f>
        <v>0</v>
      </c>
    </row>
    <row r="598" spans="1:65" s="2" customFormat="1" ht="16.5" customHeight="1">
      <c r="A598" s="30"/>
      <c r="B598" s="137"/>
      <c r="C598" s="30"/>
      <c r="D598" s="150" t="s">
        <v>150</v>
      </c>
      <c r="E598" s="30"/>
      <c r="F598" s="151" t="s">
        <v>758</v>
      </c>
      <c r="G598" s="30"/>
      <c r="H598" s="30"/>
      <c r="I598" s="30"/>
      <c r="J598" s="30"/>
      <c r="K598" s="30"/>
      <c r="L598" s="31"/>
      <c r="M598" s="144" t="s">
        <v>1</v>
      </c>
      <c r="N598" s="145" t="s">
        <v>37</v>
      </c>
      <c r="O598" s="146">
        <v>0</v>
      </c>
      <c r="P598" s="146">
        <f>O598*H600</f>
        <v>0</v>
      </c>
      <c r="Q598" s="146">
        <v>0</v>
      </c>
      <c r="R598" s="146">
        <f>Q598*H600</f>
        <v>0</v>
      </c>
      <c r="S598" s="146">
        <v>0</v>
      </c>
      <c r="T598" s="147">
        <f>S598*H600</f>
        <v>0</v>
      </c>
      <c r="U598" s="30"/>
      <c r="V598" s="30"/>
      <c r="W598" s="30"/>
      <c r="X598" s="30"/>
      <c r="Y598" s="30"/>
      <c r="Z598" s="30"/>
      <c r="AA598" s="30"/>
      <c r="AB598" s="30"/>
      <c r="AC598" s="30"/>
      <c r="AD598" s="30"/>
      <c r="AE598" s="30"/>
      <c r="AR598" s="148" t="s">
        <v>728</v>
      </c>
      <c r="AT598" s="148" t="s">
        <v>139</v>
      </c>
      <c r="AU598" s="148" t="s">
        <v>82</v>
      </c>
      <c r="AY598" s="18" t="s">
        <v>137</v>
      </c>
      <c r="BE598" s="149">
        <f>IF(N598="základní",J600,0)</f>
        <v>0</v>
      </c>
      <c r="BF598" s="149">
        <f>IF(N598="snížená",J600,0)</f>
        <v>0</v>
      </c>
      <c r="BG598" s="149">
        <f>IF(N598="zákl. přenesená",J600,0)</f>
        <v>0</v>
      </c>
      <c r="BH598" s="149">
        <f>IF(N598="sníž. přenesená",J600,0)</f>
        <v>0</v>
      </c>
      <c r="BI598" s="149">
        <f>IF(N598="nulová",J600,0)</f>
        <v>0</v>
      </c>
      <c r="BJ598" s="18" t="s">
        <v>80</v>
      </c>
      <c r="BK598" s="149">
        <f>ROUND(I600*H600,2)</f>
        <v>0</v>
      </c>
      <c r="BL598" s="18" t="s">
        <v>728</v>
      </c>
      <c r="BM598" s="148" t="s">
        <v>763</v>
      </c>
    </row>
    <row r="599" spans="1:65" s="2" customFormat="1" ht="13.2">
      <c r="A599" s="30"/>
      <c r="B599" s="31"/>
      <c r="C599" s="12"/>
      <c r="D599" s="126" t="s">
        <v>71</v>
      </c>
      <c r="E599" s="135" t="s">
        <v>759</v>
      </c>
      <c r="F599" s="135" t="s">
        <v>760</v>
      </c>
      <c r="G599" s="12"/>
      <c r="H599" s="12"/>
      <c r="I599" s="12"/>
      <c r="J599" s="136">
        <f>SUM(J600:J602)</f>
        <v>0</v>
      </c>
      <c r="K599" s="12"/>
      <c r="L599" s="31"/>
      <c r="M599" s="152"/>
      <c r="N599" s="153"/>
      <c r="O599" s="56"/>
      <c r="P599" s="56"/>
      <c r="Q599" s="56"/>
      <c r="R599" s="56"/>
      <c r="S599" s="56"/>
      <c r="T599" s="57"/>
      <c r="U599" s="30"/>
      <c r="V599" s="30"/>
      <c r="W599" s="30"/>
      <c r="X599" s="30"/>
      <c r="Y599" s="30"/>
      <c r="Z599" s="30"/>
      <c r="AA599" s="30"/>
      <c r="AB599" s="30"/>
      <c r="AC599" s="30"/>
      <c r="AD599" s="30"/>
      <c r="AE599" s="30"/>
      <c r="AT599" s="18" t="s">
        <v>150</v>
      </c>
      <c r="AU599" s="18" t="s">
        <v>82</v>
      </c>
    </row>
    <row r="600" spans="1:65" s="2" customFormat="1" ht="16.5" customHeight="1">
      <c r="A600" s="30"/>
      <c r="B600" s="137"/>
      <c r="C600" s="138">
        <v>168</v>
      </c>
      <c r="D600" s="138" t="s">
        <v>139</v>
      </c>
      <c r="E600" s="139" t="s">
        <v>761</v>
      </c>
      <c r="F600" s="140" t="s">
        <v>762</v>
      </c>
      <c r="G600" s="141" t="s">
        <v>477</v>
      </c>
      <c r="H600" s="142">
        <v>1</v>
      </c>
      <c r="I600" s="318">
        <v>0</v>
      </c>
      <c r="J600" s="143">
        <f>ROUND(I600*H600,2)</f>
        <v>0</v>
      </c>
      <c r="K600" s="140" t="s">
        <v>143</v>
      </c>
      <c r="L600" s="31"/>
      <c r="M600" s="144" t="s">
        <v>1</v>
      </c>
      <c r="N600" s="145" t="s">
        <v>37</v>
      </c>
      <c r="O600" s="146">
        <v>0</v>
      </c>
      <c r="P600" s="146">
        <f>O600*H602</f>
        <v>0</v>
      </c>
      <c r="Q600" s="146">
        <v>0</v>
      </c>
      <c r="R600" s="146">
        <f>Q600*H602</f>
        <v>0</v>
      </c>
      <c r="S600" s="146">
        <v>0</v>
      </c>
      <c r="T600" s="147">
        <f>S600*H602</f>
        <v>0</v>
      </c>
      <c r="U600" s="30"/>
      <c r="V600" s="30"/>
      <c r="W600" s="30"/>
      <c r="X600" s="30"/>
      <c r="Y600" s="30"/>
      <c r="Z600" s="30"/>
      <c r="AA600" s="30"/>
      <c r="AB600" s="30"/>
      <c r="AC600" s="30"/>
      <c r="AD600" s="30"/>
      <c r="AE600" s="30"/>
      <c r="AR600" s="148" t="s">
        <v>728</v>
      </c>
      <c r="AT600" s="148" t="s">
        <v>139</v>
      </c>
      <c r="AU600" s="148" t="s">
        <v>82</v>
      </c>
      <c r="AY600" s="18" t="s">
        <v>137</v>
      </c>
      <c r="BE600" s="149">
        <f>IF(N600="základní",J602,0)</f>
        <v>0</v>
      </c>
      <c r="BF600" s="149">
        <f>IF(N600="snížená",J602,0)</f>
        <v>0</v>
      </c>
      <c r="BG600" s="149">
        <f>IF(N600="zákl. přenesená",J602,0)</f>
        <v>0</v>
      </c>
      <c r="BH600" s="149">
        <f>IF(N600="sníž. přenesená",J602,0)</f>
        <v>0</v>
      </c>
      <c r="BI600" s="149">
        <f>IF(N600="nulová",J602,0)</f>
        <v>0</v>
      </c>
      <c r="BJ600" s="18" t="s">
        <v>80</v>
      </c>
      <c r="BK600" s="149">
        <f>ROUND(I602*H602,2)</f>
        <v>0</v>
      </c>
      <c r="BL600" s="18" t="s">
        <v>728</v>
      </c>
      <c r="BM600" s="148" t="s">
        <v>767</v>
      </c>
    </row>
    <row r="601" spans="1:65" s="2" customFormat="1" ht="28.8">
      <c r="A601" s="30"/>
      <c r="B601" s="31"/>
      <c r="C601" s="30"/>
      <c r="D601" s="150" t="s">
        <v>150</v>
      </c>
      <c r="E601" s="30"/>
      <c r="F601" s="151" t="s">
        <v>764</v>
      </c>
      <c r="G601" s="30"/>
      <c r="H601" s="30"/>
      <c r="I601" s="30"/>
      <c r="J601" s="30"/>
      <c r="K601" s="30"/>
      <c r="L601" s="31"/>
      <c r="M601" s="152"/>
      <c r="N601" s="153"/>
      <c r="O601" s="56"/>
      <c r="P601" s="56"/>
      <c r="Q601" s="56"/>
      <c r="R601" s="56"/>
      <c r="S601" s="56"/>
      <c r="T601" s="57"/>
      <c r="U601" s="30"/>
      <c r="V601" s="30"/>
      <c r="W601" s="30"/>
      <c r="X601" s="30"/>
      <c r="Y601" s="30"/>
      <c r="Z601" s="30"/>
      <c r="AA601" s="30"/>
      <c r="AB601" s="30"/>
      <c r="AC601" s="30"/>
      <c r="AD601" s="30"/>
      <c r="AE601" s="30"/>
      <c r="AT601" s="18" t="s">
        <v>150</v>
      </c>
      <c r="AU601" s="18" t="s">
        <v>82</v>
      </c>
    </row>
    <row r="602" spans="1:65" s="12" customFormat="1" ht="22.95" customHeight="1">
      <c r="B602" s="125"/>
      <c r="C602" s="138">
        <v>169</v>
      </c>
      <c r="D602" s="138" t="s">
        <v>139</v>
      </c>
      <c r="E602" s="139" t="s">
        <v>765</v>
      </c>
      <c r="F602" s="140" t="s">
        <v>766</v>
      </c>
      <c r="G602" s="141" t="s">
        <v>477</v>
      </c>
      <c r="H602" s="142">
        <v>1</v>
      </c>
      <c r="I602" s="318">
        <v>0</v>
      </c>
      <c r="J602" s="143">
        <f>ROUND(I602*H602,2)</f>
        <v>0</v>
      </c>
      <c r="K602" s="140" t="s">
        <v>143</v>
      </c>
      <c r="L602" s="125"/>
      <c r="M602" s="129"/>
      <c r="N602" s="130"/>
      <c r="O602" s="130"/>
      <c r="P602" s="131">
        <f>SUM(P603:P604)</f>
        <v>0</v>
      </c>
      <c r="Q602" s="130"/>
      <c r="R602" s="131">
        <f>SUM(R603:R604)</f>
        <v>0</v>
      </c>
      <c r="S602" s="130"/>
      <c r="T602" s="132">
        <f>SUM(T603:T604)</f>
        <v>0</v>
      </c>
      <c r="AR602" s="126" t="s">
        <v>167</v>
      </c>
      <c r="AT602" s="133" t="s">
        <v>71</v>
      </c>
      <c r="AU602" s="133" t="s">
        <v>80</v>
      </c>
      <c r="AY602" s="126" t="s">
        <v>137</v>
      </c>
      <c r="BK602" s="134">
        <f>SUM(BK603:BK604)</f>
        <v>0</v>
      </c>
    </row>
    <row r="603" spans="1:65" s="2" customFormat="1" ht="16.5" customHeight="1">
      <c r="A603" s="30"/>
      <c r="B603" s="137"/>
      <c r="C603" s="30"/>
      <c r="D603" s="150" t="s">
        <v>150</v>
      </c>
      <c r="E603" s="30"/>
      <c r="F603" s="151" t="s">
        <v>768</v>
      </c>
      <c r="G603" s="30"/>
      <c r="H603" s="30"/>
      <c r="I603" s="30"/>
      <c r="J603" s="30"/>
      <c r="K603" s="30"/>
      <c r="L603" s="31"/>
      <c r="M603" s="144" t="s">
        <v>1</v>
      </c>
      <c r="N603" s="145" t="s">
        <v>37</v>
      </c>
      <c r="O603" s="146">
        <v>0</v>
      </c>
      <c r="P603" s="146">
        <f>O603*H605</f>
        <v>0</v>
      </c>
      <c r="Q603" s="146">
        <v>0</v>
      </c>
      <c r="R603" s="146">
        <f>Q603*H605</f>
        <v>0</v>
      </c>
      <c r="S603" s="146">
        <v>0</v>
      </c>
      <c r="T603" s="147">
        <f>S603*H605</f>
        <v>0</v>
      </c>
      <c r="U603" s="30"/>
      <c r="V603" s="30"/>
      <c r="W603" s="30"/>
      <c r="X603" s="30"/>
      <c r="Y603" s="30"/>
      <c r="Z603" s="30"/>
      <c r="AA603" s="30"/>
      <c r="AB603" s="30"/>
      <c r="AC603" s="30"/>
      <c r="AD603" s="30"/>
      <c r="AE603" s="30"/>
      <c r="AR603" s="148" t="s">
        <v>728</v>
      </c>
      <c r="AT603" s="148" t="s">
        <v>139</v>
      </c>
      <c r="AU603" s="148" t="s">
        <v>82</v>
      </c>
      <c r="AY603" s="18" t="s">
        <v>137</v>
      </c>
      <c r="BE603" s="149">
        <f>IF(N603="základní",J605,0)</f>
        <v>0</v>
      </c>
      <c r="BF603" s="149">
        <f>IF(N603="snížená",J605,0)</f>
        <v>0</v>
      </c>
      <c r="BG603" s="149">
        <f>IF(N603="zákl. přenesená",J605,0)</f>
        <v>0</v>
      </c>
      <c r="BH603" s="149">
        <f>IF(N603="sníž. přenesená",J605,0)</f>
        <v>0</v>
      </c>
      <c r="BI603" s="149">
        <f>IF(N603="nulová",J605,0)</f>
        <v>0</v>
      </c>
      <c r="BJ603" s="18" t="s">
        <v>80</v>
      </c>
      <c r="BK603" s="149">
        <f>ROUND(I605*H605,2)</f>
        <v>0</v>
      </c>
      <c r="BL603" s="18" t="s">
        <v>728</v>
      </c>
      <c r="BM603" s="148" t="s">
        <v>773</v>
      </c>
    </row>
    <row r="604" spans="1:65" s="2" customFormat="1" ht="13.2">
      <c r="A604" s="30"/>
      <c r="B604" s="31"/>
      <c r="C604" s="12"/>
      <c r="D604" s="126" t="s">
        <v>71</v>
      </c>
      <c r="E604" s="135" t="s">
        <v>769</v>
      </c>
      <c r="F604" s="135" t="s">
        <v>770</v>
      </c>
      <c r="G604" s="12"/>
      <c r="H604" s="12"/>
      <c r="I604" s="12"/>
      <c r="J604" s="136">
        <f>BK602</f>
        <v>0</v>
      </c>
      <c r="K604" s="12"/>
      <c r="L604" s="31"/>
      <c r="M604" s="152"/>
      <c r="N604" s="153"/>
      <c r="O604" s="56"/>
      <c r="P604" s="56"/>
      <c r="Q604" s="56"/>
      <c r="R604" s="56"/>
      <c r="S604" s="56"/>
      <c r="T604" s="57"/>
      <c r="U604" s="30"/>
      <c r="V604" s="30"/>
      <c r="W604" s="30"/>
      <c r="X604" s="30"/>
      <c r="Y604" s="30"/>
      <c r="Z604" s="30"/>
      <c r="AA604" s="30"/>
      <c r="AB604" s="30"/>
      <c r="AC604" s="30"/>
      <c r="AD604" s="30"/>
      <c r="AE604" s="30"/>
      <c r="AT604" s="18" t="s">
        <v>150</v>
      </c>
      <c r="AU604" s="18" t="s">
        <v>82</v>
      </c>
    </row>
    <row r="605" spans="1:65" s="12" customFormat="1" ht="22.95" customHeight="1">
      <c r="B605" s="125"/>
      <c r="C605" s="138">
        <v>170</v>
      </c>
      <c r="D605" s="138" t="s">
        <v>139</v>
      </c>
      <c r="E605" s="139" t="s">
        <v>771</v>
      </c>
      <c r="F605" s="140" t="s">
        <v>772</v>
      </c>
      <c r="G605" s="141" t="s">
        <v>477</v>
      </c>
      <c r="H605" s="142">
        <v>1</v>
      </c>
      <c r="I605" s="318">
        <v>0</v>
      </c>
      <c r="J605" s="143">
        <f>ROUND(I605*H605,2)</f>
        <v>0</v>
      </c>
      <c r="K605" s="140" t="s">
        <v>143</v>
      </c>
      <c r="L605" s="125"/>
      <c r="M605" s="129"/>
      <c r="N605" s="130"/>
      <c r="O605" s="130"/>
      <c r="P605" s="131">
        <f>SUM(P606:P607)</f>
        <v>0</v>
      </c>
      <c r="Q605" s="130"/>
      <c r="R605" s="131">
        <f>SUM(R606:R607)</f>
        <v>0</v>
      </c>
      <c r="S605" s="130"/>
      <c r="T605" s="132">
        <f>SUM(T606:T607)</f>
        <v>0</v>
      </c>
      <c r="AR605" s="126" t="s">
        <v>167</v>
      </c>
      <c r="AT605" s="133" t="s">
        <v>71</v>
      </c>
      <c r="AU605" s="133" t="s">
        <v>80</v>
      </c>
      <c r="AY605" s="126" t="s">
        <v>137</v>
      </c>
      <c r="BK605" s="134">
        <f>SUM(BK606:BK607)</f>
        <v>0</v>
      </c>
    </row>
    <row r="606" spans="1:65" s="2" customFormat="1" ht="16.5" customHeight="1">
      <c r="A606" s="30"/>
      <c r="B606" s="137"/>
      <c r="C606" s="30"/>
      <c r="D606" s="150" t="s">
        <v>150</v>
      </c>
      <c r="E606" s="30"/>
      <c r="F606" s="151" t="s">
        <v>774</v>
      </c>
      <c r="G606" s="30"/>
      <c r="H606" s="30"/>
      <c r="I606" s="30"/>
      <c r="J606" s="30"/>
      <c r="K606" s="30"/>
      <c r="L606" s="31"/>
      <c r="M606" s="144" t="s">
        <v>1</v>
      </c>
      <c r="N606" s="145" t="s">
        <v>37</v>
      </c>
      <c r="O606" s="146">
        <v>0</v>
      </c>
      <c r="P606" s="146">
        <f>O606*H608</f>
        <v>0</v>
      </c>
      <c r="Q606" s="146">
        <v>0</v>
      </c>
      <c r="R606" s="146">
        <f>Q606*H608</f>
        <v>0</v>
      </c>
      <c r="S606" s="146">
        <v>0</v>
      </c>
      <c r="T606" s="147">
        <f>S606*H608</f>
        <v>0</v>
      </c>
      <c r="U606" s="30"/>
      <c r="V606" s="30"/>
      <c r="W606" s="30"/>
      <c r="X606" s="30"/>
      <c r="Y606" s="30"/>
      <c r="Z606" s="30"/>
      <c r="AA606" s="30"/>
      <c r="AB606" s="30"/>
      <c r="AC606" s="30"/>
      <c r="AD606" s="30"/>
      <c r="AE606" s="30"/>
      <c r="AR606" s="148" t="s">
        <v>728</v>
      </c>
      <c r="AT606" s="148" t="s">
        <v>139</v>
      </c>
      <c r="AU606" s="148" t="s">
        <v>82</v>
      </c>
      <c r="AY606" s="18" t="s">
        <v>137</v>
      </c>
      <c r="BE606" s="149">
        <f>IF(N606="základní",J608,0)</f>
        <v>0</v>
      </c>
      <c r="BF606" s="149">
        <f>IF(N606="snížená",J608,0)</f>
        <v>0</v>
      </c>
      <c r="BG606" s="149">
        <f>IF(N606="zákl. přenesená",J608,0)</f>
        <v>0</v>
      </c>
      <c r="BH606" s="149">
        <f>IF(N606="sníž. přenesená",J608,0)</f>
        <v>0</v>
      </c>
      <c r="BI606" s="149">
        <f>IF(N606="nulová",J608,0)</f>
        <v>0</v>
      </c>
      <c r="BJ606" s="18" t="s">
        <v>80</v>
      </c>
      <c r="BK606" s="149">
        <f>ROUND(I608*H608,2)</f>
        <v>0</v>
      </c>
      <c r="BL606" s="18" t="s">
        <v>728</v>
      </c>
      <c r="BM606" s="148" t="s">
        <v>778</v>
      </c>
    </row>
    <row r="607" spans="1:65" s="2" customFormat="1" ht="13.2">
      <c r="A607" s="30"/>
      <c r="B607" s="31"/>
      <c r="C607" s="12"/>
      <c r="D607" s="126" t="s">
        <v>71</v>
      </c>
      <c r="E607" s="135" t="s">
        <v>775</v>
      </c>
      <c r="F607" s="135" t="s">
        <v>776</v>
      </c>
      <c r="G607" s="12"/>
      <c r="H607" s="12"/>
      <c r="I607" s="12"/>
      <c r="J607" s="136">
        <f>BK605</f>
        <v>0</v>
      </c>
      <c r="K607" s="12"/>
      <c r="L607" s="31"/>
      <c r="M607" s="189"/>
      <c r="N607" s="190"/>
      <c r="O607" s="191"/>
      <c r="P607" s="191"/>
      <c r="Q607" s="191"/>
      <c r="R607" s="191"/>
      <c r="S607" s="191"/>
      <c r="T607" s="192"/>
      <c r="U607" s="30"/>
      <c r="V607" s="30"/>
      <c r="W607" s="30"/>
      <c r="X607" s="30"/>
      <c r="Y607" s="30"/>
      <c r="Z607" s="30"/>
      <c r="AA607" s="30"/>
      <c r="AB607" s="30"/>
      <c r="AC607" s="30"/>
      <c r="AD607" s="30"/>
      <c r="AE607" s="30"/>
      <c r="AT607" s="18" t="s">
        <v>150</v>
      </c>
      <c r="AU607" s="18" t="s">
        <v>82</v>
      </c>
    </row>
    <row r="608" spans="1:65" s="2" customFormat="1" ht="13.5" customHeight="1">
      <c r="A608" s="30"/>
      <c r="B608" s="31"/>
      <c r="C608" s="138">
        <v>171</v>
      </c>
      <c r="D608" s="138" t="s">
        <v>139</v>
      </c>
      <c r="E608" s="139" t="s">
        <v>777</v>
      </c>
      <c r="F608" s="140" t="s">
        <v>776</v>
      </c>
      <c r="G608" s="141" t="s">
        <v>477</v>
      </c>
      <c r="H608" s="142">
        <v>1</v>
      </c>
      <c r="I608" s="318">
        <v>0</v>
      </c>
      <c r="J608" s="143">
        <f>ROUND(I608*H608,2)</f>
        <v>0</v>
      </c>
      <c r="K608" s="140" t="s">
        <v>143</v>
      </c>
      <c r="L608" s="31"/>
      <c r="M608" s="30"/>
      <c r="O608" s="30"/>
      <c r="P608" s="30"/>
      <c r="Q608" s="30"/>
      <c r="R608" s="30"/>
      <c r="S608" s="30"/>
      <c r="T608" s="30"/>
      <c r="U608" s="30"/>
      <c r="V608" s="30"/>
      <c r="W608" s="30"/>
      <c r="X608" s="30"/>
      <c r="Y608" s="30"/>
      <c r="Z608" s="30"/>
      <c r="AA608" s="30"/>
      <c r="AB608" s="30"/>
      <c r="AC608" s="30"/>
      <c r="AD608" s="30"/>
      <c r="AE608" s="30"/>
    </row>
    <row r="609" spans="2:11" ht="86.4">
      <c r="B609" s="21"/>
      <c r="C609" s="30"/>
      <c r="D609" s="150" t="s">
        <v>150</v>
      </c>
      <c r="E609" s="30"/>
      <c r="F609" s="151" t="s">
        <v>779</v>
      </c>
      <c r="G609" s="30"/>
      <c r="H609" s="30"/>
      <c r="I609" s="30"/>
      <c r="J609" s="30"/>
      <c r="K609" s="313"/>
    </row>
    <row r="610" spans="2:11">
      <c r="B610" s="315"/>
      <c r="C610" s="46"/>
      <c r="D610" s="46"/>
      <c r="E610" s="46"/>
      <c r="F610" s="46"/>
      <c r="G610" s="46"/>
      <c r="H610" s="46"/>
      <c r="I610" s="46"/>
      <c r="J610" s="46"/>
      <c r="K610" s="314"/>
    </row>
  </sheetData>
  <autoFilter ref="C145:K609"/>
  <mergeCells count="9">
    <mergeCell ref="E136:H136"/>
    <mergeCell ref="E138:H138"/>
    <mergeCell ref="L2:V2"/>
    <mergeCell ref="E7:H7"/>
    <mergeCell ref="E9:H9"/>
    <mergeCell ref="E27:H27"/>
    <mergeCell ref="E85:H85"/>
    <mergeCell ref="E87:H87"/>
    <mergeCell ref="E18:H1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D.1 - Stavebně technický ...</vt:lpstr>
      <vt:lpstr>'D.1 - Stavebně technický ...'!Názvy_tisku</vt:lpstr>
      <vt:lpstr>'Rekapitulace stavby'!Názvy_tisku</vt:lpstr>
      <vt:lpstr>'D.1 - Stavebně technický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DESKTOP-4EPUNVH\Moje</dc:creator>
  <cp:lastModifiedBy>Kolarčíková Eva, Ing.</cp:lastModifiedBy>
  <dcterms:created xsi:type="dcterms:W3CDTF">2024-02-07T09:47:48Z</dcterms:created>
  <dcterms:modified xsi:type="dcterms:W3CDTF">2025-04-15T11:13:18Z</dcterms:modified>
</cp:coreProperties>
</file>