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silnicelk-my.sharepoint.com/personal/monika_poslova_silnicelk_cz/Documents/Documents/_VEŘEJNÉ ZAKÁZKY/Z25026_Hala Přepeře/2_Souhlas DR/"/>
    </mc:Choice>
  </mc:AlternateContent>
  <xr:revisionPtr revIDLastSave="103" documentId="8_{69AE0FF8-EB2A-44E8-B7BB-37102390C1B3}" xr6:coauthVersionLast="47" xr6:coauthVersionMax="47" xr10:uidLastSave="{95B1AB94-4E54-4F01-8E0C-5E4D61939672}"/>
  <bookViews>
    <workbookView xWindow="-120" yWindow="-120" windowWidth="29040" windowHeight="15720" xr2:uid="{00000000-000D-0000-FFFF-FFFF00000000}"/>
  </bookViews>
  <sheets>
    <sheet name="Stavební rozpočet" sheetId="1" r:id="rId1"/>
    <sheet name="Stavební rozpočet - součet" sheetId="2" r:id="rId2"/>
    <sheet name="Krycí list rozpočtu" sheetId="3" r:id="rId3"/>
    <sheet name="VORN" sheetId="4" state="hidden" r:id="rId4"/>
  </sheets>
  <definedNames>
    <definedName name="vorn_sum">VORN!$I$45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F44" i="4" l="1"/>
  <c r="I44" i="4" s="1"/>
  <c r="F43" i="4"/>
  <c r="I43" i="4" s="1"/>
  <c r="F42" i="4"/>
  <c r="I42" i="4" s="1"/>
  <c r="F41" i="4"/>
  <c r="I41" i="4" s="1"/>
  <c r="F39" i="4"/>
  <c r="I39" i="4" s="1"/>
  <c r="F38" i="4"/>
  <c r="I38" i="4" s="1"/>
  <c r="F37" i="4"/>
  <c r="I37" i="4" s="1"/>
  <c r="F36" i="4"/>
  <c r="I36" i="4" s="1"/>
  <c r="F35" i="4"/>
  <c r="I35" i="4" s="1"/>
  <c r="I26" i="4"/>
  <c r="I19" i="3" s="1"/>
  <c r="I25" i="4"/>
  <c r="I18" i="3" s="1"/>
  <c r="I24" i="4"/>
  <c r="I23" i="4"/>
  <c r="I16" i="3" s="1"/>
  <c r="I22" i="4"/>
  <c r="I21" i="4"/>
  <c r="I14" i="3" s="1"/>
  <c r="I17" i="4"/>
  <c r="I16" i="4"/>
  <c r="I15" i="4"/>
  <c r="I18" i="4" s="1"/>
  <c r="I10" i="4"/>
  <c r="F10" i="4"/>
  <c r="C10" i="4"/>
  <c r="F8" i="4"/>
  <c r="C8" i="4"/>
  <c r="F6" i="4"/>
  <c r="C6" i="4"/>
  <c r="F4" i="4"/>
  <c r="C4" i="4"/>
  <c r="F2" i="4"/>
  <c r="C2" i="4"/>
  <c r="I17" i="3"/>
  <c r="F16" i="3"/>
  <c r="I15" i="3"/>
  <c r="F15" i="3"/>
  <c r="F14" i="3"/>
  <c r="F22" i="3" s="1"/>
  <c r="I10" i="3"/>
  <c r="F10" i="3"/>
  <c r="C10" i="3"/>
  <c r="F8" i="3"/>
  <c r="C8" i="3"/>
  <c r="F6" i="3"/>
  <c r="C6" i="3"/>
  <c r="F4" i="3"/>
  <c r="C4" i="3"/>
  <c r="F2" i="3"/>
  <c r="C2" i="3"/>
  <c r="G22" i="2"/>
  <c r="I21" i="2"/>
  <c r="G8" i="2"/>
  <c r="C8" i="2"/>
  <c r="C6" i="2"/>
  <c r="G4" i="2"/>
  <c r="C4" i="2"/>
  <c r="G2" i="2"/>
  <c r="C2" i="2"/>
  <c r="BW58" i="1"/>
  <c r="BR58" i="1"/>
  <c r="F40" i="4" s="1"/>
  <c r="I40" i="4" s="1"/>
  <c r="BJ58" i="1"/>
  <c r="BD58" i="1"/>
  <c r="AP58" i="1"/>
  <c r="AX58" i="1" s="1"/>
  <c r="AO58" i="1"/>
  <c r="AW58" i="1" s="1"/>
  <c r="AK58" i="1"/>
  <c r="AJ58" i="1"/>
  <c r="AS57" i="1" s="1"/>
  <c r="AH58" i="1"/>
  <c r="AG58" i="1"/>
  <c r="AF58" i="1"/>
  <c r="AE58" i="1"/>
  <c r="AD58" i="1"/>
  <c r="AC58" i="1"/>
  <c r="AB58" i="1"/>
  <c r="Z58" i="1"/>
  <c r="O58" i="1"/>
  <c r="BF58" i="1" s="1"/>
  <c r="L58" i="1"/>
  <c r="L57" i="1" s="1"/>
  <c r="AT57" i="1"/>
  <c r="O57" i="1"/>
  <c r="O56" i="1"/>
  <c r="G21" i="2" s="1"/>
  <c r="BW55" i="1"/>
  <c r="BJ55" i="1"/>
  <c r="AH55" i="1" s="1"/>
  <c r="BF55" i="1"/>
  <c r="BD55" i="1"/>
  <c r="AP55" i="1"/>
  <c r="BI55" i="1" s="1"/>
  <c r="AO55" i="1"/>
  <c r="BH55" i="1" s="1"/>
  <c r="AK55" i="1"/>
  <c r="AJ55" i="1"/>
  <c r="AG55" i="1"/>
  <c r="AF55" i="1"/>
  <c r="AE55" i="1"/>
  <c r="AD55" i="1"/>
  <c r="AC55" i="1"/>
  <c r="AB55" i="1"/>
  <c r="Z55" i="1"/>
  <c r="O55" i="1"/>
  <c r="L55" i="1"/>
  <c r="AL55" i="1" s="1"/>
  <c r="J55" i="1"/>
  <c r="BW54" i="1"/>
  <c r="BJ54" i="1"/>
  <c r="AH54" i="1" s="1"/>
  <c r="BD54" i="1"/>
  <c r="AP54" i="1"/>
  <c r="AX54" i="1" s="1"/>
  <c r="AO54" i="1"/>
  <c r="AW54" i="1" s="1"/>
  <c r="AK54" i="1"/>
  <c r="AJ54" i="1"/>
  <c r="AG54" i="1"/>
  <c r="AF54" i="1"/>
  <c r="AE54" i="1"/>
  <c r="AD54" i="1"/>
  <c r="AC54" i="1"/>
  <c r="AB54" i="1"/>
  <c r="Z54" i="1"/>
  <c r="O54" i="1"/>
  <c r="BF54" i="1" s="1"/>
  <c r="L54" i="1"/>
  <c r="AL54" i="1" s="1"/>
  <c r="BW53" i="1"/>
  <c r="BJ53" i="1"/>
  <c r="AH53" i="1" s="1"/>
  <c r="BI53" i="1"/>
  <c r="BF53" i="1"/>
  <c r="BD53" i="1"/>
  <c r="AP53" i="1"/>
  <c r="AX53" i="1" s="1"/>
  <c r="AO53" i="1"/>
  <c r="BH53" i="1" s="1"/>
  <c r="AK53" i="1"/>
  <c r="AJ53" i="1"/>
  <c r="AG53" i="1"/>
  <c r="AF53" i="1"/>
  <c r="AE53" i="1"/>
  <c r="AD53" i="1"/>
  <c r="AC53" i="1"/>
  <c r="AB53" i="1"/>
  <c r="Z53" i="1"/>
  <c r="O53" i="1"/>
  <c r="L53" i="1"/>
  <c r="AL53" i="1" s="1"/>
  <c r="K53" i="1"/>
  <c r="O52" i="1"/>
  <c r="G20" i="2" s="1"/>
  <c r="BW51" i="1"/>
  <c r="BJ51" i="1"/>
  <c r="Z51" i="1" s="1"/>
  <c r="BF51" i="1"/>
  <c r="BD51" i="1"/>
  <c r="AP51" i="1"/>
  <c r="BI51" i="1" s="1"/>
  <c r="AO51" i="1"/>
  <c r="BH51" i="1" s="1"/>
  <c r="AK51" i="1"/>
  <c r="AJ51" i="1"/>
  <c r="AS50" i="1" s="1"/>
  <c r="AH51" i="1"/>
  <c r="AG51" i="1"/>
  <c r="AF51" i="1"/>
  <c r="AE51" i="1"/>
  <c r="AD51" i="1"/>
  <c r="AC51" i="1"/>
  <c r="AB51" i="1"/>
  <c r="O51" i="1"/>
  <c r="L51" i="1"/>
  <c r="AL51" i="1" s="1"/>
  <c r="AU50" i="1" s="1"/>
  <c r="AT50" i="1"/>
  <c r="O50" i="1"/>
  <c r="G19" i="2" s="1"/>
  <c r="BW49" i="1"/>
  <c r="BJ49" i="1"/>
  <c r="Z49" i="1" s="1"/>
  <c r="BF49" i="1"/>
  <c r="BD49" i="1"/>
  <c r="AP49" i="1"/>
  <c r="BI49" i="1" s="1"/>
  <c r="AO49" i="1"/>
  <c r="BH49" i="1" s="1"/>
  <c r="AK49" i="1"/>
  <c r="AT48" i="1" s="1"/>
  <c r="AJ49" i="1"/>
  <c r="AS48" i="1" s="1"/>
  <c r="AH49" i="1"/>
  <c r="AG49" i="1"/>
  <c r="AF49" i="1"/>
  <c r="AE49" i="1"/>
  <c r="AD49" i="1"/>
  <c r="AC49" i="1"/>
  <c r="AB49" i="1"/>
  <c r="O49" i="1"/>
  <c r="L49" i="1"/>
  <c r="AL49" i="1" s="1"/>
  <c r="AU48" i="1" s="1"/>
  <c r="K49" i="1"/>
  <c r="K48" i="1" s="1"/>
  <c r="E18" i="2" s="1"/>
  <c r="O48" i="1"/>
  <c r="G18" i="2" s="1"/>
  <c r="BW47" i="1"/>
  <c r="BJ47" i="1"/>
  <c r="BF47" i="1"/>
  <c r="BD47" i="1"/>
  <c r="AP47" i="1"/>
  <c r="BI47" i="1" s="1"/>
  <c r="AC47" i="1" s="1"/>
  <c r="AO47" i="1"/>
  <c r="BH47" i="1" s="1"/>
  <c r="AB47" i="1" s="1"/>
  <c r="AK47" i="1"/>
  <c r="AJ47" i="1"/>
  <c r="AH47" i="1"/>
  <c r="AG47" i="1"/>
  <c r="AF47" i="1"/>
  <c r="AE47" i="1"/>
  <c r="AD47" i="1"/>
  <c r="Z47" i="1"/>
  <c r="O47" i="1"/>
  <c r="L47" i="1"/>
  <c r="AL47" i="1" s="1"/>
  <c r="K47" i="1"/>
  <c r="BW46" i="1"/>
  <c r="BJ46" i="1"/>
  <c r="BH46" i="1"/>
  <c r="AB46" i="1" s="1"/>
  <c r="BF46" i="1"/>
  <c r="BD46" i="1"/>
  <c r="AW46" i="1"/>
  <c r="AP46" i="1"/>
  <c r="BI46" i="1" s="1"/>
  <c r="AC46" i="1" s="1"/>
  <c r="AO46" i="1"/>
  <c r="AK46" i="1"/>
  <c r="AJ46" i="1"/>
  <c r="AH46" i="1"/>
  <c r="AG46" i="1"/>
  <c r="AF46" i="1"/>
  <c r="AE46" i="1"/>
  <c r="AD46" i="1"/>
  <c r="Z46" i="1"/>
  <c r="O46" i="1"/>
  <c r="L46" i="1"/>
  <c r="AL46" i="1" s="1"/>
  <c r="J46" i="1"/>
  <c r="BW44" i="1"/>
  <c r="BJ44" i="1"/>
  <c r="BD44" i="1"/>
  <c r="AP44" i="1"/>
  <c r="AX44" i="1" s="1"/>
  <c r="AO44" i="1"/>
  <c r="AW44" i="1" s="1"/>
  <c r="AL44" i="1"/>
  <c r="AK44" i="1"/>
  <c r="AJ44" i="1"/>
  <c r="AH44" i="1"/>
  <c r="AG44" i="1"/>
  <c r="AF44" i="1"/>
  <c r="AE44" i="1"/>
  <c r="AD44" i="1"/>
  <c r="Z44" i="1"/>
  <c r="O44" i="1"/>
  <c r="BF44" i="1" s="1"/>
  <c r="L44" i="1"/>
  <c r="M44" i="1" s="1"/>
  <c r="BW42" i="1"/>
  <c r="BJ42" i="1"/>
  <c r="BF42" i="1"/>
  <c r="BD42" i="1"/>
  <c r="AP42" i="1"/>
  <c r="BI42" i="1" s="1"/>
  <c r="AC42" i="1" s="1"/>
  <c r="AO42" i="1"/>
  <c r="BH42" i="1" s="1"/>
  <c r="AB42" i="1" s="1"/>
  <c r="AK42" i="1"/>
  <c r="AJ42" i="1"/>
  <c r="AH42" i="1"/>
  <c r="AG42" i="1"/>
  <c r="AF42" i="1"/>
  <c r="AE42" i="1"/>
  <c r="AD42" i="1"/>
  <c r="Z42" i="1"/>
  <c r="O42" i="1"/>
  <c r="L42" i="1"/>
  <c r="AL42" i="1" s="1"/>
  <c r="K42" i="1"/>
  <c r="BW40" i="1"/>
  <c r="BJ40" i="1"/>
  <c r="BF40" i="1"/>
  <c r="BD40" i="1"/>
  <c r="AP40" i="1"/>
  <c r="BI40" i="1" s="1"/>
  <c r="AC40" i="1" s="1"/>
  <c r="AO40" i="1"/>
  <c r="BH40" i="1" s="1"/>
  <c r="AB40" i="1" s="1"/>
  <c r="AK40" i="1"/>
  <c r="AJ40" i="1"/>
  <c r="AH40" i="1"/>
  <c r="AG40" i="1"/>
  <c r="AF40" i="1"/>
  <c r="AE40" i="1"/>
  <c r="AD40" i="1"/>
  <c r="Z40" i="1"/>
  <c r="O40" i="1"/>
  <c r="L40" i="1"/>
  <c r="AL40" i="1" s="1"/>
  <c r="BW39" i="1"/>
  <c r="BJ39" i="1"/>
  <c r="BD39" i="1"/>
  <c r="AP39" i="1"/>
  <c r="AX39" i="1" s="1"/>
  <c r="AO39" i="1"/>
  <c r="AW39" i="1" s="1"/>
  <c r="AK39" i="1"/>
  <c r="AJ39" i="1"/>
  <c r="AH39" i="1"/>
  <c r="AG39" i="1"/>
  <c r="AF39" i="1"/>
  <c r="AE39" i="1"/>
  <c r="AD39" i="1"/>
  <c r="Z39" i="1"/>
  <c r="O39" i="1"/>
  <c r="BF39" i="1" s="1"/>
  <c r="L39" i="1"/>
  <c r="AL39" i="1" s="1"/>
  <c r="BW37" i="1"/>
  <c r="BJ37" i="1"/>
  <c r="BD37" i="1"/>
  <c r="AP37" i="1"/>
  <c r="AX37" i="1" s="1"/>
  <c r="AO37" i="1"/>
  <c r="AW37" i="1" s="1"/>
  <c r="AL37" i="1"/>
  <c r="AU36" i="1" s="1"/>
  <c r="AK37" i="1"/>
  <c r="AT36" i="1" s="1"/>
  <c r="AJ37" i="1"/>
  <c r="AS36" i="1" s="1"/>
  <c r="AH37" i="1"/>
  <c r="AG37" i="1"/>
  <c r="AF37" i="1"/>
  <c r="AC37" i="1"/>
  <c r="AB37" i="1"/>
  <c r="Z37" i="1"/>
  <c r="O37" i="1"/>
  <c r="BF37" i="1" s="1"/>
  <c r="L37" i="1"/>
  <c r="M37" i="1" s="1"/>
  <c r="M36" i="1" s="1"/>
  <c r="L36" i="1"/>
  <c r="F16" i="2" s="1"/>
  <c r="I16" i="2" s="1"/>
  <c r="BW35" i="1"/>
  <c r="BJ35" i="1"/>
  <c r="BD35" i="1"/>
  <c r="AP35" i="1"/>
  <c r="AX35" i="1" s="1"/>
  <c r="AO35" i="1"/>
  <c r="AW35" i="1" s="1"/>
  <c r="AK35" i="1"/>
  <c r="AJ35" i="1"/>
  <c r="AH35" i="1"/>
  <c r="AG35" i="1"/>
  <c r="AF35" i="1"/>
  <c r="AC35" i="1"/>
  <c r="AB35" i="1"/>
  <c r="Z35" i="1"/>
  <c r="O35" i="1"/>
  <c r="BF35" i="1" s="1"/>
  <c r="L35" i="1"/>
  <c r="M35" i="1" s="1"/>
  <c r="BW34" i="1"/>
  <c r="BJ34" i="1"/>
  <c r="BF34" i="1"/>
  <c r="BD34" i="1"/>
  <c r="AP34" i="1"/>
  <c r="AX34" i="1" s="1"/>
  <c r="AO34" i="1"/>
  <c r="BH34" i="1" s="1"/>
  <c r="AD34" i="1" s="1"/>
  <c r="AK34" i="1"/>
  <c r="AJ34" i="1"/>
  <c r="AH34" i="1"/>
  <c r="AG34" i="1"/>
  <c r="AF34" i="1"/>
  <c r="AC34" i="1"/>
  <c r="AB34" i="1"/>
  <c r="Z34" i="1"/>
  <c r="O34" i="1"/>
  <c r="O32" i="1" s="1"/>
  <c r="G15" i="2" s="1"/>
  <c r="L34" i="1"/>
  <c r="AL34" i="1" s="1"/>
  <c r="BW33" i="1"/>
  <c r="BJ33" i="1"/>
  <c r="BF33" i="1"/>
  <c r="BD33" i="1"/>
  <c r="AP33" i="1"/>
  <c r="BI33" i="1" s="1"/>
  <c r="AE33" i="1" s="1"/>
  <c r="AO33" i="1"/>
  <c r="BH33" i="1" s="1"/>
  <c r="AD33" i="1" s="1"/>
  <c r="AK33" i="1"/>
  <c r="AT32" i="1" s="1"/>
  <c r="AJ33" i="1"/>
  <c r="AH33" i="1"/>
  <c r="AG33" i="1"/>
  <c r="AF33" i="1"/>
  <c r="AC33" i="1"/>
  <c r="AB33" i="1"/>
  <c r="Z33" i="1"/>
  <c r="O33" i="1"/>
  <c r="L33" i="1"/>
  <c r="BW31" i="1"/>
  <c r="BJ31" i="1"/>
  <c r="BF31" i="1"/>
  <c r="BD31" i="1"/>
  <c r="AP31" i="1"/>
  <c r="BI31" i="1" s="1"/>
  <c r="AE31" i="1" s="1"/>
  <c r="AO31" i="1"/>
  <c r="AW31" i="1" s="1"/>
  <c r="AK31" i="1"/>
  <c r="AJ31" i="1"/>
  <c r="AH31" i="1"/>
  <c r="AG31" i="1"/>
  <c r="AF31" i="1"/>
  <c r="AC31" i="1"/>
  <c r="AB31" i="1"/>
  <c r="Z31" i="1"/>
  <c r="O31" i="1"/>
  <c r="L31" i="1"/>
  <c r="AL31" i="1" s="1"/>
  <c r="BW30" i="1"/>
  <c r="BJ30" i="1"/>
  <c r="BD30" i="1"/>
  <c r="AP30" i="1"/>
  <c r="AX30" i="1" s="1"/>
  <c r="AO30" i="1"/>
  <c r="AW30" i="1" s="1"/>
  <c r="AL30" i="1"/>
  <c r="AK30" i="1"/>
  <c r="AJ30" i="1"/>
  <c r="AH30" i="1"/>
  <c r="AG30" i="1"/>
  <c r="AF30" i="1"/>
  <c r="AC30" i="1"/>
  <c r="AB30" i="1"/>
  <c r="Z30" i="1"/>
  <c r="O30" i="1"/>
  <c r="BF30" i="1" s="1"/>
  <c r="L30" i="1"/>
  <c r="M30" i="1" s="1"/>
  <c r="BW29" i="1"/>
  <c r="BJ29" i="1"/>
  <c r="BF29" i="1"/>
  <c r="BD29" i="1"/>
  <c r="AP29" i="1"/>
  <c r="BI29" i="1" s="1"/>
  <c r="AE29" i="1" s="1"/>
  <c r="AO29" i="1"/>
  <c r="BH29" i="1" s="1"/>
  <c r="AD29" i="1" s="1"/>
  <c r="AK29" i="1"/>
  <c r="AJ29" i="1"/>
  <c r="AH29" i="1"/>
  <c r="AG29" i="1"/>
  <c r="AF29" i="1"/>
  <c r="AC29" i="1"/>
  <c r="AB29" i="1"/>
  <c r="Z29" i="1"/>
  <c r="O29" i="1"/>
  <c r="L29" i="1"/>
  <c r="AL29" i="1" s="1"/>
  <c r="K29" i="1"/>
  <c r="BW28" i="1"/>
  <c r="BJ28" i="1"/>
  <c r="BF28" i="1"/>
  <c r="BD28" i="1"/>
  <c r="AP28" i="1"/>
  <c r="BI28" i="1" s="1"/>
  <c r="AE28" i="1" s="1"/>
  <c r="AO28" i="1"/>
  <c r="J28" i="1" s="1"/>
  <c r="AK28" i="1"/>
  <c r="AJ28" i="1"/>
  <c r="AH28" i="1"/>
  <c r="AG28" i="1"/>
  <c r="AF28" i="1"/>
  <c r="AC28" i="1"/>
  <c r="AB28" i="1"/>
  <c r="Z28" i="1"/>
  <c r="O28" i="1"/>
  <c r="L28" i="1"/>
  <c r="BW27" i="1"/>
  <c r="BJ27" i="1"/>
  <c r="BD27" i="1"/>
  <c r="AP27" i="1"/>
  <c r="AX27" i="1" s="1"/>
  <c r="AO27" i="1"/>
  <c r="AW27" i="1" s="1"/>
  <c r="AL27" i="1"/>
  <c r="AK27" i="1"/>
  <c r="AJ27" i="1"/>
  <c r="AH27" i="1"/>
  <c r="AG27" i="1"/>
  <c r="AF27" i="1"/>
  <c r="AC27" i="1"/>
  <c r="AB27" i="1"/>
  <c r="Z27" i="1"/>
  <c r="O27" i="1"/>
  <c r="BF27" i="1" s="1"/>
  <c r="M27" i="1"/>
  <c r="L27" i="1"/>
  <c r="BW24" i="1"/>
  <c r="BJ24" i="1"/>
  <c r="BD24" i="1"/>
  <c r="AP24" i="1"/>
  <c r="AX24" i="1" s="1"/>
  <c r="AO24" i="1"/>
  <c r="AW24" i="1" s="1"/>
  <c r="BC24" i="1" s="1"/>
  <c r="AL24" i="1"/>
  <c r="AK24" i="1"/>
  <c r="AJ24" i="1"/>
  <c r="AH24" i="1"/>
  <c r="AG24" i="1"/>
  <c r="AF24" i="1"/>
  <c r="AC24" i="1"/>
  <c r="AB24" i="1"/>
  <c r="Z24" i="1"/>
  <c r="O24" i="1"/>
  <c r="BF24" i="1" s="1"/>
  <c r="L24" i="1"/>
  <c r="M24" i="1" s="1"/>
  <c r="BW22" i="1"/>
  <c r="BJ22" i="1"/>
  <c r="BF22" i="1"/>
  <c r="BD22" i="1"/>
  <c r="AP22" i="1"/>
  <c r="AX22" i="1" s="1"/>
  <c r="AO22" i="1"/>
  <c r="BH22" i="1" s="1"/>
  <c r="AD22" i="1" s="1"/>
  <c r="AK22" i="1"/>
  <c r="AJ22" i="1"/>
  <c r="AH22" i="1"/>
  <c r="AG22" i="1"/>
  <c r="AF22" i="1"/>
  <c r="AC22" i="1"/>
  <c r="AB22" i="1"/>
  <c r="Z22" i="1"/>
  <c r="O22" i="1"/>
  <c r="L22" i="1"/>
  <c r="AL22" i="1" s="1"/>
  <c r="O21" i="1"/>
  <c r="G13" i="2" s="1"/>
  <c r="BW20" i="1"/>
  <c r="BJ20" i="1"/>
  <c r="BF20" i="1"/>
  <c r="BD20" i="1"/>
  <c r="AP20" i="1"/>
  <c r="BI20" i="1" s="1"/>
  <c r="AC20" i="1" s="1"/>
  <c r="AO20" i="1"/>
  <c r="BH20" i="1" s="1"/>
  <c r="AB20" i="1" s="1"/>
  <c r="AK20" i="1"/>
  <c r="AJ20" i="1"/>
  <c r="AH20" i="1"/>
  <c r="AG20" i="1"/>
  <c r="AF20" i="1"/>
  <c r="AE20" i="1"/>
  <c r="AD20" i="1"/>
  <c r="Z20" i="1"/>
  <c r="O20" i="1"/>
  <c r="L20" i="1"/>
  <c r="AL20" i="1" s="1"/>
  <c r="K20" i="1"/>
  <c r="BW19" i="1"/>
  <c r="BJ19" i="1"/>
  <c r="BF19" i="1"/>
  <c r="BD19" i="1"/>
  <c r="AP19" i="1"/>
  <c r="BI19" i="1" s="1"/>
  <c r="AC19" i="1" s="1"/>
  <c r="AO19" i="1"/>
  <c r="BH19" i="1" s="1"/>
  <c r="AB19" i="1" s="1"/>
  <c r="AK19" i="1"/>
  <c r="AT18" i="1" s="1"/>
  <c r="AJ19" i="1"/>
  <c r="AH19" i="1"/>
  <c r="AG19" i="1"/>
  <c r="AF19" i="1"/>
  <c r="AE19" i="1"/>
  <c r="AD19" i="1"/>
  <c r="Z19" i="1"/>
  <c r="O19" i="1"/>
  <c r="L19" i="1"/>
  <c r="O18" i="1"/>
  <c r="G12" i="2" s="1"/>
  <c r="BW17" i="1"/>
  <c r="BJ17" i="1"/>
  <c r="BF17" i="1"/>
  <c r="BD17" i="1"/>
  <c r="AP17" i="1"/>
  <c r="BI17" i="1" s="1"/>
  <c r="AC17" i="1" s="1"/>
  <c r="AO17" i="1"/>
  <c r="AW17" i="1" s="1"/>
  <c r="AK17" i="1"/>
  <c r="AJ17" i="1"/>
  <c r="AH17" i="1"/>
  <c r="AG17" i="1"/>
  <c r="AF17" i="1"/>
  <c r="AE17" i="1"/>
  <c r="AD17" i="1"/>
  <c r="Z17" i="1"/>
  <c r="O17" i="1"/>
  <c r="L17" i="1"/>
  <c r="BW16" i="1"/>
  <c r="BJ16" i="1"/>
  <c r="BD16" i="1"/>
  <c r="AP16" i="1"/>
  <c r="AX16" i="1" s="1"/>
  <c r="AO16" i="1"/>
  <c r="AK16" i="1"/>
  <c r="AJ16" i="1"/>
  <c r="AH16" i="1"/>
  <c r="AG16" i="1"/>
  <c r="AF16" i="1"/>
  <c r="AE16" i="1"/>
  <c r="AD16" i="1"/>
  <c r="Z16" i="1"/>
  <c r="O16" i="1"/>
  <c r="L16" i="1"/>
  <c r="M16" i="1" s="1"/>
  <c r="BW15" i="1"/>
  <c r="BJ15" i="1"/>
  <c r="BF15" i="1"/>
  <c r="BD15" i="1"/>
  <c r="AP15" i="1"/>
  <c r="BI15" i="1" s="1"/>
  <c r="AC15" i="1" s="1"/>
  <c r="AO15" i="1"/>
  <c r="BH15" i="1" s="1"/>
  <c r="AB15" i="1" s="1"/>
  <c r="AK15" i="1"/>
  <c r="AJ15" i="1"/>
  <c r="AH15" i="1"/>
  <c r="AG15" i="1"/>
  <c r="AF15" i="1"/>
  <c r="AE15" i="1"/>
  <c r="AD15" i="1"/>
  <c r="Z15" i="1"/>
  <c r="O15" i="1"/>
  <c r="L15" i="1"/>
  <c r="AL15" i="1" s="1"/>
  <c r="BW13" i="1"/>
  <c r="BJ13" i="1"/>
  <c r="BF13" i="1"/>
  <c r="BD13" i="1"/>
  <c r="AP13" i="1"/>
  <c r="BI13" i="1" s="1"/>
  <c r="AC13" i="1" s="1"/>
  <c r="AO13" i="1"/>
  <c r="BH13" i="1" s="1"/>
  <c r="AB13" i="1" s="1"/>
  <c r="AK13" i="1"/>
  <c r="AJ13" i="1"/>
  <c r="AH13" i="1"/>
  <c r="AG13" i="1"/>
  <c r="AF13" i="1"/>
  <c r="AE13" i="1"/>
  <c r="AD13" i="1"/>
  <c r="Z13" i="1"/>
  <c r="O13" i="1"/>
  <c r="L13" i="1"/>
  <c r="AU1" i="1"/>
  <c r="AT1" i="1"/>
  <c r="AS1" i="1"/>
  <c r="BH17" i="1" l="1"/>
  <c r="AB17" i="1" s="1"/>
  <c r="J17" i="1"/>
  <c r="K15" i="1"/>
  <c r="K22" i="1"/>
  <c r="AL35" i="1"/>
  <c r="AS32" i="1"/>
  <c r="J40" i="1"/>
  <c r="AW40" i="1"/>
  <c r="K51" i="1"/>
  <c r="K50" i="1" s="1"/>
  <c r="E19" i="2" s="1"/>
  <c r="AS52" i="1"/>
  <c r="J13" i="1"/>
  <c r="AX15" i="1"/>
  <c r="AS12" i="1"/>
  <c r="AS18" i="1"/>
  <c r="BI22" i="1"/>
  <c r="AE22" i="1" s="1"/>
  <c r="AT21" i="1"/>
  <c r="AX29" i="1"/>
  <c r="BH31" i="1"/>
  <c r="AD31" i="1" s="1"/>
  <c r="AT26" i="1"/>
  <c r="AW33" i="1"/>
  <c r="AS38" i="1"/>
  <c r="AX51" i="1"/>
  <c r="AW55" i="1"/>
  <c r="BC55" i="1" s="1"/>
  <c r="M58" i="1"/>
  <c r="M57" i="1" s="1"/>
  <c r="M56" i="1" s="1"/>
  <c r="BC58" i="1"/>
  <c r="AT52" i="1"/>
  <c r="M54" i="1"/>
  <c r="AU52" i="1"/>
  <c r="AX49" i="1"/>
  <c r="AX47" i="1"/>
  <c r="AX42" i="1"/>
  <c r="AT38" i="1"/>
  <c r="M39" i="1"/>
  <c r="L38" i="1"/>
  <c r="F17" i="2" s="1"/>
  <c r="I17" i="2" s="1"/>
  <c r="BI34" i="1"/>
  <c r="AE34" i="1" s="1"/>
  <c r="K34" i="1"/>
  <c r="L32" i="1"/>
  <c r="F15" i="2" s="1"/>
  <c r="I15" i="2" s="1"/>
  <c r="J33" i="1"/>
  <c r="J31" i="1"/>
  <c r="AW28" i="1"/>
  <c r="BH28" i="1"/>
  <c r="AD28" i="1" s="1"/>
  <c r="AS26" i="1"/>
  <c r="AV24" i="1"/>
  <c r="AS21" i="1"/>
  <c r="AU21" i="1"/>
  <c r="AX20" i="1"/>
  <c r="C19" i="3"/>
  <c r="AL16" i="1"/>
  <c r="C18" i="3"/>
  <c r="AW13" i="1"/>
  <c r="BH58" i="1"/>
  <c r="BI58" i="1"/>
  <c r="J58" i="1"/>
  <c r="J57" i="1" s="1"/>
  <c r="D22" i="2" s="1"/>
  <c r="K58" i="1"/>
  <c r="K57" i="1" s="1"/>
  <c r="E22" i="2" s="1"/>
  <c r="AL58" i="1"/>
  <c r="AU57" i="1" s="1"/>
  <c r="C27" i="3"/>
  <c r="AW19" i="1"/>
  <c r="J19" i="1"/>
  <c r="C21" i="3"/>
  <c r="C20" i="3"/>
  <c r="BF16" i="1"/>
  <c r="O12" i="1"/>
  <c r="G11" i="2" s="1"/>
  <c r="AW16" i="1"/>
  <c r="BH16" i="1"/>
  <c r="AB16" i="1" s="1"/>
  <c r="J16" i="1"/>
  <c r="I45" i="4"/>
  <c r="I24" i="3" s="1"/>
  <c r="BC30" i="1"/>
  <c r="AV30" i="1"/>
  <c r="BC37" i="1"/>
  <c r="AV37" i="1"/>
  <c r="AL19" i="1"/>
  <c r="AU18" i="1" s="1"/>
  <c r="M19" i="1"/>
  <c r="L18" i="1"/>
  <c r="F12" i="2" s="1"/>
  <c r="I12" i="2" s="1"/>
  <c r="AU38" i="1"/>
  <c r="BC35" i="1"/>
  <c r="AV35" i="1"/>
  <c r="BC44" i="1"/>
  <c r="AV44" i="1"/>
  <c r="C28" i="3"/>
  <c r="F28" i="3" s="1"/>
  <c r="AT12" i="1"/>
  <c r="AL17" i="1"/>
  <c r="M17" i="1"/>
  <c r="L56" i="1"/>
  <c r="F21" i="2" s="1"/>
  <c r="F22" i="2"/>
  <c r="I22" i="2" s="1"/>
  <c r="BC27" i="1"/>
  <c r="BC54" i="1"/>
  <c r="AV54" i="1"/>
  <c r="I22" i="3"/>
  <c r="L12" i="1"/>
  <c r="M13" i="1"/>
  <c r="AL13" i="1"/>
  <c r="AV27" i="1"/>
  <c r="M28" i="1"/>
  <c r="AL28" i="1"/>
  <c r="AU26" i="1" s="1"/>
  <c r="L26" i="1"/>
  <c r="F14" i="2" s="1"/>
  <c r="I14" i="2" s="1"/>
  <c r="BC39" i="1"/>
  <c r="AV39" i="1"/>
  <c r="J24" i="1"/>
  <c r="BH24" i="1"/>
  <c r="AD24" i="1" s="1"/>
  <c r="J30" i="1"/>
  <c r="BH30" i="1"/>
  <c r="AD30" i="1" s="1"/>
  <c r="J35" i="1"/>
  <c r="BH37" i="1"/>
  <c r="AD37" i="1" s="1"/>
  <c r="J39" i="1"/>
  <c r="BH39" i="1"/>
  <c r="AB39" i="1" s="1"/>
  <c r="AX40" i="1"/>
  <c r="AV40" i="1" s="1"/>
  <c r="BH44" i="1"/>
  <c r="AB44" i="1" s="1"/>
  <c r="J54" i="1"/>
  <c r="AX55" i="1"/>
  <c r="K16" i="1"/>
  <c r="BI16" i="1"/>
  <c r="AC16" i="1" s="1"/>
  <c r="K24" i="1"/>
  <c r="BI24" i="1"/>
  <c r="AE24" i="1" s="1"/>
  <c r="K27" i="1"/>
  <c r="BI27" i="1"/>
  <c r="AE27" i="1" s="1"/>
  <c r="K30" i="1"/>
  <c r="BI30" i="1"/>
  <c r="AE30" i="1" s="1"/>
  <c r="K35" i="1"/>
  <c r="BI35" i="1"/>
  <c r="AE35" i="1" s="1"/>
  <c r="K37" i="1"/>
  <c r="K36" i="1" s="1"/>
  <c r="E16" i="2" s="1"/>
  <c r="BI37" i="1"/>
  <c r="AE37" i="1" s="1"/>
  <c r="K39" i="1"/>
  <c r="BI39" i="1"/>
  <c r="AC39" i="1" s="1"/>
  <c r="K44" i="1"/>
  <c r="BI44" i="1"/>
  <c r="AC44" i="1" s="1"/>
  <c r="K54" i="1"/>
  <c r="BI54" i="1"/>
  <c r="I27" i="4"/>
  <c r="F29" i="4" s="1"/>
  <c r="AX13" i="1"/>
  <c r="J27" i="1"/>
  <c r="BH27" i="1"/>
  <c r="AD27" i="1" s="1"/>
  <c r="AX31" i="1"/>
  <c r="AV31" i="1" s="1"/>
  <c r="AX33" i="1"/>
  <c r="BH35" i="1"/>
  <c r="AD35" i="1" s="1"/>
  <c r="J37" i="1"/>
  <c r="J36" i="1" s="1"/>
  <c r="D16" i="2" s="1"/>
  <c r="J44" i="1"/>
  <c r="AX46" i="1"/>
  <c r="AV46" i="1" s="1"/>
  <c r="BH54" i="1"/>
  <c r="L21" i="1"/>
  <c r="F13" i="2" s="1"/>
  <c r="I13" i="2" s="1"/>
  <c r="L48" i="1"/>
  <c r="F18" i="2" s="1"/>
  <c r="I18" i="2" s="1"/>
  <c r="L50" i="1"/>
  <c r="F19" i="2" s="1"/>
  <c r="I19" i="2" s="1"/>
  <c r="L52" i="1"/>
  <c r="F20" i="2" s="1"/>
  <c r="I20" i="2" s="1"/>
  <c r="AX17" i="1"/>
  <c r="AV17" i="1" s="1"/>
  <c r="AX19" i="1"/>
  <c r="AX28" i="1"/>
  <c r="AW15" i="1"/>
  <c r="AW20" i="1"/>
  <c r="AW22" i="1"/>
  <c r="AW29" i="1"/>
  <c r="AW34" i="1"/>
  <c r="AW42" i="1"/>
  <c r="AW47" i="1"/>
  <c r="AW49" i="1"/>
  <c r="AW51" i="1"/>
  <c r="AW53" i="1"/>
  <c r="AV58" i="1"/>
  <c r="K13" i="1"/>
  <c r="K17" i="1"/>
  <c r="K19" i="1"/>
  <c r="K18" i="1" s="1"/>
  <c r="E12" i="2" s="1"/>
  <c r="K28" i="1"/>
  <c r="K31" i="1"/>
  <c r="K33" i="1"/>
  <c r="K40" i="1"/>
  <c r="K46" i="1"/>
  <c r="K55" i="1"/>
  <c r="M31" i="1"/>
  <c r="M33" i="1"/>
  <c r="AL33" i="1"/>
  <c r="AU32" i="1" s="1"/>
  <c r="M40" i="1"/>
  <c r="M46" i="1"/>
  <c r="M55" i="1"/>
  <c r="J15" i="1"/>
  <c r="J20" i="1"/>
  <c r="J18" i="1" s="1"/>
  <c r="D12" i="2" s="1"/>
  <c r="J22" i="1"/>
  <c r="O26" i="1"/>
  <c r="G14" i="2" s="1"/>
  <c r="J29" i="1"/>
  <c r="J34" i="1"/>
  <c r="O36" i="1"/>
  <c r="G16" i="2" s="1"/>
  <c r="O38" i="1"/>
  <c r="G17" i="2" s="1"/>
  <c r="J42" i="1"/>
  <c r="J47" i="1"/>
  <c r="J49" i="1"/>
  <c r="J48" i="1" s="1"/>
  <c r="D18" i="2" s="1"/>
  <c r="J51" i="1"/>
  <c r="J50" i="1" s="1"/>
  <c r="D19" i="2" s="1"/>
  <c r="J53" i="1"/>
  <c r="M15" i="1"/>
  <c r="M20" i="1"/>
  <c r="M22" i="1"/>
  <c r="M21" i="1" s="1"/>
  <c r="M29" i="1"/>
  <c r="M34" i="1"/>
  <c r="M42" i="1"/>
  <c r="M47" i="1"/>
  <c r="M49" i="1"/>
  <c r="M48" i="1" s="1"/>
  <c r="M51" i="1"/>
  <c r="M50" i="1" s="1"/>
  <c r="M53" i="1"/>
  <c r="AV13" i="1" l="1"/>
  <c r="J12" i="1"/>
  <c r="D11" i="2" s="1"/>
  <c r="K21" i="1"/>
  <c r="E13" i="2" s="1"/>
  <c r="J21" i="1"/>
  <c r="D13" i="2" s="1"/>
  <c r="AV28" i="1"/>
  <c r="AV33" i="1"/>
  <c r="J32" i="1"/>
  <c r="D15" i="2" s="1"/>
  <c r="AV55" i="1"/>
  <c r="J56" i="1"/>
  <c r="D21" i="2" s="1"/>
  <c r="K52" i="1"/>
  <c r="E20" i="2" s="1"/>
  <c r="C15" i="3"/>
  <c r="C14" i="3"/>
  <c r="K32" i="1"/>
  <c r="E15" i="2" s="1"/>
  <c r="M32" i="1"/>
  <c r="BC33" i="1"/>
  <c r="K26" i="1"/>
  <c r="E14" i="2" s="1"/>
  <c r="C17" i="3"/>
  <c r="C16" i="3"/>
  <c r="M12" i="1"/>
  <c r="K56" i="1"/>
  <c r="E21" i="2" s="1"/>
  <c r="AV19" i="1"/>
  <c r="AU12" i="1"/>
  <c r="C29" i="3"/>
  <c r="F29" i="3" s="1"/>
  <c r="BC53" i="1"/>
  <c r="AV53" i="1"/>
  <c r="BC51" i="1"/>
  <c r="AV51" i="1"/>
  <c r="J26" i="1"/>
  <c r="D14" i="2" s="1"/>
  <c r="F11" i="2"/>
  <c r="I11" i="2" s="1"/>
  <c r="F23" i="2" s="1"/>
  <c r="L59" i="1"/>
  <c r="BC17" i="1"/>
  <c r="M18" i="1"/>
  <c r="BC49" i="1"/>
  <c r="AV49" i="1"/>
  <c r="BC47" i="1"/>
  <c r="AV47" i="1"/>
  <c r="J38" i="1"/>
  <c r="D17" i="2" s="1"/>
  <c r="BC46" i="1"/>
  <c r="BC29" i="1"/>
  <c r="AV29" i="1"/>
  <c r="M26" i="1"/>
  <c r="BC40" i="1"/>
  <c r="BC16" i="1"/>
  <c r="AV16" i="1"/>
  <c r="BC42" i="1"/>
  <c r="AV42" i="1"/>
  <c r="BC22" i="1"/>
  <c r="AV22" i="1"/>
  <c r="BC19" i="1"/>
  <c r="BC31" i="1"/>
  <c r="BC34" i="1"/>
  <c r="AV34" i="1"/>
  <c r="J52" i="1"/>
  <c r="D20" i="2" s="1"/>
  <c r="BC20" i="1"/>
  <c r="AV20" i="1"/>
  <c r="M52" i="1"/>
  <c r="BC15" i="1"/>
  <c r="AV15" i="1"/>
  <c r="K38" i="1"/>
  <c r="E17" i="2" s="1"/>
  <c r="BC28" i="1"/>
  <c r="M38" i="1"/>
  <c r="K12" i="1"/>
  <c r="E11" i="2" s="1"/>
  <c r="BC13" i="1"/>
  <c r="C22" i="3" l="1"/>
  <c r="M59" i="1"/>
  <c r="I28" i="3"/>
  <c r="I29" i="3" s="1"/>
</calcChain>
</file>

<file path=xl/sharedStrings.xml><?xml version="1.0" encoding="utf-8"?>
<sst xmlns="http://schemas.openxmlformats.org/spreadsheetml/2006/main" count="831" uniqueCount="275">
  <si>
    <t>Stavební rozpočet</t>
  </si>
  <si>
    <t>Název stavby:</t>
  </si>
  <si>
    <t>Hala Přepeře-aktualizace</t>
  </si>
  <si>
    <t>Doba výstavby:</t>
  </si>
  <si>
    <t xml:space="preserve"> </t>
  </si>
  <si>
    <t>Objednatel:</t>
  </si>
  <si>
    <t> Silnice LK a.s.</t>
  </si>
  <si>
    <t>Druh stavby:</t>
  </si>
  <si>
    <t>Sklad na posypové materiály</t>
  </si>
  <si>
    <t>Začátek výstavby:</t>
  </si>
  <si>
    <t>Projektant:</t>
  </si>
  <si>
    <t> </t>
  </si>
  <si>
    <t>Lokalita:</t>
  </si>
  <si>
    <t>Přepeře u Turnova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</si>
  <si>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</si>
  <si>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</si>
  <si>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</si>
  <si>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</si>
  <si>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</si>
  <si>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</si>
  <si>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</si>
  <si>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</si>
  <si>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</si>
  <si>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</si>
  <si>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</si>
  <si>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</si>
  <si>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</si>
  <si>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</si>
  <si>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</si>
  <si>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</si>
  <si>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</si>
  <si>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</si>
  <si>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</si>
  <si>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</si>
  <si>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</si>
  <si>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</si>
  <si>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</si>
  <si>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</si>
  <si>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</si>
  <si>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</si>
  <si>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</si>
  <si>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</si>
  <si>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</si>
  <si>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</si>
  <si>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</si>
  <si>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</si>
  <si>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</si>
  <si>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</si>
  <si>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</si>
  <si>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</si>
  <si>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</si>
  <si>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</si>
  <si>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</si>
  <si>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</si>
  <si>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31</t>
  </si>
  <si>
    <t>Zdi podpěrné a volné</t>
  </si>
  <si>
    <t>1</t>
  </si>
  <si>
    <t>311351105RT1</t>
  </si>
  <si>
    <t>Bednění nadzákladových zdí, oboustranné - zřízení</t>
  </si>
  <si>
    <t>m2</t>
  </si>
  <si>
    <t>RTS II / 2024</t>
  </si>
  <si>
    <t>31_</t>
  </si>
  <si>
    <t>3_</t>
  </si>
  <si>
    <t>_</t>
  </si>
  <si>
    <t>Varianta:</t>
  </si>
  <si>
    <t>bednicí materiál prkna</t>
  </si>
  <si>
    <t>2</t>
  </si>
  <si>
    <t>311351106R00</t>
  </si>
  <si>
    <t>Bednění nadzákladových zdí, oboustranné - odstranění</t>
  </si>
  <si>
    <t>3</t>
  </si>
  <si>
    <t>311361821R00</t>
  </si>
  <si>
    <t>Výztuž nadzákladových zdí z betonářské oceli B500B (10 505)</t>
  </si>
  <si>
    <t>t</t>
  </si>
  <si>
    <t>4</t>
  </si>
  <si>
    <t>311321800R00</t>
  </si>
  <si>
    <t>Uložení betonu pohledového nadzákladové zdi, vyztuženého</t>
  </si>
  <si>
    <t>m3</t>
  </si>
  <si>
    <t>62</t>
  </si>
  <si>
    <t>Úprava povrchů vnější</t>
  </si>
  <si>
    <t>5</t>
  </si>
  <si>
    <t>622904112R00</t>
  </si>
  <si>
    <t>Očištění OK tryskání(pískování)</t>
  </si>
  <si>
    <t>62_</t>
  </si>
  <si>
    <t>6_</t>
  </si>
  <si>
    <t>6</t>
  </si>
  <si>
    <t>622474135R00</t>
  </si>
  <si>
    <t>Reprofilace beton.povrchů sanační maltou, tl.35 mm</t>
  </si>
  <si>
    <t>762</t>
  </si>
  <si>
    <t>Konstrukce tesařské</t>
  </si>
  <si>
    <t>7</t>
  </si>
  <si>
    <t>762134122RT2</t>
  </si>
  <si>
    <t>Montáž bednění stěn, fošny hobl. do 60 mm, na sraz</t>
  </si>
  <si>
    <t>762_</t>
  </si>
  <si>
    <t>76_</t>
  </si>
  <si>
    <t>včetně dodávky řeziva, fošny tl. 50 mm</t>
  </si>
  <si>
    <t>8</t>
  </si>
  <si>
    <t>762714120RT3</t>
  </si>
  <si>
    <t>Montáž prostorových vázaných konstrukcí hraněných do 224 cm2 ocel. spojkami</t>
  </si>
  <si>
    <t>m</t>
  </si>
  <si>
    <t>včetně dodávky řeziva, hranoly 14/16 cm</t>
  </si>
  <si>
    <t>764</t>
  </si>
  <si>
    <t>Konstrukce klempířské</t>
  </si>
  <si>
    <t>9</t>
  </si>
  <si>
    <t>764352840R00</t>
  </si>
  <si>
    <t>Demontáž žlabů půlkruh. oblouk., rš 330 mm, do 30°</t>
  </si>
  <si>
    <t>764_</t>
  </si>
  <si>
    <t>10</t>
  </si>
  <si>
    <t>764311822R00</t>
  </si>
  <si>
    <t>Demontáž opláštění stěn a krytin z tr. plechů, nad 25 m2,sklon  do 30°</t>
  </si>
  <si>
    <t>11</t>
  </si>
  <si>
    <t>764454803R00</t>
  </si>
  <si>
    <t>Demontáž odpadních trub kruhových, D 150 mm</t>
  </si>
  <si>
    <t>12</t>
  </si>
  <si>
    <t>764919512R00</t>
  </si>
  <si>
    <t>Montáž žlabů z lak.plech podokapní půlkruhové rš 330mm</t>
  </si>
  <si>
    <t>13</t>
  </si>
  <si>
    <t>764454391R00</t>
  </si>
  <si>
    <t>Montáž trub  odpadních kruhových</t>
  </si>
  <si>
    <t>767</t>
  </si>
  <si>
    <t>Konstrukce doplňkové stavební (zámečnické)</t>
  </si>
  <si>
    <t>14</t>
  </si>
  <si>
    <t>767137802R00</t>
  </si>
  <si>
    <t>Demontáž desek opláštění lehkých ( laminátové prosvětlovací desky)</t>
  </si>
  <si>
    <t>767_</t>
  </si>
  <si>
    <t>15</t>
  </si>
  <si>
    <t>767392112R00</t>
  </si>
  <si>
    <t>Montáž opláštění stěm a krytiny střech, tvar. plechem, šroubováním</t>
  </si>
  <si>
    <t>16</t>
  </si>
  <si>
    <t>767137801R00</t>
  </si>
  <si>
    <t>Montáž opláštění stěn, krytina PVC(prosvětlovací pásy), šroubováním</t>
  </si>
  <si>
    <t>783</t>
  </si>
  <si>
    <t>Nátěry</t>
  </si>
  <si>
    <t>17</t>
  </si>
  <si>
    <t>783251002R00</t>
  </si>
  <si>
    <t>Nátěr epoxidový kovových konstr. 1+ 2x email</t>
  </si>
  <si>
    <t>783_</t>
  </si>
  <si>
    <t>78_</t>
  </si>
  <si>
    <t>94</t>
  </si>
  <si>
    <t>Lešení a stavební výtahy</t>
  </si>
  <si>
    <t>18</t>
  </si>
  <si>
    <t>946941501R00</t>
  </si>
  <si>
    <t>Návoz a odvoz pojízného lešení</t>
  </si>
  <si>
    <t>kompl</t>
  </si>
  <si>
    <t>94_</t>
  </si>
  <si>
    <t>9_</t>
  </si>
  <si>
    <t>19</t>
  </si>
  <si>
    <t>946941102RT3</t>
  </si>
  <si>
    <t>Montáž pojízdných Alu věží BOSS, 2,5 x 1,45 m</t>
  </si>
  <si>
    <t>sada</t>
  </si>
  <si>
    <t>pracovní výška 8,2 m</t>
  </si>
  <si>
    <t>20</t>
  </si>
  <si>
    <t>946941802RT3</t>
  </si>
  <si>
    <t>Demontáž pojízdných Alu věží BOSS, 2,5 x 1,45 m</t>
  </si>
  <si>
    <t>pracovní výška 8,3 m</t>
  </si>
  <si>
    <t>21</t>
  </si>
  <si>
    <t>946941192RT3</t>
  </si>
  <si>
    <t>Nájemné pojízdných Alu věží BOSS, 2,5 x 1,45 m</t>
  </si>
  <si>
    <t>den</t>
  </si>
  <si>
    <t>22</t>
  </si>
  <si>
    <t>949941101R00</t>
  </si>
  <si>
    <t>Výsuvná šplhací plošina, motorický zdvih, H 80 m</t>
  </si>
  <si>
    <t>23</t>
  </si>
  <si>
    <t>949942101R00</t>
  </si>
  <si>
    <t>Nájem za hydraulickou zvedací plošinu, H do 27 m</t>
  </si>
  <si>
    <t>h</t>
  </si>
  <si>
    <t>H99</t>
  </si>
  <si>
    <t>Ostatní přesuny hmot</t>
  </si>
  <si>
    <t>24</t>
  </si>
  <si>
    <t>999281211R00</t>
  </si>
  <si>
    <t>Přesun hmot, opravy vněj. plášťů výšky do 25 m</t>
  </si>
  <si>
    <t>H99_</t>
  </si>
  <si>
    <t>S</t>
  </si>
  <si>
    <t>Přesuny sutí</t>
  </si>
  <si>
    <t>25</t>
  </si>
  <si>
    <t>979990163R00</t>
  </si>
  <si>
    <t>Poplatek za uložení suti - plast + sklo, skupina odpadu 170904</t>
  </si>
  <si>
    <t>S_</t>
  </si>
  <si>
    <t>M</t>
  </si>
  <si>
    <t>Ostatní materiál</t>
  </si>
  <si>
    <t>26</t>
  </si>
  <si>
    <t>589314562</t>
  </si>
  <si>
    <t>Beton C 35/45 - XF4 - Dmax 16 mm - S4 - struskoportlandský CEM II</t>
  </si>
  <si>
    <t>0</t>
  </si>
  <si>
    <t>Z99999_</t>
  </si>
  <si>
    <t>Z_</t>
  </si>
  <si>
    <t>27</t>
  </si>
  <si>
    <t>19426519</t>
  </si>
  <si>
    <t>Plech Al trapézový profil tl. 0,8 mm s odolností proti soli(včetně přesahu+10%)</t>
  </si>
  <si>
    <t>28</t>
  </si>
  <si>
    <t>62852056</t>
  </si>
  <si>
    <t>Deska ONDUCLAIR PC trapéz 75/18, rozměr 2000 x 1100 mm, čirá</t>
  </si>
  <si>
    <t>kus</t>
  </si>
  <si>
    <t>VORN</t>
  </si>
  <si>
    <t>Vedlejší a ostatní rozpočtové náklady</t>
  </si>
  <si>
    <t>06VRN</t>
  </si>
  <si>
    <t>Územní vlivy</t>
  </si>
  <si>
    <t>29</t>
  </si>
  <si>
    <t>065002VRN</t>
  </si>
  <si>
    <t>Mimostaveništní doprava</t>
  </si>
  <si>
    <t>Soubor</t>
  </si>
  <si>
    <t>99</t>
  </si>
  <si>
    <t>06VRN_</t>
  </si>
  <si>
    <t>Â _</t>
  </si>
  <si>
    <t>Celkem:</t>
  </si>
  <si>
    <t>Poznámka:</t>
  </si>
  <si>
    <t>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</si>
  <si>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</si>
  <si>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</si>
  <si>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</si>
  <si>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</si>
  <si>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</si>
  <si>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</si>
  <si>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F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</si>
  <si>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</si>
  <si>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</si>
  <si>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</si>
  <si>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</si>
  <si>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</si>
  <si>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</si>
  <si>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</si>
  <si>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</si>
  <si>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</si>
  <si>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</si>
  <si>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</si>
  <si>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</si>
  <si>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</si>
  <si>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</si>
  <si>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</si>
  <si>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</si>
  <si>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</si>
  <si>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</si>
  <si>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</si>
  <si>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</si>
  <si>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</si>
  <si>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</si>
  <si>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</si>
  <si>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</si>
  <si>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</si>
  <si>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</si>
  <si>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</si>
  <si>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</si>
  <si>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</si>
  <si>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</si>
  <si>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</si>
  <si>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</si>
  <si>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</si>
  <si>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</si>
  <si>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</si>
  <si>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</si>
  <si>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</si>
  <si>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</si>
  <si>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</si>
  <si>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</si>
  <si>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</si>
  <si>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</si>
  <si>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</si>
  <si>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</si>
  <si>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</si>
  <si>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</si>
  <si>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</si>
  <si>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</si>
  <si>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</si>
  <si>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</si>
  <si>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</si>
  <si>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</si>
  <si>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</si>
  <si>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</si>
  <si>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</si>
  <si>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</si>
  <si>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</si>
  <si>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</si>
  <si>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</si>
  <si>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</si>
  <si>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Montáž opláštění stěm a krytiny střech, tvar. plechem, včetně dodávky korozivzdorného šroubování</t>
  </si>
  <si>
    <t>Montáž opláštění stěn, krytina PVC(prosvětlovací pásy), včetně dodávky korozivzdorného šroubování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</si>
</sst>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4" fontId="10" fillId="0" borderId="18" xfId="0" applyNumberFormat="1" applyFont="1" applyBorder="1" applyAlignment="1">
      <alignment horizontal="right" vertical="center"/>
    </xf>
    <xf numFmtId="4" fontId="9" fillId="2" borderId="20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4" fontId="3" fillId="0" borderId="36" xfId="0" applyNumberFormat="1" applyFont="1" applyBorder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8" xfId="0" applyFont="1" applyBorder="1" applyAlignment="1">
      <alignment horizontal="right" vertical="center"/>
    </xf>
    <xf numFmtId="4" fontId="2" fillId="0" borderId="38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4" fontId="2" fillId="2" borderId="35" xfId="0" applyNumberFormat="1" applyFont="1" applyFill="1" applyBorder="1" applyAlignment="1">
      <alignment horizontal="right" vertical="center"/>
    </xf>
    <xf numFmtId="0" fontId="2" fillId="2" borderId="35" xfId="0" applyFont="1" applyFill="1" applyBorder="1" applyAlignment="1">
      <alignment horizontal="right" vertical="center"/>
    </xf>
    <xf numFmtId="0" fontId="2" fillId="2" borderId="36" xfId="0" applyFont="1" applyFill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0" fillId="0" borderId="34" xfId="0" applyBorder="1"/>
    <xf numFmtId="4" fontId="3" fillId="0" borderId="25" xfId="0" applyNumberFormat="1" applyFont="1" applyBorder="1" applyAlignment="1">
      <alignment horizontal="right" vertical="center"/>
    </xf>
    <xf numFmtId="1" fontId="3" fillId="0" borderId="25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2" fillId="0" borderId="35" xfId="0" applyFont="1" applyBorder="1" applyAlignment="1">
      <alignment horizontal="left" vertical="center"/>
    </xf>
    <xf numFmtId="4" fontId="2" fillId="0" borderId="35" xfId="0" applyNumberFormat="1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4" fontId="10" fillId="0" borderId="20" xfId="0" applyNumberFormat="1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4" fontId="10" fillId="0" borderId="36" xfId="0" applyNumberFormat="1" applyFont="1" applyBorder="1" applyAlignment="1">
      <alignment horizontal="right" vertical="center"/>
    </xf>
    <xf numFmtId="0" fontId="10" fillId="0" borderId="36" xfId="0" applyFont="1" applyBorder="1" applyAlignment="1">
      <alignment horizontal="right" vertical="center"/>
    </xf>
    <xf numFmtId="4" fontId="10" fillId="0" borderId="13" xfId="0" applyNumberFormat="1" applyFont="1" applyBorder="1" applyAlignment="1">
      <alignment horizontal="right" vertical="center"/>
    </xf>
    <xf numFmtId="4" fontId="9" fillId="2" borderId="18" xfId="0" applyNumberFormat="1" applyFont="1" applyFill="1" applyBorder="1" applyAlignment="1">
      <alignment horizontal="right" vertical="center"/>
    </xf>
    <xf numFmtId="0" fontId="5" fillId="0" borderId="35" xfId="0" applyFont="1" applyBorder="1" applyAlignment="1">
      <alignment horizontal="left" vertical="center"/>
    </xf>
    <xf numFmtId="4" fontId="9" fillId="2" borderId="40" xfId="0" applyNumberFormat="1" applyFont="1" applyFill="1" applyBorder="1" applyAlignment="1">
      <alignment horizontal="right" vertical="center"/>
    </xf>
    <xf numFmtId="4" fontId="3" fillId="3" borderId="0" xfId="0" applyNumberFormat="1" applyFont="1" applyFill="1" applyAlignment="1" applyProtection="1">
      <alignment horizontal="right" vertical="center"/>
      <protection locked="0"/>
    </xf>
    <xf numFmtId="4" fontId="3" fillId="3" borderId="25" xfId="0" applyNumberFormat="1" applyFont="1" applyFill="1" applyBorder="1" applyAlignment="1" applyProtection="1">
      <alignment horizontal="right" vertical="center"/>
      <protection locked="0"/>
    </xf>
    <xf numFmtId="0" fontId="1" fillId="0" borderId="3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36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36" xfId="0" applyFont="1" applyFill="1" applyBorder="1" applyAlignment="1" applyProtection="1">
      <alignment horizontal="left" vertical="center"/>
      <protection locked="0"/>
    </xf>
    <xf numFmtId="0" fontId="2" fillId="0" borderId="2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4" fontId="3" fillId="0" borderId="0" xfId="0" applyNumberFormat="1" applyFont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/>
    </xf>
    <xf numFmtId="14" fontId="3" fillId="0" borderId="36" xfId="0" applyNumberFormat="1" applyFont="1" applyBorder="1" applyAlignment="1">
      <alignment horizontal="left" vertical="center" wrapText="1"/>
    </xf>
    <xf numFmtId="14" fontId="3" fillId="0" borderId="36" xfId="0" applyNumberFormat="1" applyFont="1" applyBorder="1" applyAlignment="1">
      <alignment horizontal="left" vertical="center"/>
    </xf>
    <xf numFmtId="0" fontId="1" fillId="0" borderId="35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3" borderId="36" xfId="0" applyFont="1" applyFill="1" applyBorder="1" applyAlignment="1" applyProtection="1">
      <alignment horizontal="left" vertical="center"/>
      <protection locked="0"/>
    </xf>
    <xf numFmtId="1" fontId="3" fillId="0" borderId="36" xfId="0" applyNumberFormat="1" applyFont="1" applyBorder="1" applyAlignment="1">
      <alignment horizontal="left" vertical="center"/>
    </xf>
    <xf numFmtId="14" fontId="3" fillId="0" borderId="20" xfId="0" applyNumberFormat="1" applyFont="1" applyBorder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2" borderId="23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/>
    </xf>
    <xf numFmtId="0" fontId="9" fillId="2" borderId="25" xfId="0" applyFont="1" applyFill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4" fontId="9" fillId="0" borderId="39" xfId="0" applyNumberFormat="1" applyFont="1" applyBorder="1" applyAlignment="1">
      <alignment horizontal="right" vertical="center"/>
    </xf>
    <xf numFmtId="0" fontId="9" fillId="0" borderId="39" xfId="0" applyFont="1" applyBorder="1" applyAlignment="1">
      <alignment horizontal="right" vertical="center"/>
    </xf>
    <xf numFmtId="0" fontId="9" fillId="0" borderId="38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61"/>
  <sheetViews>
    <sheetView tabSelected="1" workbookViewId="0">
      <pane ySplit="11" topLeftCell="A26" activePane="bottomLeft" state="frozen"/>
      <selection pane="bottomLeft" activeCell="D34" sqref="D34:E34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28.5703125" customWidth="1"/>
    <col min="5" max="5" width="35.7109375" customWidth="1"/>
    <col min="6" max="6" width="6.71093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77" t="s">
        <v>1</v>
      </c>
      <c r="B2" s="78"/>
      <c r="C2" s="78"/>
      <c r="D2" s="85" t="s">
        <v>2</v>
      </c>
      <c r="E2" s="86"/>
      <c r="F2" s="78" t="s">
        <v>3</v>
      </c>
      <c r="G2" s="78"/>
      <c r="H2" s="78" t="s">
        <v>4</v>
      </c>
      <c r="I2" s="83" t="s">
        <v>5</v>
      </c>
      <c r="J2" s="88" t="s">
        <v>6</v>
      </c>
      <c r="K2" s="88"/>
      <c r="L2" s="88"/>
      <c r="M2" s="88"/>
      <c r="N2" s="88"/>
      <c r="O2" s="88"/>
      <c r="P2" s="89"/>
    </row>
    <row r="3" spans="1:76" x14ac:dyDescent="0.25">
      <c r="A3" s="79"/>
      <c r="B3" s="80"/>
      <c r="C3" s="80"/>
      <c r="D3" s="87"/>
      <c r="E3" s="87"/>
      <c r="F3" s="80"/>
      <c r="G3" s="80"/>
      <c r="H3" s="80"/>
      <c r="I3" s="80"/>
      <c r="J3" s="90"/>
      <c r="K3" s="90"/>
      <c r="L3" s="90"/>
      <c r="M3" s="90"/>
      <c r="N3" s="90"/>
      <c r="O3" s="90"/>
      <c r="P3" s="91"/>
    </row>
    <row r="4" spans="1:76" x14ac:dyDescent="0.25">
      <c r="A4" s="81" t="s">
        <v>7</v>
      </c>
      <c r="B4" s="80"/>
      <c r="C4" s="80"/>
      <c r="D4" s="84" t="s">
        <v>8</v>
      </c>
      <c r="E4" s="80"/>
      <c r="F4" s="80" t="s">
        <v>9</v>
      </c>
      <c r="G4" s="80"/>
      <c r="H4" s="80"/>
      <c r="I4" s="84" t="s">
        <v>10</v>
      </c>
      <c r="J4" s="80" t="s">
        <v>11</v>
      </c>
      <c r="K4" s="80"/>
      <c r="L4" s="80"/>
      <c r="M4" s="80"/>
      <c r="N4" s="80"/>
      <c r="O4" s="80"/>
      <c r="P4" s="92"/>
    </row>
    <row r="5" spans="1:76" x14ac:dyDescent="0.25">
      <c r="A5" s="79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92"/>
    </row>
    <row r="6" spans="1:76" x14ac:dyDescent="0.25">
      <c r="A6" s="81" t="s">
        <v>12</v>
      </c>
      <c r="B6" s="80"/>
      <c r="C6" s="80"/>
      <c r="D6" s="84" t="s">
        <v>13</v>
      </c>
      <c r="E6" s="80"/>
      <c r="F6" s="80" t="s">
        <v>14</v>
      </c>
      <c r="G6" s="80"/>
      <c r="H6" s="80" t="s">
        <v>4</v>
      </c>
      <c r="I6" s="84" t="s">
        <v>15</v>
      </c>
      <c r="J6" s="93" t="s">
        <v>11</v>
      </c>
      <c r="K6" s="93"/>
      <c r="L6" s="93"/>
      <c r="M6" s="93"/>
      <c r="N6" s="93"/>
      <c r="O6" s="93"/>
      <c r="P6" s="94"/>
    </row>
    <row r="7" spans="1:76" x14ac:dyDescent="0.25">
      <c r="A7" s="79"/>
      <c r="B7" s="80"/>
      <c r="C7" s="80"/>
      <c r="D7" s="80"/>
      <c r="E7" s="80"/>
      <c r="F7" s="80"/>
      <c r="G7" s="80"/>
      <c r="H7" s="80"/>
      <c r="I7" s="80"/>
      <c r="J7" s="93"/>
      <c r="K7" s="93"/>
      <c r="L7" s="93"/>
      <c r="M7" s="93"/>
      <c r="N7" s="93"/>
      <c r="O7" s="93"/>
      <c r="P7" s="94"/>
    </row>
    <row r="8" spans="1:76" x14ac:dyDescent="0.25">
      <c r="A8" s="81" t="s">
        <v>16</v>
      </c>
      <c r="B8" s="80"/>
      <c r="C8" s="80"/>
      <c r="D8" s="84" t="s">
        <v>4</v>
      </c>
      <c r="E8" s="80"/>
      <c r="F8" s="80" t="s">
        <v>17</v>
      </c>
      <c r="G8" s="80"/>
      <c r="H8" s="97">
        <v>45742</v>
      </c>
      <c r="I8" s="84" t="s">
        <v>18</v>
      </c>
      <c r="J8" s="80" t="s">
        <v>11</v>
      </c>
      <c r="K8" s="80"/>
      <c r="L8" s="80"/>
      <c r="M8" s="80"/>
      <c r="N8" s="80"/>
      <c r="O8" s="80"/>
      <c r="P8" s="92"/>
    </row>
    <row r="9" spans="1:76" x14ac:dyDescent="0.25">
      <c r="A9" s="79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92"/>
    </row>
    <row r="10" spans="1:76" x14ac:dyDescent="0.25">
      <c r="A10" s="4" t="s">
        <v>19</v>
      </c>
      <c r="B10" s="36" t="s">
        <v>20</v>
      </c>
      <c r="C10" s="36" t="s">
        <v>21</v>
      </c>
      <c r="D10" s="95" t="s">
        <v>22</v>
      </c>
      <c r="E10" s="96"/>
      <c r="F10" s="36" t="s">
        <v>23</v>
      </c>
      <c r="G10" s="44" t="s">
        <v>24</v>
      </c>
      <c r="H10" s="45" t="s">
        <v>25</v>
      </c>
      <c r="I10" s="5" t="s">
        <v>26</v>
      </c>
      <c r="J10" s="100" t="s">
        <v>27</v>
      </c>
      <c r="K10" s="101"/>
      <c r="L10" s="102"/>
      <c r="M10" s="6" t="s">
        <v>27</v>
      </c>
      <c r="N10" s="101" t="s">
        <v>28</v>
      </c>
      <c r="O10" s="101"/>
      <c r="P10" s="7" t="s">
        <v>29</v>
      </c>
      <c r="BK10" s="8" t="s">
        <v>30</v>
      </c>
      <c r="BL10" s="9" t="s">
        <v>31</v>
      </c>
      <c r="BW10" s="9" t="s">
        <v>32</v>
      </c>
    </row>
    <row r="11" spans="1:76" x14ac:dyDescent="0.25">
      <c r="A11" s="10" t="s">
        <v>4</v>
      </c>
      <c r="B11" s="46" t="s">
        <v>4</v>
      </c>
      <c r="C11" s="46" t="s">
        <v>4</v>
      </c>
      <c r="D11" s="98" t="s">
        <v>33</v>
      </c>
      <c r="E11" s="99"/>
      <c r="F11" s="46" t="s">
        <v>4</v>
      </c>
      <c r="G11" s="46" t="s">
        <v>4</v>
      </c>
      <c r="H11" s="47" t="s">
        <v>34</v>
      </c>
      <c r="I11" s="11" t="s">
        <v>4</v>
      </c>
      <c r="J11" s="13" t="s">
        <v>35</v>
      </c>
      <c r="K11" s="12" t="s">
        <v>36</v>
      </c>
      <c r="L11" s="48" t="s">
        <v>37</v>
      </c>
      <c r="M11" s="48" t="s">
        <v>38</v>
      </c>
      <c r="N11" s="12" t="s">
        <v>39</v>
      </c>
      <c r="O11" s="47" t="s">
        <v>37</v>
      </c>
      <c r="P11" s="13" t="s">
        <v>40</v>
      </c>
      <c r="Z11" s="8" t="s">
        <v>41</v>
      </c>
      <c r="AA11" s="8" t="s">
        <v>42</v>
      </c>
      <c r="AB11" s="8" t="s">
        <v>43</v>
      </c>
      <c r="AC11" s="8" t="s">
        <v>44</v>
      </c>
      <c r="AD11" s="8" t="s">
        <v>45</v>
      </c>
      <c r="AE11" s="8" t="s">
        <v>46</v>
      </c>
      <c r="AF11" s="8" t="s">
        <v>47</v>
      </c>
      <c r="AG11" s="8" t="s">
        <v>48</v>
      </c>
      <c r="AH11" s="8" t="s">
        <v>49</v>
      </c>
      <c r="BH11" s="8" t="s">
        <v>50</v>
      </c>
      <c r="BI11" s="8" t="s">
        <v>51</v>
      </c>
      <c r="BJ11" s="8" t="s">
        <v>52</v>
      </c>
    </row>
    <row r="12" spans="1:76" x14ac:dyDescent="0.25">
      <c r="A12" s="49" t="s">
        <v>53</v>
      </c>
      <c r="B12" s="50" t="s">
        <v>53</v>
      </c>
      <c r="C12" s="50" t="s">
        <v>54</v>
      </c>
      <c r="D12" s="103" t="s">
        <v>55</v>
      </c>
      <c r="E12" s="104"/>
      <c r="F12" s="51" t="s">
        <v>4</v>
      </c>
      <c r="G12" s="51" t="s">
        <v>4</v>
      </c>
      <c r="H12" s="51" t="s">
        <v>4</v>
      </c>
      <c r="I12" s="51" t="s">
        <v>4</v>
      </c>
      <c r="J12" s="52">
        <f>SUM(J13:J17)</f>
        <v>0</v>
      </c>
      <c r="K12" s="52">
        <f>SUM(K13:K17)</f>
        <v>0</v>
      </c>
      <c r="L12" s="52">
        <f>SUM(L13:L17)</f>
        <v>0</v>
      </c>
      <c r="M12" s="52">
        <f>SUM(M13:M17)</f>
        <v>0</v>
      </c>
      <c r="N12" s="53" t="s">
        <v>53</v>
      </c>
      <c r="O12" s="52">
        <f>SUM(O13:O17)</f>
        <v>3.8866119999999995</v>
      </c>
      <c r="P12" s="54" t="s">
        <v>53</v>
      </c>
      <c r="AI12" s="8" t="s">
        <v>53</v>
      </c>
      <c r="AS12" s="1">
        <f>SUM(AJ13:AJ17)</f>
        <v>0</v>
      </c>
      <c r="AT12" s="1">
        <f>SUM(AK13:AK17)</f>
        <v>0</v>
      </c>
      <c r="AU12" s="1">
        <f>SUM(AL13:AL17)</f>
        <v>0</v>
      </c>
    </row>
    <row r="13" spans="1:76" x14ac:dyDescent="0.25">
      <c r="A13" s="41" t="s">
        <v>56</v>
      </c>
      <c r="B13" s="2" t="s">
        <v>53</v>
      </c>
      <c r="C13" s="2" t="s">
        <v>57</v>
      </c>
      <c r="D13" s="84" t="s">
        <v>58</v>
      </c>
      <c r="E13" s="80"/>
      <c r="F13" s="2" t="s">
        <v>59</v>
      </c>
      <c r="G13" s="14">
        <v>88.6</v>
      </c>
      <c r="H13" s="74">
        <v>0</v>
      </c>
      <c r="I13" s="15">
        <v>21</v>
      </c>
      <c r="J13" s="14">
        <f>ROUND(G13*AO13,2)</f>
        <v>0</v>
      </c>
      <c r="K13" s="14">
        <f>ROUND(G13*AP13,2)</f>
        <v>0</v>
      </c>
      <c r="L13" s="14">
        <f>ROUND(G13*H13,2)</f>
        <v>0</v>
      </c>
      <c r="M13" s="14">
        <f>L13*(1+BW13/100)</f>
        <v>0</v>
      </c>
      <c r="N13" s="14">
        <v>3.7159999999999999E-2</v>
      </c>
      <c r="O13" s="14">
        <f>G13*N13</f>
        <v>3.2923759999999995</v>
      </c>
      <c r="P13" s="55" t="s">
        <v>60</v>
      </c>
      <c r="Z13" s="14">
        <f>ROUND(IF(AQ13="5",BJ13,0),2)</f>
        <v>0</v>
      </c>
      <c r="AB13" s="14">
        <f>ROUND(IF(AQ13="1",BH13,0),2)</f>
        <v>0</v>
      </c>
      <c r="AC13" s="14">
        <f>ROUND(IF(AQ13="1",BI13,0),2)</f>
        <v>0</v>
      </c>
      <c r="AD13" s="14">
        <f>ROUND(IF(AQ13="7",BH13,0),2)</f>
        <v>0</v>
      </c>
      <c r="AE13" s="14">
        <f>ROUND(IF(AQ13="7",BI13,0),2)</f>
        <v>0</v>
      </c>
      <c r="AF13" s="14">
        <f>ROUND(IF(AQ13="2",BH13,0),2)</f>
        <v>0</v>
      </c>
      <c r="AG13" s="14">
        <f>ROUND(IF(AQ13="2",BI13,0),2)</f>
        <v>0</v>
      </c>
      <c r="AH13" s="14">
        <f>ROUND(IF(AQ13="0",BJ13,0),2)</f>
        <v>0</v>
      </c>
      <c r="AI13" s="8" t="s">
        <v>53</v>
      </c>
      <c r="AJ13" s="14">
        <f>IF(AN13=0,L13,0)</f>
        <v>0</v>
      </c>
      <c r="AK13" s="14">
        <f>IF(AN13=12,L13,0)</f>
        <v>0</v>
      </c>
      <c r="AL13" s="14">
        <f>IF(AN13=21,L13,0)</f>
        <v>0</v>
      </c>
      <c r="AN13" s="14">
        <v>21</v>
      </c>
      <c r="AO13" s="14">
        <f>H13*0.496775794</f>
        <v>0</v>
      </c>
      <c r="AP13" s="14">
        <f>H13*(1-0.496775794)</f>
        <v>0</v>
      </c>
      <c r="AQ13" s="16" t="s">
        <v>56</v>
      </c>
      <c r="AV13" s="14">
        <f>ROUND(AW13+AX13,2)</f>
        <v>0</v>
      </c>
      <c r="AW13" s="14">
        <f>ROUND(G13*AO13,2)</f>
        <v>0</v>
      </c>
      <c r="AX13" s="14">
        <f>ROUND(G13*AP13,2)</f>
        <v>0</v>
      </c>
      <c r="AY13" s="16" t="s">
        <v>61</v>
      </c>
      <c r="AZ13" s="16" t="s">
        <v>62</v>
      </c>
      <c r="BA13" s="8" t="s">
        <v>63</v>
      </c>
      <c r="BC13" s="14">
        <f>AW13+AX13</f>
        <v>0</v>
      </c>
      <c r="BD13" s="14">
        <f>H13/(100-BE13)*100</f>
        <v>0</v>
      </c>
      <c r="BE13" s="14">
        <v>0</v>
      </c>
      <c r="BF13" s="14">
        <f>O13</f>
        <v>3.2923759999999995</v>
      </c>
      <c r="BH13" s="14">
        <f>G13*AO13</f>
        <v>0</v>
      </c>
      <c r="BI13" s="14">
        <f>G13*AP13</f>
        <v>0</v>
      </c>
      <c r="BJ13" s="14">
        <f>G13*H13</f>
        <v>0</v>
      </c>
      <c r="BK13" s="14"/>
      <c r="BL13" s="14">
        <v>31</v>
      </c>
      <c r="BW13" s="14">
        <f>I13</f>
        <v>21</v>
      </c>
      <c r="BX13" s="3" t="s">
        <v>58</v>
      </c>
    </row>
    <row r="14" spans="1:76" ht="13.5" customHeight="1" x14ac:dyDescent="0.25">
      <c r="A14" s="56"/>
      <c r="C14" s="17" t="s">
        <v>64</v>
      </c>
      <c r="D14" s="105" t="s">
        <v>65</v>
      </c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7"/>
    </row>
    <row r="15" spans="1:76" x14ac:dyDescent="0.25">
      <c r="A15" s="41" t="s">
        <v>66</v>
      </c>
      <c r="B15" s="2" t="s">
        <v>53</v>
      </c>
      <c r="C15" s="2" t="s">
        <v>67</v>
      </c>
      <c r="D15" s="84" t="s">
        <v>68</v>
      </c>
      <c r="E15" s="80"/>
      <c r="F15" s="2" t="s">
        <v>59</v>
      </c>
      <c r="G15" s="14">
        <v>88.6</v>
      </c>
      <c r="H15" s="74">
        <v>0</v>
      </c>
      <c r="I15" s="15">
        <v>21</v>
      </c>
      <c r="J15" s="14">
        <f>ROUND(G15*AO15,2)</f>
        <v>0</v>
      </c>
      <c r="K15" s="14">
        <f>ROUND(G15*AP15,2)</f>
        <v>0</v>
      </c>
      <c r="L15" s="14">
        <f>ROUND(G15*H15,2)</f>
        <v>0</v>
      </c>
      <c r="M15" s="14">
        <f>L15*(1+BW15/100)</f>
        <v>0</v>
      </c>
      <c r="N15" s="14">
        <v>0</v>
      </c>
      <c r="O15" s="14">
        <f>G15*N15</f>
        <v>0</v>
      </c>
      <c r="P15" s="55" t="s">
        <v>60</v>
      </c>
      <c r="Z15" s="14">
        <f>ROUND(IF(AQ15="5",BJ15,0),2)</f>
        <v>0</v>
      </c>
      <c r="AB15" s="14">
        <f>ROUND(IF(AQ15="1",BH15,0),2)</f>
        <v>0</v>
      </c>
      <c r="AC15" s="14">
        <f>ROUND(IF(AQ15="1",BI15,0),2)</f>
        <v>0</v>
      </c>
      <c r="AD15" s="14">
        <f>ROUND(IF(AQ15="7",BH15,0),2)</f>
        <v>0</v>
      </c>
      <c r="AE15" s="14">
        <f>ROUND(IF(AQ15="7",BI15,0),2)</f>
        <v>0</v>
      </c>
      <c r="AF15" s="14">
        <f>ROUND(IF(AQ15="2",BH15,0),2)</f>
        <v>0</v>
      </c>
      <c r="AG15" s="14">
        <f>ROUND(IF(AQ15="2",BI15,0),2)</f>
        <v>0</v>
      </c>
      <c r="AH15" s="14">
        <f>ROUND(IF(AQ15="0",BJ15,0),2)</f>
        <v>0</v>
      </c>
      <c r="AI15" s="8" t="s">
        <v>53</v>
      </c>
      <c r="AJ15" s="14">
        <f>IF(AN15=0,L15,0)</f>
        <v>0</v>
      </c>
      <c r="AK15" s="14">
        <f>IF(AN15=12,L15,0)</f>
        <v>0</v>
      </c>
      <c r="AL15" s="14">
        <f>IF(AN15=21,L15,0)</f>
        <v>0</v>
      </c>
      <c r="AN15" s="14">
        <v>21</v>
      </c>
      <c r="AO15" s="14">
        <f>H15*0</f>
        <v>0</v>
      </c>
      <c r="AP15" s="14">
        <f>H15*(1-0)</f>
        <v>0</v>
      </c>
      <c r="AQ15" s="16" t="s">
        <v>56</v>
      </c>
      <c r="AV15" s="14">
        <f>ROUND(AW15+AX15,2)</f>
        <v>0</v>
      </c>
      <c r="AW15" s="14">
        <f>ROUND(G15*AO15,2)</f>
        <v>0</v>
      </c>
      <c r="AX15" s="14">
        <f>ROUND(G15*AP15,2)</f>
        <v>0</v>
      </c>
      <c r="AY15" s="16" t="s">
        <v>61</v>
      </c>
      <c r="AZ15" s="16" t="s">
        <v>62</v>
      </c>
      <c r="BA15" s="8" t="s">
        <v>63</v>
      </c>
      <c r="BC15" s="14">
        <f>AW15+AX15</f>
        <v>0</v>
      </c>
      <c r="BD15" s="14">
        <f>H15/(100-BE15)*100</f>
        <v>0</v>
      </c>
      <c r="BE15" s="14">
        <v>0</v>
      </c>
      <c r="BF15" s="14">
        <f>O15</f>
        <v>0</v>
      </c>
      <c r="BH15" s="14">
        <f>G15*AO15</f>
        <v>0</v>
      </c>
      <c r="BI15" s="14">
        <f>G15*AP15</f>
        <v>0</v>
      </c>
      <c r="BJ15" s="14">
        <f>G15*H15</f>
        <v>0</v>
      </c>
      <c r="BK15" s="14"/>
      <c r="BL15" s="14">
        <v>31</v>
      </c>
      <c r="BW15" s="14">
        <f>I15</f>
        <v>21</v>
      </c>
      <c r="BX15" s="3" t="s">
        <v>68</v>
      </c>
    </row>
    <row r="16" spans="1:76" x14ac:dyDescent="0.25">
      <c r="A16" s="41" t="s">
        <v>69</v>
      </c>
      <c r="B16" s="2" t="s">
        <v>53</v>
      </c>
      <c r="C16" s="2" t="s">
        <v>70</v>
      </c>
      <c r="D16" s="84" t="s">
        <v>71</v>
      </c>
      <c r="E16" s="80"/>
      <c r="F16" s="2" t="s">
        <v>72</v>
      </c>
      <c r="G16" s="14">
        <v>0.55000000000000004</v>
      </c>
      <c r="H16" s="74">
        <v>0</v>
      </c>
      <c r="I16" s="15">
        <v>21</v>
      </c>
      <c r="J16" s="14">
        <f>ROUND(G16*AO16,2)</f>
        <v>0</v>
      </c>
      <c r="K16" s="14">
        <f>ROUND(G16*AP16,2)</f>
        <v>0</v>
      </c>
      <c r="L16" s="14">
        <f>ROUND(G16*H16,2)</f>
        <v>0</v>
      </c>
      <c r="M16" s="14">
        <f>L16*(1+BW16/100)</f>
        <v>0</v>
      </c>
      <c r="N16" s="14">
        <v>1.0210999999999999</v>
      </c>
      <c r="O16" s="14">
        <f>G16*N16</f>
        <v>0.56160500000000002</v>
      </c>
      <c r="P16" s="55" t="s">
        <v>60</v>
      </c>
      <c r="Z16" s="14">
        <f>ROUND(IF(AQ16="5",BJ16,0),2)</f>
        <v>0</v>
      </c>
      <c r="AB16" s="14">
        <f>ROUND(IF(AQ16="1",BH16,0),2)</f>
        <v>0</v>
      </c>
      <c r="AC16" s="14">
        <f>ROUND(IF(AQ16="1",BI16,0),2)</f>
        <v>0</v>
      </c>
      <c r="AD16" s="14">
        <f>ROUND(IF(AQ16="7",BH16,0),2)</f>
        <v>0</v>
      </c>
      <c r="AE16" s="14">
        <f>ROUND(IF(AQ16="7",BI16,0),2)</f>
        <v>0</v>
      </c>
      <c r="AF16" s="14">
        <f>ROUND(IF(AQ16="2",BH16,0),2)</f>
        <v>0</v>
      </c>
      <c r="AG16" s="14">
        <f>ROUND(IF(AQ16="2",BI16,0),2)</f>
        <v>0</v>
      </c>
      <c r="AH16" s="14">
        <f>ROUND(IF(AQ16="0",BJ16,0),2)</f>
        <v>0</v>
      </c>
      <c r="AI16" s="8" t="s">
        <v>53</v>
      </c>
      <c r="AJ16" s="14">
        <f>IF(AN16=0,L16,0)</f>
        <v>0</v>
      </c>
      <c r="AK16" s="14">
        <f>IF(AN16=12,L16,0)</f>
        <v>0</v>
      </c>
      <c r="AL16" s="14">
        <f>IF(AN16=21,L16,0)</f>
        <v>0</v>
      </c>
      <c r="AN16" s="14">
        <v>21</v>
      </c>
      <c r="AO16" s="14">
        <f>H16*0.713184912</f>
        <v>0</v>
      </c>
      <c r="AP16" s="14">
        <f>H16*(1-0.713184912)</f>
        <v>0</v>
      </c>
      <c r="AQ16" s="16" t="s">
        <v>56</v>
      </c>
      <c r="AV16" s="14">
        <f>ROUND(AW16+AX16,2)</f>
        <v>0</v>
      </c>
      <c r="AW16" s="14">
        <f>ROUND(G16*AO16,2)</f>
        <v>0</v>
      </c>
      <c r="AX16" s="14">
        <f>ROUND(G16*AP16,2)</f>
        <v>0</v>
      </c>
      <c r="AY16" s="16" t="s">
        <v>61</v>
      </c>
      <c r="AZ16" s="16" t="s">
        <v>62</v>
      </c>
      <c r="BA16" s="8" t="s">
        <v>63</v>
      </c>
      <c r="BC16" s="14">
        <f>AW16+AX16</f>
        <v>0</v>
      </c>
      <c r="BD16" s="14">
        <f>H16/(100-BE16)*100</f>
        <v>0</v>
      </c>
      <c r="BE16" s="14">
        <v>0</v>
      </c>
      <c r="BF16" s="14">
        <f>O16</f>
        <v>0.56160500000000002</v>
      </c>
      <c r="BH16" s="14">
        <f>G16*AO16</f>
        <v>0</v>
      </c>
      <c r="BI16" s="14">
        <f>G16*AP16</f>
        <v>0</v>
      </c>
      <c r="BJ16" s="14">
        <f>G16*H16</f>
        <v>0</v>
      </c>
      <c r="BK16" s="14"/>
      <c r="BL16" s="14">
        <v>31</v>
      </c>
      <c r="BW16" s="14">
        <f>I16</f>
        <v>21</v>
      </c>
      <c r="BX16" s="3" t="s">
        <v>71</v>
      </c>
    </row>
    <row r="17" spans="1:76" x14ac:dyDescent="0.25">
      <c r="A17" s="41" t="s">
        <v>73</v>
      </c>
      <c r="B17" s="2" t="s">
        <v>53</v>
      </c>
      <c r="C17" s="2" t="s">
        <v>74</v>
      </c>
      <c r="D17" s="84" t="s">
        <v>75</v>
      </c>
      <c r="E17" s="80"/>
      <c r="F17" s="2" t="s">
        <v>76</v>
      </c>
      <c r="G17" s="14">
        <v>14.9</v>
      </c>
      <c r="H17" s="74">
        <v>0</v>
      </c>
      <c r="I17" s="15">
        <v>21</v>
      </c>
      <c r="J17" s="14">
        <f>ROUND(G17*AO17,2)</f>
        <v>0</v>
      </c>
      <c r="K17" s="14">
        <f>ROUND(G17*AP17,2)</f>
        <v>0</v>
      </c>
      <c r="L17" s="14">
        <f>ROUND(G17*H17,2)</f>
        <v>0</v>
      </c>
      <c r="M17" s="14">
        <f>L17*(1+BW17/100)</f>
        <v>0</v>
      </c>
      <c r="N17" s="14">
        <v>2.1900000000000001E-3</v>
      </c>
      <c r="O17" s="14">
        <f>G17*N17</f>
        <v>3.2631E-2</v>
      </c>
      <c r="P17" s="55" t="s">
        <v>60</v>
      </c>
      <c r="Z17" s="14">
        <f>ROUND(IF(AQ17="5",BJ17,0),2)</f>
        <v>0</v>
      </c>
      <c r="AB17" s="14">
        <f>ROUND(IF(AQ17="1",BH17,0),2)</f>
        <v>0</v>
      </c>
      <c r="AC17" s="14">
        <f>ROUND(IF(AQ17="1",BI17,0),2)</f>
        <v>0</v>
      </c>
      <c r="AD17" s="14">
        <f>ROUND(IF(AQ17="7",BH17,0),2)</f>
        <v>0</v>
      </c>
      <c r="AE17" s="14">
        <f>ROUND(IF(AQ17="7",BI17,0),2)</f>
        <v>0</v>
      </c>
      <c r="AF17" s="14">
        <f>ROUND(IF(AQ17="2",BH17,0),2)</f>
        <v>0</v>
      </c>
      <c r="AG17" s="14">
        <f>ROUND(IF(AQ17="2",BI17,0),2)</f>
        <v>0</v>
      </c>
      <c r="AH17" s="14">
        <f>ROUND(IF(AQ17="0",BJ17,0),2)</f>
        <v>0</v>
      </c>
      <c r="AI17" s="8" t="s">
        <v>53</v>
      </c>
      <c r="AJ17" s="14">
        <f>IF(AN17=0,L17,0)</f>
        <v>0</v>
      </c>
      <c r="AK17" s="14">
        <f>IF(AN17=12,L17,0)</f>
        <v>0</v>
      </c>
      <c r="AL17" s="14">
        <f>IF(AN17=21,L17,0)</f>
        <v>0</v>
      </c>
      <c r="AN17" s="14">
        <v>21</v>
      </c>
      <c r="AO17" s="14">
        <f>H17*0.334550518</f>
        <v>0</v>
      </c>
      <c r="AP17" s="14">
        <f>H17*(1-0.334550518)</f>
        <v>0</v>
      </c>
      <c r="AQ17" s="16" t="s">
        <v>56</v>
      </c>
      <c r="AV17" s="14">
        <f>ROUND(AW17+AX17,2)</f>
        <v>0</v>
      </c>
      <c r="AW17" s="14">
        <f>ROUND(G17*AO17,2)</f>
        <v>0</v>
      </c>
      <c r="AX17" s="14">
        <f>ROUND(G17*AP17,2)</f>
        <v>0</v>
      </c>
      <c r="AY17" s="16" t="s">
        <v>61</v>
      </c>
      <c r="AZ17" s="16" t="s">
        <v>62</v>
      </c>
      <c r="BA17" s="8" t="s">
        <v>63</v>
      </c>
      <c r="BC17" s="14">
        <f>AW17+AX17</f>
        <v>0</v>
      </c>
      <c r="BD17" s="14">
        <f>H17/(100-BE17)*100</f>
        <v>0</v>
      </c>
      <c r="BE17" s="14">
        <v>0</v>
      </c>
      <c r="BF17" s="14">
        <f>O17</f>
        <v>3.2631E-2</v>
      </c>
      <c r="BH17" s="14">
        <f>G17*AO17</f>
        <v>0</v>
      </c>
      <c r="BI17" s="14">
        <f>G17*AP17</f>
        <v>0</v>
      </c>
      <c r="BJ17" s="14">
        <f>G17*H17</f>
        <v>0</v>
      </c>
      <c r="BK17" s="14"/>
      <c r="BL17" s="14">
        <v>31</v>
      </c>
      <c r="BW17" s="14">
        <f>I17</f>
        <v>21</v>
      </c>
      <c r="BX17" s="3" t="s">
        <v>75</v>
      </c>
    </row>
    <row r="18" spans="1:76" x14ac:dyDescent="0.25">
      <c r="A18" s="49" t="s">
        <v>53</v>
      </c>
      <c r="B18" s="18" t="s">
        <v>53</v>
      </c>
      <c r="C18" s="18" t="s">
        <v>77</v>
      </c>
      <c r="D18" s="108" t="s">
        <v>78</v>
      </c>
      <c r="E18" s="109"/>
      <c r="F18" s="19" t="s">
        <v>4</v>
      </c>
      <c r="G18" s="19" t="s">
        <v>4</v>
      </c>
      <c r="H18" s="19" t="s">
        <v>4</v>
      </c>
      <c r="I18" s="19" t="s">
        <v>4</v>
      </c>
      <c r="J18" s="1">
        <f>SUM(J19:J20)</f>
        <v>0</v>
      </c>
      <c r="K18" s="1">
        <f>SUM(K19:K20)</f>
        <v>0</v>
      </c>
      <c r="L18" s="1">
        <f>SUM(L19:L20)</f>
        <v>0</v>
      </c>
      <c r="M18" s="1">
        <f>SUM(M19:M20)</f>
        <v>0</v>
      </c>
      <c r="N18" s="8" t="s">
        <v>53</v>
      </c>
      <c r="O18" s="1">
        <f>SUM(O19:O20)</f>
        <v>6.8119599999999991</v>
      </c>
      <c r="P18" s="54" t="s">
        <v>53</v>
      </c>
      <c r="AI18" s="8" t="s">
        <v>53</v>
      </c>
      <c r="AS18" s="1">
        <f>SUM(AJ19:AJ20)</f>
        <v>0</v>
      </c>
      <c r="AT18" s="1">
        <f>SUM(AK19:AK20)</f>
        <v>0</v>
      </c>
      <c r="AU18" s="1">
        <f>SUM(AL19:AL20)</f>
        <v>0</v>
      </c>
    </row>
    <row r="19" spans="1:76" x14ac:dyDescent="0.25">
      <c r="A19" s="41" t="s">
        <v>79</v>
      </c>
      <c r="B19" s="2" t="s">
        <v>53</v>
      </c>
      <c r="C19" s="2" t="s">
        <v>80</v>
      </c>
      <c r="D19" s="84" t="s">
        <v>81</v>
      </c>
      <c r="E19" s="80"/>
      <c r="F19" s="2" t="s">
        <v>59</v>
      </c>
      <c r="G19" s="14">
        <v>648</v>
      </c>
      <c r="H19" s="74">
        <v>0</v>
      </c>
      <c r="I19" s="15">
        <v>21</v>
      </c>
      <c r="J19" s="14">
        <f>ROUND(G19*AO19,2)</f>
        <v>0</v>
      </c>
      <c r="K19" s="14">
        <f>ROUND(G19*AP19,2)</f>
        <v>0</v>
      </c>
      <c r="L19" s="14">
        <f>ROUND(G19*H19,2)</f>
        <v>0</v>
      </c>
      <c r="M19" s="14">
        <f>L19*(1+BW19/100)</f>
        <v>0</v>
      </c>
      <c r="N19" s="14">
        <v>2.0000000000000002E-5</v>
      </c>
      <c r="O19" s="14">
        <f>G19*N19</f>
        <v>1.2960000000000001E-2</v>
      </c>
      <c r="P19" s="55" t="s">
        <v>60</v>
      </c>
      <c r="Z19" s="14">
        <f>ROUND(IF(AQ19="5",BJ19,0),2)</f>
        <v>0</v>
      </c>
      <c r="AB19" s="14">
        <f>ROUND(IF(AQ19="1",BH19,0),2)</f>
        <v>0</v>
      </c>
      <c r="AC19" s="14">
        <f>ROUND(IF(AQ19="1",BI19,0),2)</f>
        <v>0</v>
      </c>
      <c r="AD19" s="14">
        <f>ROUND(IF(AQ19="7",BH19,0),2)</f>
        <v>0</v>
      </c>
      <c r="AE19" s="14">
        <f>ROUND(IF(AQ19="7",BI19,0),2)</f>
        <v>0</v>
      </c>
      <c r="AF19" s="14">
        <f>ROUND(IF(AQ19="2",BH19,0),2)</f>
        <v>0</v>
      </c>
      <c r="AG19" s="14">
        <f>ROUND(IF(AQ19="2",BI19,0),2)</f>
        <v>0</v>
      </c>
      <c r="AH19" s="14">
        <f>ROUND(IF(AQ19="0",BJ19,0),2)</f>
        <v>0</v>
      </c>
      <c r="AI19" s="8" t="s">
        <v>53</v>
      </c>
      <c r="AJ19" s="14">
        <f>IF(AN19=0,L19,0)</f>
        <v>0</v>
      </c>
      <c r="AK19" s="14">
        <f>IF(AN19=12,L19,0)</f>
        <v>0</v>
      </c>
      <c r="AL19" s="14">
        <f>IF(AN19=21,L19,0)</f>
        <v>0</v>
      </c>
      <c r="AN19" s="14">
        <v>21</v>
      </c>
      <c r="AO19" s="14">
        <f>H19*0.070291777</f>
        <v>0</v>
      </c>
      <c r="AP19" s="14">
        <f>H19*(1-0.070291777)</f>
        <v>0</v>
      </c>
      <c r="AQ19" s="16" t="s">
        <v>56</v>
      </c>
      <c r="AV19" s="14">
        <f>ROUND(AW19+AX19,2)</f>
        <v>0</v>
      </c>
      <c r="AW19" s="14">
        <f>ROUND(G19*AO19,2)</f>
        <v>0</v>
      </c>
      <c r="AX19" s="14">
        <f>ROUND(G19*AP19,2)</f>
        <v>0</v>
      </c>
      <c r="AY19" s="16" t="s">
        <v>82</v>
      </c>
      <c r="AZ19" s="16" t="s">
        <v>83</v>
      </c>
      <c r="BA19" s="8" t="s">
        <v>63</v>
      </c>
      <c r="BC19" s="14">
        <f>AW19+AX19</f>
        <v>0</v>
      </c>
      <c r="BD19" s="14">
        <f>H19/(100-BE19)*100</f>
        <v>0</v>
      </c>
      <c r="BE19" s="14">
        <v>0</v>
      </c>
      <c r="BF19" s="14">
        <f>O19</f>
        <v>1.2960000000000001E-2</v>
      </c>
      <c r="BH19" s="14">
        <f>G19*AO19</f>
        <v>0</v>
      </c>
      <c r="BI19" s="14">
        <f>G19*AP19</f>
        <v>0</v>
      </c>
      <c r="BJ19" s="14">
        <f>G19*H19</f>
        <v>0</v>
      </c>
      <c r="BK19" s="14"/>
      <c r="BL19" s="14">
        <v>62</v>
      </c>
      <c r="BW19" s="14">
        <f>I19</f>
        <v>21</v>
      </c>
      <c r="BX19" s="3" t="s">
        <v>81</v>
      </c>
    </row>
    <row r="20" spans="1:76" x14ac:dyDescent="0.25">
      <c r="A20" s="41" t="s">
        <v>84</v>
      </c>
      <c r="B20" s="2" t="s">
        <v>53</v>
      </c>
      <c r="C20" s="2" t="s">
        <v>85</v>
      </c>
      <c r="D20" s="84" t="s">
        <v>86</v>
      </c>
      <c r="E20" s="80"/>
      <c r="F20" s="2" t="s">
        <v>59</v>
      </c>
      <c r="G20" s="14">
        <v>100</v>
      </c>
      <c r="H20" s="74">
        <v>0</v>
      </c>
      <c r="I20" s="15">
        <v>21</v>
      </c>
      <c r="J20" s="14">
        <f>ROUND(G20*AO20,2)</f>
        <v>0</v>
      </c>
      <c r="K20" s="14">
        <f>ROUND(G20*AP20,2)</f>
        <v>0</v>
      </c>
      <c r="L20" s="14">
        <f>ROUND(G20*H20,2)</f>
        <v>0</v>
      </c>
      <c r="M20" s="14">
        <f>L20*(1+BW20/100)</f>
        <v>0</v>
      </c>
      <c r="N20" s="14">
        <v>6.7989999999999995E-2</v>
      </c>
      <c r="O20" s="14">
        <f>G20*N20</f>
        <v>6.7989999999999995</v>
      </c>
      <c r="P20" s="55" t="s">
        <v>60</v>
      </c>
      <c r="Z20" s="14">
        <f>ROUND(IF(AQ20="5",BJ20,0),2)</f>
        <v>0</v>
      </c>
      <c r="AB20" s="14">
        <f>ROUND(IF(AQ20="1",BH20,0),2)</f>
        <v>0</v>
      </c>
      <c r="AC20" s="14">
        <f>ROUND(IF(AQ20="1",BI20,0),2)</f>
        <v>0</v>
      </c>
      <c r="AD20" s="14">
        <f>ROUND(IF(AQ20="7",BH20,0),2)</f>
        <v>0</v>
      </c>
      <c r="AE20" s="14">
        <f>ROUND(IF(AQ20="7",BI20,0),2)</f>
        <v>0</v>
      </c>
      <c r="AF20" s="14">
        <f>ROUND(IF(AQ20="2",BH20,0),2)</f>
        <v>0</v>
      </c>
      <c r="AG20" s="14">
        <f>ROUND(IF(AQ20="2",BI20,0),2)</f>
        <v>0</v>
      </c>
      <c r="AH20" s="14">
        <f>ROUND(IF(AQ20="0",BJ20,0),2)</f>
        <v>0</v>
      </c>
      <c r="AI20" s="8" t="s">
        <v>53</v>
      </c>
      <c r="AJ20" s="14">
        <f>IF(AN20=0,L20,0)</f>
        <v>0</v>
      </c>
      <c r="AK20" s="14">
        <f>IF(AN20=12,L20,0)</f>
        <v>0</v>
      </c>
      <c r="AL20" s="14">
        <f>IF(AN20=21,L20,0)</f>
        <v>0</v>
      </c>
      <c r="AN20" s="14">
        <v>21</v>
      </c>
      <c r="AO20" s="14">
        <f>H20*0.867549269</f>
        <v>0</v>
      </c>
      <c r="AP20" s="14">
        <f>H20*(1-0.867549269)</f>
        <v>0</v>
      </c>
      <c r="AQ20" s="16" t="s">
        <v>56</v>
      </c>
      <c r="AV20" s="14">
        <f>ROUND(AW20+AX20,2)</f>
        <v>0</v>
      </c>
      <c r="AW20" s="14">
        <f>ROUND(G20*AO20,2)</f>
        <v>0</v>
      </c>
      <c r="AX20" s="14">
        <f>ROUND(G20*AP20,2)</f>
        <v>0</v>
      </c>
      <c r="AY20" s="16" t="s">
        <v>82</v>
      </c>
      <c r="AZ20" s="16" t="s">
        <v>83</v>
      </c>
      <c r="BA20" s="8" t="s">
        <v>63</v>
      </c>
      <c r="BC20" s="14">
        <f>AW20+AX20</f>
        <v>0</v>
      </c>
      <c r="BD20" s="14">
        <f>H20/(100-BE20)*100</f>
        <v>0</v>
      </c>
      <c r="BE20" s="14">
        <v>0</v>
      </c>
      <c r="BF20" s="14">
        <f>O20</f>
        <v>6.7989999999999995</v>
      </c>
      <c r="BH20" s="14">
        <f>G20*AO20</f>
        <v>0</v>
      </c>
      <c r="BI20" s="14">
        <f>G20*AP20</f>
        <v>0</v>
      </c>
      <c r="BJ20" s="14">
        <f>G20*H20</f>
        <v>0</v>
      </c>
      <c r="BK20" s="14"/>
      <c r="BL20" s="14">
        <v>62</v>
      </c>
      <c r="BW20" s="14">
        <f>I20</f>
        <v>21</v>
      </c>
      <c r="BX20" s="3" t="s">
        <v>86</v>
      </c>
    </row>
    <row r="21" spans="1:76" x14ac:dyDescent="0.25">
      <c r="A21" s="49" t="s">
        <v>53</v>
      </c>
      <c r="B21" s="18" t="s">
        <v>53</v>
      </c>
      <c r="C21" s="18" t="s">
        <v>87</v>
      </c>
      <c r="D21" s="108" t="s">
        <v>88</v>
      </c>
      <c r="E21" s="109"/>
      <c r="F21" s="19" t="s">
        <v>4</v>
      </c>
      <c r="G21" s="19" t="s">
        <v>4</v>
      </c>
      <c r="H21" s="19" t="s">
        <v>4</v>
      </c>
      <c r="I21" s="19" t="s">
        <v>4</v>
      </c>
      <c r="J21" s="1">
        <f>SUM(J22:J24)</f>
        <v>0</v>
      </c>
      <c r="K21" s="1">
        <f>SUM(K22:K24)</f>
        <v>0</v>
      </c>
      <c r="L21" s="1">
        <f>SUM(L22:L24)</f>
        <v>0</v>
      </c>
      <c r="M21" s="1">
        <f>SUM(M22:M24)</f>
        <v>0</v>
      </c>
      <c r="N21" s="8" t="s">
        <v>53</v>
      </c>
      <c r="O21" s="1">
        <f>SUM(O22:O24)</f>
        <v>5.8248899999999999</v>
      </c>
      <c r="P21" s="54" t="s">
        <v>53</v>
      </c>
      <c r="AI21" s="8" t="s">
        <v>53</v>
      </c>
      <c r="AS21" s="1">
        <f>SUM(AJ22:AJ24)</f>
        <v>0</v>
      </c>
      <c r="AT21" s="1">
        <f>SUM(AK22:AK24)</f>
        <v>0</v>
      </c>
      <c r="AU21" s="1">
        <f>SUM(AL22:AL24)</f>
        <v>0</v>
      </c>
    </row>
    <row r="22" spans="1:76" x14ac:dyDescent="0.25">
      <c r="A22" s="41" t="s">
        <v>89</v>
      </c>
      <c r="B22" s="2" t="s">
        <v>53</v>
      </c>
      <c r="C22" s="2" t="s">
        <v>90</v>
      </c>
      <c r="D22" s="84" t="s">
        <v>91</v>
      </c>
      <c r="E22" s="80"/>
      <c r="F22" s="2" t="s">
        <v>59</v>
      </c>
      <c r="G22" s="14">
        <v>129</v>
      </c>
      <c r="H22" s="74">
        <v>0</v>
      </c>
      <c r="I22" s="15">
        <v>21</v>
      </c>
      <c r="J22" s="14">
        <f>ROUND(G22*AO22,2)</f>
        <v>0</v>
      </c>
      <c r="K22" s="14">
        <f>ROUND(G22*AP22,2)</f>
        <v>0</v>
      </c>
      <c r="L22" s="14">
        <f>ROUND(G22*H22,2)</f>
        <v>0</v>
      </c>
      <c r="M22" s="14">
        <f>L22*(1+BW22/100)</f>
        <v>0</v>
      </c>
      <c r="N22" s="14">
        <v>3.041E-2</v>
      </c>
      <c r="O22" s="14">
        <f>G22*N22</f>
        <v>3.9228899999999998</v>
      </c>
      <c r="P22" s="55" t="s">
        <v>60</v>
      </c>
      <c r="Z22" s="14">
        <f>ROUND(IF(AQ22="5",BJ22,0),2)</f>
        <v>0</v>
      </c>
      <c r="AB22" s="14">
        <f>ROUND(IF(AQ22="1",BH22,0),2)</f>
        <v>0</v>
      </c>
      <c r="AC22" s="14">
        <f>ROUND(IF(AQ22="1",BI22,0),2)</f>
        <v>0</v>
      </c>
      <c r="AD22" s="14">
        <f>ROUND(IF(AQ22="7",BH22,0),2)</f>
        <v>0</v>
      </c>
      <c r="AE22" s="14">
        <f>ROUND(IF(AQ22="7",BI22,0),2)</f>
        <v>0</v>
      </c>
      <c r="AF22" s="14">
        <f>ROUND(IF(AQ22="2",BH22,0),2)</f>
        <v>0</v>
      </c>
      <c r="AG22" s="14">
        <f>ROUND(IF(AQ22="2",BI22,0),2)</f>
        <v>0</v>
      </c>
      <c r="AH22" s="14">
        <f>ROUND(IF(AQ22="0",BJ22,0),2)</f>
        <v>0</v>
      </c>
      <c r="AI22" s="8" t="s">
        <v>53</v>
      </c>
      <c r="AJ22" s="14">
        <f>IF(AN22=0,L22,0)</f>
        <v>0</v>
      </c>
      <c r="AK22" s="14">
        <f>IF(AN22=12,L22,0)</f>
        <v>0</v>
      </c>
      <c r="AL22" s="14">
        <f>IF(AN22=21,L22,0)</f>
        <v>0</v>
      </c>
      <c r="AN22" s="14">
        <v>21</v>
      </c>
      <c r="AO22" s="14">
        <f>H22*0.816117558</f>
        <v>0</v>
      </c>
      <c r="AP22" s="14">
        <f>H22*(1-0.816117558)</f>
        <v>0</v>
      </c>
      <c r="AQ22" s="16" t="s">
        <v>89</v>
      </c>
      <c r="AV22" s="14">
        <f>ROUND(AW22+AX22,2)</f>
        <v>0</v>
      </c>
      <c r="AW22" s="14">
        <f>ROUND(G22*AO22,2)</f>
        <v>0</v>
      </c>
      <c r="AX22" s="14">
        <f>ROUND(G22*AP22,2)</f>
        <v>0</v>
      </c>
      <c r="AY22" s="16" t="s">
        <v>92</v>
      </c>
      <c r="AZ22" s="16" t="s">
        <v>93</v>
      </c>
      <c r="BA22" s="8" t="s">
        <v>63</v>
      </c>
      <c r="BC22" s="14">
        <f>AW22+AX22</f>
        <v>0</v>
      </c>
      <c r="BD22" s="14">
        <f>H22/(100-BE22)*100</f>
        <v>0</v>
      </c>
      <c r="BE22" s="14">
        <v>0</v>
      </c>
      <c r="BF22" s="14">
        <f>O22</f>
        <v>3.9228899999999998</v>
      </c>
      <c r="BH22" s="14">
        <f>G22*AO22</f>
        <v>0</v>
      </c>
      <c r="BI22" s="14">
        <f>G22*AP22</f>
        <v>0</v>
      </c>
      <c r="BJ22" s="14">
        <f>G22*H22</f>
        <v>0</v>
      </c>
      <c r="BK22" s="14"/>
      <c r="BL22" s="14">
        <v>762</v>
      </c>
      <c r="BW22" s="14">
        <f>I22</f>
        <v>21</v>
      </c>
      <c r="BX22" s="3" t="s">
        <v>91</v>
      </c>
    </row>
    <row r="23" spans="1:76" ht="13.5" customHeight="1" x14ac:dyDescent="0.25">
      <c r="A23" s="56"/>
      <c r="C23" s="17" t="s">
        <v>64</v>
      </c>
      <c r="D23" s="105" t="s">
        <v>94</v>
      </c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7"/>
    </row>
    <row r="24" spans="1:76" ht="25.5" x14ac:dyDescent="0.25">
      <c r="A24" s="41" t="s">
        <v>95</v>
      </c>
      <c r="B24" s="2" t="s">
        <v>53</v>
      </c>
      <c r="C24" s="2" t="s">
        <v>96</v>
      </c>
      <c r="D24" s="84" t="s">
        <v>97</v>
      </c>
      <c r="E24" s="80"/>
      <c r="F24" s="2" t="s">
        <v>98</v>
      </c>
      <c r="G24" s="14">
        <v>120</v>
      </c>
      <c r="H24" s="74">
        <v>0</v>
      </c>
      <c r="I24" s="15">
        <v>21</v>
      </c>
      <c r="J24" s="14">
        <f>ROUND(G24*AO24,2)</f>
        <v>0</v>
      </c>
      <c r="K24" s="14">
        <f>ROUND(G24*AP24,2)</f>
        <v>0</v>
      </c>
      <c r="L24" s="14">
        <f>ROUND(G24*H24,2)</f>
        <v>0</v>
      </c>
      <c r="M24" s="14">
        <f>L24*(1+BW24/100)</f>
        <v>0</v>
      </c>
      <c r="N24" s="14">
        <v>1.585E-2</v>
      </c>
      <c r="O24" s="14">
        <f>G24*N24</f>
        <v>1.9019999999999999</v>
      </c>
      <c r="P24" s="55" t="s">
        <v>60</v>
      </c>
      <c r="Z24" s="14">
        <f>ROUND(IF(AQ24="5",BJ24,0),2)</f>
        <v>0</v>
      </c>
      <c r="AB24" s="14">
        <f>ROUND(IF(AQ24="1",BH24,0),2)</f>
        <v>0</v>
      </c>
      <c r="AC24" s="14">
        <f>ROUND(IF(AQ24="1",BI24,0),2)</f>
        <v>0</v>
      </c>
      <c r="AD24" s="14">
        <f>ROUND(IF(AQ24="7",BH24,0),2)</f>
        <v>0</v>
      </c>
      <c r="AE24" s="14">
        <f>ROUND(IF(AQ24="7",BI24,0),2)</f>
        <v>0</v>
      </c>
      <c r="AF24" s="14">
        <f>ROUND(IF(AQ24="2",BH24,0),2)</f>
        <v>0</v>
      </c>
      <c r="AG24" s="14">
        <f>ROUND(IF(AQ24="2",BI24,0),2)</f>
        <v>0</v>
      </c>
      <c r="AH24" s="14">
        <f>ROUND(IF(AQ24="0",BJ24,0),2)</f>
        <v>0</v>
      </c>
      <c r="AI24" s="8" t="s">
        <v>53</v>
      </c>
      <c r="AJ24" s="14">
        <f>IF(AN24=0,L24,0)</f>
        <v>0</v>
      </c>
      <c r="AK24" s="14">
        <f>IF(AN24=12,L24,0)</f>
        <v>0</v>
      </c>
      <c r="AL24" s="14">
        <f>IF(AN24=21,L24,0)</f>
        <v>0</v>
      </c>
      <c r="AN24" s="14">
        <v>21</v>
      </c>
      <c r="AO24" s="14">
        <f>H24*0.486465662</f>
        <v>0</v>
      </c>
      <c r="AP24" s="14">
        <f>H24*(1-0.486465662)</f>
        <v>0</v>
      </c>
      <c r="AQ24" s="16" t="s">
        <v>89</v>
      </c>
      <c r="AV24" s="14">
        <f>ROUND(AW24+AX24,2)</f>
        <v>0</v>
      </c>
      <c r="AW24" s="14">
        <f>ROUND(G24*AO24,2)</f>
        <v>0</v>
      </c>
      <c r="AX24" s="14">
        <f>ROUND(G24*AP24,2)</f>
        <v>0</v>
      </c>
      <c r="AY24" s="16" t="s">
        <v>92</v>
      </c>
      <c r="AZ24" s="16" t="s">
        <v>93</v>
      </c>
      <c r="BA24" s="8" t="s">
        <v>63</v>
      </c>
      <c r="BC24" s="14">
        <f>AW24+AX24</f>
        <v>0</v>
      </c>
      <c r="BD24" s="14">
        <f>H24/(100-BE24)*100</f>
        <v>0</v>
      </c>
      <c r="BE24" s="14">
        <v>0</v>
      </c>
      <c r="BF24" s="14">
        <f>O24</f>
        <v>1.9019999999999999</v>
      </c>
      <c r="BH24" s="14">
        <f>G24*AO24</f>
        <v>0</v>
      </c>
      <c r="BI24" s="14">
        <f>G24*AP24</f>
        <v>0</v>
      </c>
      <c r="BJ24" s="14">
        <f>G24*H24</f>
        <v>0</v>
      </c>
      <c r="BK24" s="14"/>
      <c r="BL24" s="14">
        <v>762</v>
      </c>
      <c r="BW24" s="14">
        <f>I24</f>
        <v>21</v>
      </c>
      <c r="BX24" s="3" t="s">
        <v>97</v>
      </c>
    </row>
    <row r="25" spans="1:76" ht="13.5" customHeight="1" x14ac:dyDescent="0.25">
      <c r="A25" s="56"/>
      <c r="C25" s="17" t="s">
        <v>64</v>
      </c>
      <c r="D25" s="105" t="s">
        <v>99</v>
      </c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7"/>
    </row>
    <row r="26" spans="1:76" x14ac:dyDescent="0.25">
      <c r="A26" s="49" t="s">
        <v>53</v>
      </c>
      <c r="B26" s="18" t="s">
        <v>53</v>
      </c>
      <c r="C26" s="18" t="s">
        <v>100</v>
      </c>
      <c r="D26" s="108" t="s">
        <v>101</v>
      </c>
      <c r="E26" s="109"/>
      <c r="F26" s="19" t="s">
        <v>4</v>
      </c>
      <c r="G26" s="19" t="s">
        <v>4</v>
      </c>
      <c r="H26" s="19" t="s">
        <v>4</v>
      </c>
      <c r="I26" s="19" t="s">
        <v>4</v>
      </c>
      <c r="J26" s="1">
        <f>SUM(J27:J31)</f>
        <v>0</v>
      </c>
      <c r="K26" s="1">
        <f>SUM(K27:K31)</f>
        <v>0</v>
      </c>
      <c r="L26" s="1">
        <f>SUM(L27:L31)</f>
        <v>0</v>
      </c>
      <c r="M26" s="1">
        <f>SUM(M27:M31)</f>
        <v>0</v>
      </c>
      <c r="N26" s="8" t="s">
        <v>53</v>
      </c>
      <c r="O26" s="1">
        <f>SUM(O27:O31)</f>
        <v>8.3463499999999975</v>
      </c>
      <c r="P26" s="54" t="s">
        <v>53</v>
      </c>
      <c r="AI26" s="8" t="s">
        <v>53</v>
      </c>
      <c r="AS26" s="1">
        <f>SUM(AJ27:AJ31)</f>
        <v>0</v>
      </c>
      <c r="AT26" s="1">
        <f>SUM(AK27:AK31)</f>
        <v>0</v>
      </c>
      <c r="AU26" s="1">
        <f>SUM(AL27:AL31)</f>
        <v>0</v>
      </c>
    </row>
    <row r="27" spans="1:76" x14ac:dyDescent="0.25">
      <c r="A27" s="41" t="s">
        <v>102</v>
      </c>
      <c r="B27" s="2" t="s">
        <v>53</v>
      </c>
      <c r="C27" s="2" t="s">
        <v>103</v>
      </c>
      <c r="D27" s="84" t="s">
        <v>104</v>
      </c>
      <c r="E27" s="80"/>
      <c r="F27" s="2" t="s">
        <v>98</v>
      </c>
      <c r="G27" s="14">
        <v>50</v>
      </c>
      <c r="H27" s="74">
        <v>0</v>
      </c>
      <c r="I27" s="15">
        <v>21</v>
      </c>
      <c r="J27" s="14">
        <f>ROUND(G27*AO27,2)</f>
        <v>0</v>
      </c>
      <c r="K27" s="14">
        <f>ROUND(G27*AP27,2)</f>
        <v>0</v>
      </c>
      <c r="L27" s="14">
        <f>ROUND(G27*H27,2)</f>
        <v>0</v>
      </c>
      <c r="M27" s="14">
        <f>L27*(1+BW27/100)</f>
        <v>0</v>
      </c>
      <c r="N27" s="14">
        <v>3.3600000000000001E-3</v>
      </c>
      <c r="O27" s="14">
        <f>G27*N27</f>
        <v>0.16800000000000001</v>
      </c>
      <c r="P27" s="55" t="s">
        <v>60</v>
      </c>
      <c r="Z27" s="14">
        <f>ROUND(IF(AQ27="5",BJ27,0),2)</f>
        <v>0</v>
      </c>
      <c r="AB27" s="14">
        <f>ROUND(IF(AQ27="1",BH27,0),2)</f>
        <v>0</v>
      </c>
      <c r="AC27" s="14">
        <f>ROUND(IF(AQ27="1",BI27,0),2)</f>
        <v>0</v>
      </c>
      <c r="AD27" s="14">
        <f>ROUND(IF(AQ27="7",BH27,0),2)</f>
        <v>0</v>
      </c>
      <c r="AE27" s="14">
        <f>ROUND(IF(AQ27="7",BI27,0),2)</f>
        <v>0</v>
      </c>
      <c r="AF27" s="14">
        <f>ROUND(IF(AQ27="2",BH27,0),2)</f>
        <v>0</v>
      </c>
      <c r="AG27" s="14">
        <f>ROUND(IF(AQ27="2",BI27,0),2)</f>
        <v>0</v>
      </c>
      <c r="AH27" s="14">
        <f>ROUND(IF(AQ27="0",BJ27,0),2)</f>
        <v>0</v>
      </c>
      <c r="AI27" s="8" t="s">
        <v>53</v>
      </c>
      <c r="AJ27" s="14">
        <f>IF(AN27=0,L27,0)</f>
        <v>0</v>
      </c>
      <c r="AK27" s="14">
        <f>IF(AN27=12,L27,0)</f>
        <v>0</v>
      </c>
      <c r="AL27" s="14">
        <f>IF(AN27=21,L27,0)</f>
        <v>0</v>
      </c>
      <c r="AN27" s="14">
        <v>21</v>
      </c>
      <c r="AO27" s="14">
        <f>H27*0</f>
        <v>0</v>
      </c>
      <c r="AP27" s="14">
        <f>H27*(1-0)</f>
        <v>0</v>
      </c>
      <c r="AQ27" s="16" t="s">
        <v>89</v>
      </c>
      <c r="AV27" s="14">
        <f>ROUND(AW27+AX27,2)</f>
        <v>0</v>
      </c>
      <c r="AW27" s="14">
        <f>ROUND(G27*AO27,2)</f>
        <v>0</v>
      </c>
      <c r="AX27" s="14">
        <f>ROUND(G27*AP27,2)</f>
        <v>0</v>
      </c>
      <c r="AY27" s="16" t="s">
        <v>105</v>
      </c>
      <c r="AZ27" s="16" t="s">
        <v>93</v>
      </c>
      <c r="BA27" s="8" t="s">
        <v>63</v>
      </c>
      <c r="BC27" s="14">
        <f>AW27+AX27</f>
        <v>0</v>
      </c>
      <c r="BD27" s="14">
        <f>H27/(100-BE27)*100</f>
        <v>0</v>
      </c>
      <c r="BE27" s="14">
        <v>0</v>
      </c>
      <c r="BF27" s="14">
        <f>O27</f>
        <v>0.16800000000000001</v>
      </c>
      <c r="BH27" s="14">
        <f>G27*AO27</f>
        <v>0</v>
      </c>
      <c r="BI27" s="14">
        <f>G27*AP27</f>
        <v>0</v>
      </c>
      <c r="BJ27" s="14">
        <f>G27*H27</f>
        <v>0</v>
      </c>
      <c r="BK27" s="14"/>
      <c r="BL27" s="14">
        <v>764</v>
      </c>
      <c r="BW27" s="14">
        <f>I27</f>
        <v>21</v>
      </c>
      <c r="BX27" s="3" t="s">
        <v>104</v>
      </c>
    </row>
    <row r="28" spans="1:76" x14ac:dyDescent="0.25">
      <c r="A28" s="41" t="s">
        <v>106</v>
      </c>
      <c r="B28" s="2" t="s">
        <v>53</v>
      </c>
      <c r="C28" s="2" t="s">
        <v>107</v>
      </c>
      <c r="D28" s="84" t="s">
        <v>108</v>
      </c>
      <c r="E28" s="80"/>
      <c r="F28" s="2" t="s">
        <v>59</v>
      </c>
      <c r="G28" s="14">
        <v>1100</v>
      </c>
      <c r="H28" s="74">
        <v>0</v>
      </c>
      <c r="I28" s="15">
        <v>21</v>
      </c>
      <c r="J28" s="14">
        <f>ROUND(G28*AO28,2)</f>
        <v>0</v>
      </c>
      <c r="K28" s="14">
        <f>ROUND(G28*AP28,2)</f>
        <v>0</v>
      </c>
      <c r="L28" s="14">
        <f>ROUND(G28*H28,2)</f>
        <v>0</v>
      </c>
      <c r="M28" s="14">
        <f>L28*(1+BW28/100)</f>
        <v>0</v>
      </c>
      <c r="N28" s="14">
        <v>7.3200000000000001E-3</v>
      </c>
      <c r="O28" s="14">
        <f>G28*N28</f>
        <v>8.0519999999999996</v>
      </c>
      <c r="P28" s="55" t="s">
        <v>60</v>
      </c>
      <c r="Z28" s="14">
        <f>ROUND(IF(AQ28="5",BJ28,0),2)</f>
        <v>0</v>
      </c>
      <c r="AB28" s="14">
        <f>ROUND(IF(AQ28="1",BH28,0),2)</f>
        <v>0</v>
      </c>
      <c r="AC28" s="14">
        <f>ROUND(IF(AQ28="1",BI28,0),2)</f>
        <v>0</v>
      </c>
      <c r="AD28" s="14">
        <f>ROUND(IF(AQ28="7",BH28,0),2)</f>
        <v>0</v>
      </c>
      <c r="AE28" s="14">
        <f>ROUND(IF(AQ28="7",BI28,0),2)</f>
        <v>0</v>
      </c>
      <c r="AF28" s="14">
        <f>ROUND(IF(AQ28="2",BH28,0),2)</f>
        <v>0</v>
      </c>
      <c r="AG28" s="14">
        <f>ROUND(IF(AQ28="2",BI28,0),2)</f>
        <v>0</v>
      </c>
      <c r="AH28" s="14">
        <f>ROUND(IF(AQ28="0",BJ28,0),2)</f>
        <v>0</v>
      </c>
      <c r="AI28" s="8" t="s">
        <v>53</v>
      </c>
      <c r="AJ28" s="14">
        <f>IF(AN28=0,L28,0)</f>
        <v>0</v>
      </c>
      <c r="AK28" s="14">
        <f>IF(AN28=12,L28,0)</f>
        <v>0</v>
      </c>
      <c r="AL28" s="14">
        <f>IF(AN28=21,L28,0)</f>
        <v>0</v>
      </c>
      <c r="AN28" s="14">
        <v>21</v>
      </c>
      <c r="AO28" s="14">
        <f>H28*0</f>
        <v>0</v>
      </c>
      <c r="AP28" s="14">
        <f>H28*(1-0)</f>
        <v>0</v>
      </c>
      <c r="AQ28" s="16" t="s">
        <v>89</v>
      </c>
      <c r="AV28" s="14">
        <f>ROUND(AW28+AX28,2)</f>
        <v>0</v>
      </c>
      <c r="AW28" s="14">
        <f>ROUND(G28*AO28,2)</f>
        <v>0</v>
      </c>
      <c r="AX28" s="14">
        <f>ROUND(G28*AP28,2)</f>
        <v>0</v>
      </c>
      <c r="AY28" s="16" t="s">
        <v>105</v>
      </c>
      <c r="AZ28" s="16" t="s">
        <v>93</v>
      </c>
      <c r="BA28" s="8" t="s">
        <v>63</v>
      </c>
      <c r="BC28" s="14">
        <f>AW28+AX28</f>
        <v>0</v>
      </c>
      <c r="BD28" s="14">
        <f>H28/(100-BE28)*100</f>
        <v>0</v>
      </c>
      <c r="BE28" s="14">
        <v>0</v>
      </c>
      <c r="BF28" s="14">
        <f>O28</f>
        <v>8.0519999999999996</v>
      </c>
      <c r="BH28" s="14">
        <f>G28*AO28</f>
        <v>0</v>
      </c>
      <c r="BI28" s="14">
        <f>G28*AP28</f>
        <v>0</v>
      </c>
      <c r="BJ28" s="14">
        <f>G28*H28</f>
        <v>0</v>
      </c>
      <c r="BK28" s="14"/>
      <c r="BL28" s="14">
        <v>764</v>
      </c>
      <c r="BW28" s="14">
        <f>I28</f>
        <v>21</v>
      </c>
      <c r="BX28" s="3" t="s">
        <v>108</v>
      </c>
    </row>
    <row r="29" spans="1:76" x14ac:dyDescent="0.25">
      <c r="A29" s="41" t="s">
        <v>109</v>
      </c>
      <c r="B29" s="2" t="s">
        <v>53</v>
      </c>
      <c r="C29" s="2" t="s">
        <v>110</v>
      </c>
      <c r="D29" s="84" t="s">
        <v>111</v>
      </c>
      <c r="E29" s="80"/>
      <c r="F29" s="2" t="s">
        <v>98</v>
      </c>
      <c r="G29" s="14">
        <v>35</v>
      </c>
      <c r="H29" s="74">
        <v>0</v>
      </c>
      <c r="I29" s="15">
        <v>21</v>
      </c>
      <c r="J29" s="14">
        <f>ROUND(G29*AO29,2)</f>
        <v>0</v>
      </c>
      <c r="K29" s="14">
        <f>ROUND(G29*AP29,2)</f>
        <v>0</v>
      </c>
      <c r="L29" s="14">
        <f>ROUND(G29*H29,2)</f>
        <v>0</v>
      </c>
      <c r="M29" s="14">
        <f>L29*(1+BW29/100)</f>
        <v>0</v>
      </c>
      <c r="N29" s="14">
        <v>3.5599999999999998E-3</v>
      </c>
      <c r="O29" s="14">
        <f>G29*N29</f>
        <v>0.12459999999999999</v>
      </c>
      <c r="P29" s="55" t="s">
        <v>60</v>
      </c>
      <c r="Z29" s="14">
        <f>ROUND(IF(AQ29="5",BJ29,0),2)</f>
        <v>0</v>
      </c>
      <c r="AB29" s="14">
        <f>ROUND(IF(AQ29="1",BH29,0),2)</f>
        <v>0</v>
      </c>
      <c r="AC29" s="14">
        <f>ROUND(IF(AQ29="1",BI29,0),2)</f>
        <v>0</v>
      </c>
      <c r="AD29" s="14">
        <f>ROUND(IF(AQ29="7",BH29,0),2)</f>
        <v>0</v>
      </c>
      <c r="AE29" s="14">
        <f>ROUND(IF(AQ29="7",BI29,0),2)</f>
        <v>0</v>
      </c>
      <c r="AF29" s="14">
        <f>ROUND(IF(AQ29="2",BH29,0),2)</f>
        <v>0</v>
      </c>
      <c r="AG29" s="14">
        <f>ROUND(IF(AQ29="2",BI29,0),2)</f>
        <v>0</v>
      </c>
      <c r="AH29" s="14">
        <f>ROUND(IF(AQ29="0",BJ29,0),2)</f>
        <v>0</v>
      </c>
      <c r="AI29" s="8" t="s">
        <v>53</v>
      </c>
      <c r="AJ29" s="14">
        <f>IF(AN29=0,L29,0)</f>
        <v>0</v>
      </c>
      <c r="AK29" s="14">
        <f>IF(AN29=12,L29,0)</f>
        <v>0</v>
      </c>
      <c r="AL29" s="14">
        <f>IF(AN29=21,L29,0)</f>
        <v>0</v>
      </c>
      <c r="AN29" s="14">
        <v>21</v>
      </c>
      <c r="AO29" s="14">
        <f>H29*0</f>
        <v>0</v>
      </c>
      <c r="AP29" s="14">
        <f>H29*(1-0)</f>
        <v>0</v>
      </c>
      <c r="AQ29" s="16" t="s">
        <v>89</v>
      </c>
      <c r="AV29" s="14">
        <f>ROUND(AW29+AX29,2)</f>
        <v>0</v>
      </c>
      <c r="AW29" s="14">
        <f>ROUND(G29*AO29,2)</f>
        <v>0</v>
      </c>
      <c r="AX29" s="14">
        <f>ROUND(G29*AP29,2)</f>
        <v>0</v>
      </c>
      <c r="AY29" s="16" t="s">
        <v>105</v>
      </c>
      <c r="AZ29" s="16" t="s">
        <v>93</v>
      </c>
      <c r="BA29" s="8" t="s">
        <v>63</v>
      </c>
      <c r="BC29" s="14">
        <f>AW29+AX29</f>
        <v>0</v>
      </c>
      <c r="BD29" s="14">
        <f>H29/(100-BE29)*100</f>
        <v>0</v>
      </c>
      <c r="BE29" s="14">
        <v>0</v>
      </c>
      <c r="BF29" s="14">
        <f>O29</f>
        <v>0.12459999999999999</v>
      </c>
      <c r="BH29" s="14">
        <f>G29*AO29</f>
        <v>0</v>
      </c>
      <c r="BI29" s="14">
        <f>G29*AP29</f>
        <v>0</v>
      </c>
      <c r="BJ29" s="14">
        <f>G29*H29</f>
        <v>0</v>
      </c>
      <c r="BK29" s="14"/>
      <c r="BL29" s="14">
        <v>764</v>
      </c>
      <c r="BW29" s="14">
        <f>I29</f>
        <v>21</v>
      </c>
      <c r="BX29" s="3" t="s">
        <v>111</v>
      </c>
    </row>
    <row r="30" spans="1:76" x14ac:dyDescent="0.25">
      <c r="A30" s="41" t="s">
        <v>112</v>
      </c>
      <c r="B30" s="2" t="s">
        <v>53</v>
      </c>
      <c r="C30" s="2" t="s">
        <v>113</v>
      </c>
      <c r="D30" s="84" t="s">
        <v>114</v>
      </c>
      <c r="E30" s="80"/>
      <c r="F30" s="2" t="s">
        <v>98</v>
      </c>
      <c r="G30" s="14">
        <v>50</v>
      </c>
      <c r="H30" s="74">
        <v>0</v>
      </c>
      <c r="I30" s="15">
        <v>21</v>
      </c>
      <c r="J30" s="14">
        <f>ROUND(G30*AO30,2)</f>
        <v>0</v>
      </c>
      <c r="K30" s="14">
        <f>ROUND(G30*AP30,2)</f>
        <v>0</v>
      </c>
      <c r="L30" s="14">
        <f>ROUND(G30*H30,2)</f>
        <v>0</v>
      </c>
      <c r="M30" s="14">
        <f>L30*(1+BW30/100)</f>
        <v>0</v>
      </c>
      <c r="N30" s="14">
        <v>0</v>
      </c>
      <c r="O30" s="14">
        <f>G30*N30</f>
        <v>0</v>
      </c>
      <c r="P30" s="55" t="s">
        <v>60</v>
      </c>
      <c r="Z30" s="14">
        <f>ROUND(IF(AQ30="5",BJ30,0),2)</f>
        <v>0</v>
      </c>
      <c r="AB30" s="14">
        <f>ROUND(IF(AQ30="1",BH30,0),2)</f>
        <v>0</v>
      </c>
      <c r="AC30" s="14">
        <f>ROUND(IF(AQ30="1",BI30,0),2)</f>
        <v>0</v>
      </c>
      <c r="AD30" s="14">
        <f>ROUND(IF(AQ30="7",BH30,0),2)</f>
        <v>0</v>
      </c>
      <c r="AE30" s="14">
        <f>ROUND(IF(AQ30="7",BI30,0),2)</f>
        <v>0</v>
      </c>
      <c r="AF30" s="14">
        <f>ROUND(IF(AQ30="2",BH30,0),2)</f>
        <v>0</v>
      </c>
      <c r="AG30" s="14">
        <f>ROUND(IF(AQ30="2",BI30,0),2)</f>
        <v>0</v>
      </c>
      <c r="AH30" s="14">
        <f>ROUND(IF(AQ30="0",BJ30,0),2)</f>
        <v>0</v>
      </c>
      <c r="AI30" s="8" t="s">
        <v>53</v>
      </c>
      <c r="AJ30" s="14">
        <f>IF(AN30=0,L30,0)</f>
        <v>0</v>
      </c>
      <c r="AK30" s="14">
        <f>IF(AN30=12,L30,0)</f>
        <v>0</v>
      </c>
      <c r="AL30" s="14">
        <f>IF(AN30=21,L30,0)</f>
        <v>0</v>
      </c>
      <c r="AN30" s="14">
        <v>21</v>
      </c>
      <c r="AO30" s="14">
        <f>H30*0</f>
        <v>0</v>
      </c>
      <c r="AP30" s="14">
        <f>H30*(1-0)</f>
        <v>0</v>
      </c>
      <c r="AQ30" s="16" t="s">
        <v>89</v>
      </c>
      <c r="AV30" s="14">
        <f>ROUND(AW30+AX30,2)</f>
        <v>0</v>
      </c>
      <c r="AW30" s="14">
        <f>ROUND(G30*AO30,2)</f>
        <v>0</v>
      </c>
      <c r="AX30" s="14">
        <f>ROUND(G30*AP30,2)</f>
        <v>0</v>
      </c>
      <c r="AY30" s="16" t="s">
        <v>105</v>
      </c>
      <c r="AZ30" s="16" t="s">
        <v>93</v>
      </c>
      <c r="BA30" s="8" t="s">
        <v>63</v>
      </c>
      <c r="BC30" s="14">
        <f>AW30+AX30</f>
        <v>0</v>
      </c>
      <c r="BD30" s="14">
        <f>H30/(100-BE30)*100</f>
        <v>0</v>
      </c>
      <c r="BE30" s="14">
        <v>0</v>
      </c>
      <c r="BF30" s="14">
        <f>O30</f>
        <v>0</v>
      </c>
      <c r="BH30" s="14">
        <f>G30*AO30</f>
        <v>0</v>
      </c>
      <c r="BI30" s="14">
        <f>G30*AP30</f>
        <v>0</v>
      </c>
      <c r="BJ30" s="14">
        <f>G30*H30</f>
        <v>0</v>
      </c>
      <c r="BK30" s="14"/>
      <c r="BL30" s="14">
        <v>764</v>
      </c>
      <c r="BW30" s="14">
        <f>I30</f>
        <v>21</v>
      </c>
      <c r="BX30" s="3" t="s">
        <v>114</v>
      </c>
    </row>
    <row r="31" spans="1:76" x14ac:dyDescent="0.25">
      <c r="A31" s="41" t="s">
        <v>115</v>
      </c>
      <c r="B31" s="2" t="s">
        <v>53</v>
      </c>
      <c r="C31" s="2" t="s">
        <v>116</v>
      </c>
      <c r="D31" s="84" t="s">
        <v>117</v>
      </c>
      <c r="E31" s="80"/>
      <c r="F31" s="2" t="s">
        <v>98</v>
      </c>
      <c r="G31" s="14">
        <v>35</v>
      </c>
      <c r="H31" s="74">
        <v>0</v>
      </c>
      <c r="I31" s="15">
        <v>21</v>
      </c>
      <c r="J31" s="14">
        <f>ROUND(G31*AO31,2)</f>
        <v>0</v>
      </c>
      <c r="K31" s="14">
        <f>ROUND(G31*AP31,2)</f>
        <v>0</v>
      </c>
      <c r="L31" s="14">
        <f>ROUND(G31*H31,2)</f>
        <v>0</v>
      </c>
      <c r="M31" s="14">
        <f>L31*(1+BW31/100)</f>
        <v>0</v>
      </c>
      <c r="N31" s="14">
        <v>5.0000000000000002E-5</v>
      </c>
      <c r="O31" s="14">
        <f>G31*N31</f>
        <v>1.75E-3</v>
      </c>
      <c r="P31" s="55" t="s">
        <v>60</v>
      </c>
      <c r="Z31" s="14">
        <f>ROUND(IF(AQ31="5",BJ31,0),2)</f>
        <v>0</v>
      </c>
      <c r="AB31" s="14">
        <f>ROUND(IF(AQ31="1",BH31,0),2)</f>
        <v>0</v>
      </c>
      <c r="AC31" s="14">
        <f>ROUND(IF(AQ31="1",BI31,0),2)</f>
        <v>0</v>
      </c>
      <c r="AD31" s="14">
        <f>ROUND(IF(AQ31="7",BH31,0),2)</f>
        <v>0</v>
      </c>
      <c r="AE31" s="14">
        <f>ROUND(IF(AQ31="7",BI31,0),2)</f>
        <v>0</v>
      </c>
      <c r="AF31" s="14">
        <f>ROUND(IF(AQ31="2",BH31,0),2)</f>
        <v>0</v>
      </c>
      <c r="AG31" s="14">
        <f>ROUND(IF(AQ31="2",BI31,0),2)</f>
        <v>0</v>
      </c>
      <c r="AH31" s="14">
        <f>ROUND(IF(AQ31="0",BJ31,0),2)</f>
        <v>0</v>
      </c>
      <c r="AI31" s="8" t="s">
        <v>53</v>
      </c>
      <c r="AJ31" s="14">
        <f>IF(AN31=0,L31,0)</f>
        <v>0</v>
      </c>
      <c r="AK31" s="14">
        <f>IF(AN31=12,L31,0)</f>
        <v>0</v>
      </c>
      <c r="AL31" s="14">
        <f>IF(AN31=21,L31,0)</f>
        <v>0</v>
      </c>
      <c r="AN31" s="14">
        <v>21</v>
      </c>
      <c r="AO31" s="14">
        <f>H31*0.025674419</f>
        <v>0</v>
      </c>
      <c r="AP31" s="14">
        <f>H31*(1-0.025674419)</f>
        <v>0</v>
      </c>
      <c r="AQ31" s="16" t="s">
        <v>89</v>
      </c>
      <c r="AV31" s="14">
        <f>ROUND(AW31+AX31,2)</f>
        <v>0</v>
      </c>
      <c r="AW31" s="14">
        <f>ROUND(G31*AO31,2)</f>
        <v>0</v>
      </c>
      <c r="AX31" s="14">
        <f>ROUND(G31*AP31,2)</f>
        <v>0</v>
      </c>
      <c r="AY31" s="16" t="s">
        <v>105</v>
      </c>
      <c r="AZ31" s="16" t="s">
        <v>93</v>
      </c>
      <c r="BA31" s="8" t="s">
        <v>63</v>
      </c>
      <c r="BC31" s="14">
        <f>AW31+AX31</f>
        <v>0</v>
      </c>
      <c r="BD31" s="14">
        <f>H31/(100-BE31)*100</f>
        <v>0</v>
      </c>
      <c r="BE31" s="14">
        <v>0</v>
      </c>
      <c r="BF31" s="14">
        <f>O31</f>
        <v>1.75E-3</v>
      </c>
      <c r="BH31" s="14">
        <f>G31*AO31</f>
        <v>0</v>
      </c>
      <c r="BI31" s="14">
        <f>G31*AP31</f>
        <v>0</v>
      </c>
      <c r="BJ31" s="14">
        <f>G31*H31</f>
        <v>0</v>
      </c>
      <c r="BK31" s="14"/>
      <c r="BL31" s="14">
        <v>764</v>
      </c>
      <c r="BW31" s="14">
        <f>I31</f>
        <v>21</v>
      </c>
      <c r="BX31" s="3" t="s">
        <v>117</v>
      </c>
    </row>
    <row r="32" spans="1:76" x14ac:dyDescent="0.25">
      <c r="A32" s="49" t="s">
        <v>53</v>
      </c>
      <c r="B32" s="18" t="s">
        <v>53</v>
      </c>
      <c r="C32" s="18" t="s">
        <v>118</v>
      </c>
      <c r="D32" s="108" t="s">
        <v>119</v>
      </c>
      <c r="E32" s="109"/>
      <c r="F32" s="19" t="s">
        <v>4</v>
      </c>
      <c r="G32" s="19" t="s">
        <v>4</v>
      </c>
      <c r="H32" s="19" t="s">
        <v>4</v>
      </c>
      <c r="I32" s="19" t="s">
        <v>4</v>
      </c>
      <c r="J32" s="1">
        <f>SUM(J33:J35)</f>
        <v>0</v>
      </c>
      <c r="K32" s="1">
        <f>SUM(K33:K35)</f>
        <v>0</v>
      </c>
      <c r="L32" s="1">
        <f>SUM(L33:L35)</f>
        <v>0</v>
      </c>
      <c r="M32" s="1">
        <f>SUM(M33:M35)</f>
        <v>0</v>
      </c>
      <c r="N32" s="8" t="s">
        <v>53</v>
      </c>
      <c r="O32" s="1">
        <f>SUM(O33:O35)</f>
        <v>2.637</v>
      </c>
      <c r="P32" s="54" t="s">
        <v>53</v>
      </c>
      <c r="AI32" s="8" t="s">
        <v>53</v>
      </c>
      <c r="AS32" s="1">
        <f>SUM(AJ33:AJ35)</f>
        <v>0</v>
      </c>
      <c r="AT32" s="1">
        <f>SUM(AK33:AK35)</f>
        <v>0</v>
      </c>
      <c r="AU32" s="1">
        <f>SUM(AL33:AL35)</f>
        <v>0</v>
      </c>
    </row>
    <row r="33" spans="1:76" x14ac:dyDescent="0.25">
      <c r="A33" s="41" t="s">
        <v>120</v>
      </c>
      <c r="B33" s="2" t="s">
        <v>53</v>
      </c>
      <c r="C33" s="2" t="s">
        <v>121</v>
      </c>
      <c r="D33" s="84" t="s">
        <v>122</v>
      </c>
      <c r="E33" s="80"/>
      <c r="F33" s="2" t="s">
        <v>59</v>
      </c>
      <c r="G33" s="14">
        <v>186</v>
      </c>
      <c r="H33" s="74">
        <v>0</v>
      </c>
      <c r="I33" s="15">
        <v>21</v>
      </c>
      <c r="J33" s="14">
        <f>ROUND(G33*AO33,2)</f>
        <v>0</v>
      </c>
      <c r="K33" s="14">
        <f>ROUND(G33*AP33,2)</f>
        <v>0</v>
      </c>
      <c r="L33" s="14">
        <f>ROUND(G33*H33,2)</f>
        <v>0</v>
      </c>
      <c r="M33" s="14">
        <f>L33*(1+BW33/100)</f>
        <v>0</v>
      </c>
      <c r="N33" s="14">
        <v>1.2E-2</v>
      </c>
      <c r="O33" s="14">
        <f>G33*N33</f>
        <v>2.2320000000000002</v>
      </c>
      <c r="P33" s="55" t="s">
        <v>60</v>
      </c>
      <c r="Z33" s="14">
        <f>ROUND(IF(AQ33="5",BJ33,0),2)</f>
        <v>0</v>
      </c>
      <c r="AB33" s="14">
        <f>ROUND(IF(AQ33="1",BH33,0),2)</f>
        <v>0</v>
      </c>
      <c r="AC33" s="14">
        <f>ROUND(IF(AQ33="1",BI33,0),2)</f>
        <v>0</v>
      </c>
      <c r="AD33" s="14">
        <f>ROUND(IF(AQ33="7",BH33,0),2)</f>
        <v>0</v>
      </c>
      <c r="AE33" s="14">
        <f>ROUND(IF(AQ33="7",BI33,0),2)</f>
        <v>0</v>
      </c>
      <c r="AF33" s="14">
        <f>ROUND(IF(AQ33="2",BH33,0),2)</f>
        <v>0</v>
      </c>
      <c r="AG33" s="14">
        <f>ROUND(IF(AQ33="2",BI33,0),2)</f>
        <v>0</v>
      </c>
      <c r="AH33" s="14">
        <f>ROUND(IF(AQ33="0",BJ33,0),2)</f>
        <v>0</v>
      </c>
      <c r="AI33" s="8" t="s">
        <v>53</v>
      </c>
      <c r="AJ33" s="14">
        <f>IF(AN33=0,L33,0)</f>
        <v>0</v>
      </c>
      <c r="AK33" s="14">
        <f>IF(AN33=12,L33,0)</f>
        <v>0</v>
      </c>
      <c r="AL33" s="14">
        <f>IF(AN33=21,L33,0)</f>
        <v>0</v>
      </c>
      <c r="AN33" s="14">
        <v>21</v>
      </c>
      <c r="AO33" s="14">
        <f>H33*0</f>
        <v>0</v>
      </c>
      <c r="AP33" s="14">
        <f>H33*(1-0)</f>
        <v>0</v>
      </c>
      <c r="AQ33" s="16" t="s">
        <v>89</v>
      </c>
      <c r="AV33" s="14">
        <f>ROUND(AW33+AX33,2)</f>
        <v>0</v>
      </c>
      <c r="AW33" s="14">
        <f>ROUND(G33*AO33,2)</f>
        <v>0</v>
      </c>
      <c r="AX33" s="14">
        <f>ROUND(G33*AP33,2)</f>
        <v>0</v>
      </c>
      <c r="AY33" s="16" t="s">
        <v>123</v>
      </c>
      <c r="AZ33" s="16" t="s">
        <v>93</v>
      </c>
      <c r="BA33" s="8" t="s">
        <v>63</v>
      </c>
      <c r="BC33" s="14">
        <f>AW33+AX33</f>
        <v>0</v>
      </c>
      <c r="BD33" s="14">
        <f>H33/(100-BE33)*100</f>
        <v>0</v>
      </c>
      <c r="BE33" s="14">
        <v>0</v>
      </c>
      <c r="BF33" s="14">
        <f>O33</f>
        <v>2.2320000000000002</v>
      </c>
      <c r="BH33" s="14">
        <f>G33*AO33</f>
        <v>0</v>
      </c>
      <c r="BI33" s="14">
        <f>G33*AP33</f>
        <v>0</v>
      </c>
      <c r="BJ33" s="14">
        <f>G33*H33</f>
        <v>0</v>
      </c>
      <c r="BK33" s="14"/>
      <c r="BL33" s="14">
        <v>767</v>
      </c>
      <c r="BW33" s="14">
        <f>I33</f>
        <v>21</v>
      </c>
      <c r="BX33" s="3" t="s">
        <v>122</v>
      </c>
    </row>
    <row r="34" spans="1:76" ht="28.5" customHeight="1" x14ac:dyDescent="0.25">
      <c r="A34" s="41" t="s">
        <v>124</v>
      </c>
      <c r="B34" s="2" t="s">
        <v>53</v>
      </c>
      <c r="C34" s="2" t="s">
        <v>125</v>
      </c>
      <c r="D34" s="84" t="s">
        <v>273</v>
      </c>
      <c r="E34" s="80"/>
      <c r="F34" s="2" t="s">
        <v>59</v>
      </c>
      <c r="G34" s="14">
        <v>1100</v>
      </c>
      <c r="H34" s="74">
        <v>0</v>
      </c>
      <c r="I34" s="15">
        <v>21</v>
      </c>
      <c r="J34" s="14">
        <f>ROUND(G34*AO34,2)</f>
        <v>0</v>
      </c>
      <c r="K34" s="14">
        <f>ROUND(G34*AP34,2)</f>
        <v>0</v>
      </c>
      <c r="L34" s="14">
        <f>ROUND(G34*H34,2)</f>
        <v>0</v>
      </c>
      <c r="M34" s="14">
        <f>L34*(1+BW34/100)</f>
        <v>0</v>
      </c>
      <c r="N34" s="14">
        <v>3.0000000000000001E-5</v>
      </c>
      <c r="O34" s="14">
        <f>G34*N34</f>
        <v>3.3000000000000002E-2</v>
      </c>
      <c r="P34" s="55" t="s">
        <v>60</v>
      </c>
      <c r="Z34" s="14">
        <f>ROUND(IF(AQ34="5",BJ34,0),2)</f>
        <v>0</v>
      </c>
      <c r="AB34" s="14">
        <f>ROUND(IF(AQ34="1",BH34,0),2)</f>
        <v>0</v>
      </c>
      <c r="AC34" s="14">
        <f>ROUND(IF(AQ34="1",BI34,0),2)</f>
        <v>0</v>
      </c>
      <c r="AD34" s="14">
        <f>ROUND(IF(AQ34="7",BH34,0),2)</f>
        <v>0</v>
      </c>
      <c r="AE34" s="14">
        <f>ROUND(IF(AQ34="7",BI34,0),2)</f>
        <v>0</v>
      </c>
      <c r="AF34" s="14">
        <f>ROUND(IF(AQ34="2",BH34,0),2)</f>
        <v>0</v>
      </c>
      <c r="AG34" s="14">
        <f>ROUND(IF(AQ34="2",BI34,0),2)</f>
        <v>0</v>
      </c>
      <c r="AH34" s="14">
        <f>ROUND(IF(AQ34="0",BJ34,0),2)</f>
        <v>0</v>
      </c>
      <c r="AI34" s="8" t="s">
        <v>53</v>
      </c>
      <c r="AJ34" s="14">
        <f>IF(AN34=0,L34,0)</f>
        <v>0</v>
      </c>
      <c r="AK34" s="14">
        <f>IF(AN34=12,L34,0)</f>
        <v>0</v>
      </c>
      <c r="AL34" s="14">
        <f>IF(AN34=21,L34,0)</f>
        <v>0</v>
      </c>
      <c r="AN34" s="14">
        <v>21</v>
      </c>
      <c r="AO34" s="14">
        <f>H34*0.232078153</f>
        <v>0</v>
      </c>
      <c r="AP34" s="14">
        <f>H34*(1-0.232078153)</f>
        <v>0</v>
      </c>
      <c r="AQ34" s="16" t="s">
        <v>89</v>
      </c>
      <c r="AV34" s="14">
        <f>ROUND(AW34+AX34,2)</f>
        <v>0</v>
      </c>
      <c r="AW34" s="14">
        <f>ROUND(G34*AO34,2)</f>
        <v>0</v>
      </c>
      <c r="AX34" s="14">
        <f>ROUND(G34*AP34,2)</f>
        <v>0</v>
      </c>
      <c r="AY34" s="16" t="s">
        <v>123</v>
      </c>
      <c r="AZ34" s="16" t="s">
        <v>93</v>
      </c>
      <c r="BA34" s="8" t="s">
        <v>63</v>
      </c>
      <c r="BC34" s="14">
        <f>AW34+AX34</f>
        <v>0</v>
      </c>
      <c r="BD34" s="14">
        <f>H34/(100-BE34)*100</f>
        <v>0</v>
      </c>
      <c r="BE34" s="14">
        <v>0</v>
      </c>
      <c r="BF34" s="14">
        <f>O34</f>
        <v>3.3000000000000002E-2</v>
      </c>
      <c r="BH34" s="14">
        <f>G34*AO34</f>
        <v>0</v>
      </c>
      <c r="BI34" s="14">
        <f>G34*AP34</f>
        <v>0</v>
      </c>
      <c r="BJ34" s="14">
        <f>G34*H34</f>
        <v>0</v>
      </c>
      <c r="BK34" s="14"/>
      <c r="BL34" s="14">
        <v>767</v>
      </c>
      <c r="BW34" s="14">
        <f>I34</f>
        <v>21</v>
      </c>
      <c r="BX34" s="3" t="s">
        <v>126</v>
      </c>
    </row>
    <row r="35" spans="1:76" ht="30.75" customHeight="1" x14ac:dyDescent="0.25">
      <c r="A35" s="41" t="s">
        <v>127</v>
      </c>
      <c r="B35" s="2" t="s">
        <v>53</v>
      </c>
      <c r="C35" s="2" t="s">
        <v>128</v>
      </c>
      <c r="D35" s="84" t="s">
        <v>274</v>
      </c>
      <c r="E35" s="80"/>
      <c r="F35" s="2" t="s">
        <v>59</v>
      </c>
      <c r="G35" s="14">
        <v>186</v>
      </c>
      <c r="H35" s="74">
        <v>0</v>
      </c>
      <c r="I35" s="15">
        <v>21</v>
      </c>
      <c r="J35" s="14">
        <f>ROUND(G35*AO35,2)</f>
        <v>0</v>
      </c>
      <c r="K35" s="14">
        <f>ROUND(G35*AP35,2)</f>
        <v>0</v>
      </c>
      <c r="L35" s="14">
        <f>ROUND(G35*H35,2)</f>
        <v>0</v>
      </c>
      <c r="M35" s="14">
        <f>L35*(1+BW35/100)</f>
        <v>0</v>
      </c>
      <c r="N35" s="14">
        <v>2E-3</v>
      </c>
      <c r="O35" s="14">
        <f>G35*N35</f>
        <v>0.372</v>
      </c>
      <c r="P35" s="55" t="s">
        <v>60</v>
      </c>
      <c r="Z35" s="14">
        <f>ROUND(IF(AQ35="5",BJ35,0),2)</f>
        <v>0</v>
      </c>
      <c r="AB35" s="14">
        <f>ROUND(IF(AQ35="1",BH35,0),2)</f>
        <v>0</v>
      </c>
      <c r="AC35" s="14">
        <f>ROUND(IF(AQ35="1",BI35,0),2)</f>
        <v>0</v>
      </c>
      <c r="AD35" s="14">
        <f>ROUND(IF(AQ35="7",BH35,0),2)</f>
        <v>0</v>
      </c>
      <c r="AE35" s="14">
        <f>ROUND(IF(AQ35="7",BI35,0),2)</f>
        <v>0</v>
      </c>
      <c r="AF35" s="14">
        <f>ROUND(IF(AQ35="2",BH35,0),2)</f>
        <v>0</v>
      </c>
      <c r="AG35" s="14">
        <f>ROUND(IF(AQ35="2",BI35,0),2)</f>
        <v>0</v>
      </c>
      <c r="AH35" s="14">
        <f>ROUND(IF(AQ35="0",BJ35,0),2)</f>
        <v>0</v>
      </c>
      <c r="AI35" s="8" t="s">
        <v>53</v>
      </c>
      <c r="AJ35" s="14">
        <f>IF(AN35=0,L35,0)</f>
        <v>0</v>
      </c>
      <c r="AK35" s="14">
        <f>IF(AN35=12,L35,0)</f>
        <v>0</v>
      </c>
      <c r="AL35" s="14">
        <f>IF(AN35=21,L35,0)</f>
        <v>0</v>
      </c>
      <c r="AN35" s="14">
        <v>21</v>
      </c>
      <c r="AO35" s="14">
        <f>H35*0</f>
        <v>0</v>
      </c>
      <c r="AP35" s="14">
        <f>H35*(1-0)</f>
        <v>0</v>
      </c>
      <c r="AQ35" s="16" t="s">
        <v>89</v>
      </c>
      <c r="AV35" s="14">
        <f>ROUND(AW35+AX35,2)</f>
        <v>0</v>
      </c>
      <c r="AW35" s="14">
        <f>ROUND(G35*AO35,2)</f>
        <v>0</v>
      </c>
      <c r="AX35" s="14">
        <f>ROUND(G35*AP35,2)</f>
        <v>0</v>
      </c>
      <c r="AY35" s="16" t="s">
        <v>123</v>
      </c>
      <c r="AZ35" s="16" t="s">
        <v>93</v>
      </c>
      <c r="BA35" s="8" t="s">
        <v>63</v>
      </c>
      <c r="BC35" s="14">
        <f>AW35+AX35</f>
        <v>0</v>
      </c>
      <c r="BD35" s="14">
        <f>H35/(100-BE35)*100</f>
        <v>0</v>
      </c>
      <c r="BE35" s="14">
        <v>0</v>
      </c>
      <c r="BF35" s="14">
        <f>O35</f>
        <v>0.372</v>
      </c>
      <c r="BH35" s="14">
        <f>G35*AO35</f>
        <v>0</v>
      </c>
      <c r="BI35" s="14">
        <f>G35*AP35</f>
        <v>0</v>
      </c>
      <c r="BJ35" s="14">
        <f>G35*H35</f>
        <v>0</v>
      </c>
      <c r="BK35" s="14"/>
      <c r="BL35" s="14">
        <v>767</v>
      </c>
      <c r="BW35" s="14">
        <f>I35</f>
        <v>21</v>
      </c>
      <c r="BX35" s="3" t="s">
        <v>129</v>
      </c>
    </row>
    <row r="36" spans="1:76" x14ac:dyDescent="0.25">
      <c r="A36" s="49" t="s">
        <v>53</v>
      </c>
      <c r="B36" s="18" t="s">
        <v>53</v>
      </c>
      <c r="C36" s="18" t="s">
        <v>130</v>
      </c>
      <c r="D36" s="108" t="s">
        <v>131</v>
      </c>
      <c r="E36" s="109"/>
      <c r="F36" s="19" t="s">
        <v>4</v>
      </c>
      <c r="G36" s="19" t="s">
        <v>4</v>
      </c>
      <c r="H36" s="19" t="s">
        <v>4</v>
      </c>
      <c r="I36" s="19" t="s">
        <v>4</v>
      </c>
      <c r="J36" s="1">
        <f>SUM(J37:J37)</f>
        <v>0</v>
      </c>
      <c r="K36" s="1">
        <f>SUM(K37:K37)</f>
        <v>0</v>
      </c>
      <c r="L36" s="1">
        <f>SUM(L37:L37)</f>
        <v>0</v>
      </c>
      <c r="M36" s="1">
        <f>SUM(M37:M37)</f>
        <v>0</v>
      </c>
      <c r="N36" s="8" t="s">
        <v>53</v>
      </c>
      <c r="O36" s="1">
        <f>SUM(O37:O37)</f>
        <v>0.27216000000000001</v>
      </c>
      <c r="P36" s="54" t="s">
        <v>53</v>
      </c>
      <c r="AI36" s="8" t="s">
        <v>53</v>
      </c>
      <c r="AS36" s="1">
        <f>SUM(AJ37:AJ37)</f>
        <v>0</v>
      </c>
      <c r="AT36" s="1">
        <f>SUM(AK37:AK37)</f>
        <v>0</v>
      </c>
      <c r="AU36" s="1">
        <f>SUM(AL37:AL37)</f>
        <v>0</v>
      </c>
    </row>
    <row r="37" spans="1:76" x14ac:dyDescent="0.25">
      <c r="A37" s="41" t="s">
        <v>132</v>
      </c>
      <c r="B37" s="2" t="s">
        <v>53</v>
      </c>
      <c r="C37" s="2" t="s">
        <v>133</v>
      </c>
      <c r="D37" s="84" t="s">
        <v>134</v>
      </c>
      <c r="E37" s="80"/>
      <c r="F37" s="2" t="s">
        <v>59</v>
      </c>
      <c r="G37" s="14">
        <v>648</v>
      </c>
      <c r="H37" s="74">
        <v>0</v>
      </c>
      <c r="I37" s="15">
        <v>21</v>
      </c>
      <c r="J37" s="14">
        <f>ROUND(G37*AO37,2)</f>
        <v>0</v>
      </c>
      <c r="K37" s="14">
        <f>ROUND(G37*AP37,2)</f>
        <v>0</v>
      </c>
      <c r="L37" s="14">
        <f>ROUND(G37*H37,2)</f>
        <v>0</v>
      </c>
      <c r="M37" s="14">
        <f>L37*(1+BW37/100)</f>
        <v>0</v>
      </c>
      <c r="N37" s="14">
        <v>4.2000000000000002E-4</v>
      </c>
      <c r="O37" s="14">
        <f>G37*N37</f>
        <v>0.27216000000000001</v>
      </c>
      <c r="P37" s="55" t="s">
        <v>60</v>
      </c>
      <c r="Z37" s="14">
        <f>ROUND(IF(AQ37="5",BJ37,0),2)</f>
        <v>0</v>
      </c>
      <c r="AB37" s="14">
        <f>ROUND(IF(AQ37="1",BH37,0),2)</f>
        <v>0</v>
      </c>
      <c r="AC37" s="14">
        <f>ROUND(IF(AQ37="1",BI37,0),2)</f>
        <v>0</v>
      </c>
      <c r="AD37" s="14">
        <f>ROUND(IF(AQ37="7",BH37,0),2)</f>
        <v>0</v>
      </c>
      <c r="AE37" s="14">
        <f>ROUND(IF(AQ37="7",BI37,0),2)</f>
        <v>0</v>
      </c>
      <c r="AF37" s="14">
        <f>ROUND(IF(AQ37="2",BH37,0),2)</f>
        <v>0</v>
      </c>
      <c r="AG37" s="14">
        <f>ROUND(IF(AQ37="2",BI37,0),2)</f>
        <v>0</v>
      </c>
      <c r="AH37" s="14">
        <f>ROUND(IF(AQ37="0",BJ37,0),2)</f>
        <v>0</v>
      </c>
      <c r="AI37" s="8" t="s">
        <v>53</v>
      </c>
      <c r="AJ37" s="14">
        <f>IF(AN37=0,L37,0)</f>
        <v>0</v>
      </c>
      <c r="AK37" s="14">
        <f>IF(AN37=12,L37,0)</f>
        <v>0</v>
      </c>
      <c r="AL37" s="14">
        <f>IF(AN37=21,L37,0)</f>
        <v>0</v>
      </c>
      <c r="AN37" s="14">
        <v>21</v>
      </c>
      <c r="AO37" s="14">
        <f>H37*0.308777429</f>
        <v>0</v>
      </c>
      <c r="AP37" s="14">
        <f>H37*(1-0.308777429)</f>
        <v>0</v>
      </c>
      <c r="AQ37" s="16" t="s">
        <v>89</v>
      </c>
      <c r="AV37" s="14">
        <f>ROUND(AW37+AX37,2)</f>
        <v>0</v>
      </c>
      <c r="AW37" s="14">
        <f>ROUND(G37*AO37,2)</f>
        <v>0</v>
      </c>
      <c r="AX37" s="14">
        <f>ROUND(G37*AP37,2)</f>
        <v>0</v>
      </c>
      <c r="AY37" s="16" t="s">
        <v>135</v>
      </c>
      <c r="AZ37" s="16" t="s">
        <v>136</v>
      </c>
      <c r="BA37" s="8" t="s">
        <v>63</v>
      </c>
      <c r="BC37" s="14">
        <f>AW37+AX37</f>
        <v>0</v>
      </c>
      <c r="BD37" s="14">
        <f>H37/(100-BE37)*100</f>
        <v>0</v>
      </c>
      <c r="BE37" s="14">
        <v>0</v>
      </c>
      <c r="BF37" s="14">
        <f>O37</f>
        <v>0.27216000000000001</v>
      </c>
      <c r="BH37" s="14">
        <f>G37*AO37</f>
        <v>0</v>
      </c>
      <c r="BI37" s="14">
        <f>G37*AP37</f>
        <v>0</v>
      </c>
      <c r="BJ37" s="14">
        <f>G37*H37</f>
        <v>0</v>
      </c>
      <c r="BK37" s="14"/>
      <c r="BL37" s="14">
        <v>783</v>
      </c>
      <c r="BW37" s="14">
        <f>I37</f>
        <v>21</v>
      </c>
      <c r="BX37" s="3" t="s">
        <v>134</v>
      </c>
    </row>
    <row r="38" spans="1:76" x14ac:dyDescent="0.25">
      <c r="A38" s="49" t="s">
        <v>53</v>
      </c>
      <c r="B38" s="18" t="s">
        <v>53</v>
      </c>
      <c r="C38" s="18" t="s">
        <v>137</v>
      </c>
      <c r="D38" s="108" t="s">
        <v>138</v>
      </c>
      <c r="E38" s="109"/>
      <c r="F38" s="19" t="s">
        <v>4</v>
      </c>
      <c r="G38" s="19" t="s">
        <v>4</v>
      </c>
      <c r="H38" s="19" t="s">
        <v>4</v>
      </c>
      <c r="I38" s="19" t="s">
        <v>4</v>
      </c>
      <c r="J38" s="1">
        <f>SUM(J39:J47)</f>
        <v>0</v>
      </c>
      <c r="K38" s="1">
        <f>SUM(K39:K47)</f>
        <v>0</v>
      </c>
      <c r="L38" s="1">
        <f>SUM(L39:L47)</f>
        <v>0</v>
      </c>
      <c r="M38" s="1">
        <f>SUM(M39:M47)</f>
        <v>0</v>
      </c>
      <c r="N38" s="8" t="s">
        <v>53</v>
      </c>
      <c r="O38" s="1">
        <f>SUM(O39:O47)</f>
        <v>0</v>
      </c>
      <c r="P38" s="54" t="s">
        <v>53</v>
      </c>
      <c r="AI38" s="8" t="s">
        <v>53</v>
      </c>
      <c r="AS38" s="1">
        <f>SUM(AJ39:AJ47)</f>
        <v>0</v>
      </c>
      <c r="AT38" s="1">
        <f>SUM(AK39:AK47)</f>
        <v>0</v>
      </c>
      <c r="AU38" s="1">
        <f>SUM(AL39:AL47)</f>
        <v>0</v>
      </c>
    </row>
    <row r="39" spans="1:76" x14ac:dyDescent="0.25">
      <c r="A39" s="41" t="s">
        <v>139</v>
      </c>
      <c r="B39" s="2" t="s">
        <v>53</v>
      </c>
      <c r="C39" s="2" t="s">
        <v>140</v>
      </c>
      <c r="D39" s="84" t="s">
        <v>141</v>
      </c>
      <c r="E39" s="80"/>
      <c r="F39" s="2" t="s">
        <v>142</v>
      </c>
      <c r="G39" s="14">
        <v>1</v>
      </c>
      <c r="H39" s="74">
        <v>0</v>
      </c>
      <c r="I39" s="15">
        <v>21</v>
      </c>
      <c r="J39" s="14">
        <f>ROUND(G39*AO39,2)</f>
        <v>0</v>
      </c>
      <c r="K39" s="14">
        <f>ROUND(G39*AP39,2)</f>
        <v>0</v>
      </c>
      <c r="L39" s="14">
        <f>ROUND(G39*H39,2)</f>
        <v>0</v>
      </c>
      <c r="M39" s="14">
        <f>L39*(1+BW39/100)</f>
        <v>0</v>
      </c>
      <c r="N39" s="14">
        <v>0</v>
      </c>
      <c r="O39" s="14">
        <f>G39*N39</f>
        <v>0</v>
      </c>
      <c r="P39" s="55" t="s">
        <v>60</v>
      </c>
      <c r="Z39" s="14">
        <f>ROUND(IF(AQ39="5",BJ39,0),2)</f>
        <v>0</v>
      </c>
      <c r="AB39" s="14">
        <f>ROUND(IF(AQ39="1",BH39,0),2)</f>
        <v>0</v>
      </c>
      <c r="AC39" s="14">
        <f>ROUND(IF(AQ39="1",BI39,0),2)</f>
        <v>0</v>
      </c>
      <c r="AD39" s="14">
        <f>ROUND(IF(AQ39="7",BH39,0),2)</f>
        <v>0</v>
      </c>
      <c r="AE39" s="14">
        <f>ROUND(IF(AQ39="7",BI39,0),2)</f>
        <v>0</v>
      </c>
      <c r="AF39" s="14">
        <f>ROUND(IF(AQ39="2",BH39,0),2)</f>
        <v>0</v>
      </c>
      <c r="AG39" s="14">
        <f>ROUND(IF(AQ39="2",BI39,0),2)</f>
        <v>0</v>
      </c>
      <c r="AH39" s="14">
        <f>ROUND(IF(AQ39="0",BJ39,0),2)</f>
        <v>0</v>
      </c>
      <c r="AI39" s="8" t="s">
        <v>53</v>
      </c>
      <c r="AJ39" s="14">
        <f>IF(AN39=0,L39,0)</f>
        <v>0</v>
      </c>
      <c r="AK39" s="14">
        <f>IF(AN39=12,L39,0)</f>
        <v>0</v>
      </c>
      <c r="AL39" s="14">
        <f>IF(AN39=21,L39,0)</f>
        <v>0</v>
      </c>
      <c r="AN39" s="14">
        <v>21</v>
      </c>
      <c r="AO39" s="14">
        <f>H39*0</f>
        <v>0</v>
      </c>
      <c r="AP39" s="14">
        <f>H39*(1-0)</f>
        <v>0</v>
      </c>
      <c r="AQ39" s="16" t="s">
        <v>56</v>
      </c>
      <c r="AV39" s="14">
        <f>ROUND(AW39+AX39,2)</f>
        <v>0</v>
      </c>
      <c r="AW39" s="14">
        <f>ROUND(G39*AO39,2)</f>
        <v>0</v>
      </c>
      <c r="AX39" s="14">
        <f>ROUND(G39*AP39,2)</f>
        <v>0</v>
      </c>
      <c r="AY39" s="16" t="s">
        <v>143</v>
      </c>
      <c r="AZ39" s="16" t="s">
        <v>144</v>
      </c>
      <c r="BA39" s="8" t="s">
        <v>63</v>
      </c>
      <c r="BC39" s="14">
        <f>AW39+AX39</f>
        <v>0</v>
      </c>
      <c r="BD39" s="14">
        <f>H39/(100-BE39)*100</f>
        <v>0</v>
      </c>
      <c r="BE39" s="14">
        <v>0</v>
      </c>
      <c r="BF39" s="14">
        <f>O39</f>
        <v>0</v>
      </c>
      <c r="BH39" s="14">
        <f>G39*AO39</f>
        <v>0</v>
      </c>
      <c r="BI39" s="14">
        <f>G39*AP39</f>
        <v>0</v>
      </c>
      <c r="BJ39" s="14">
        <f>G39*H39</f>
        <v>0</v>
      </c>
      <c r="BK39" s="14"/>
      <c r="BL39" s="14">
        <v>94</v>
      </c>
      <c r="BW39" s="14">
        <f>I39</f>
        <v>21</v>
      </c>
      <c r="BX39" s="3" t="s">
        <v>141</v>
      </c>
    </row>
    <row r="40" spans="1:76" x14ac:dyDescent="0.25">
      <c r="A40" s="41" t="s">
        <v>145</v>
      </c>
      <c r="B40" s="2" t="s">
        <v>53</v>
      </c>
      <c r="C40" s="2" t="s">
        <v>146</v>
      </c>
      <c r="D40" s="84" t="s">
        <v>147</v>
      </c>
      <c r="E40" s="80"/>
      <c r="F40" s="2" t="s">
        <v>148</v>
      </c>
      <c r="G40" s="14">
        <v>1</v>
      </c>
      <c r="H40" s="74">
        <v>0</v>
      </c>
      <c r="I40" s="15">
        <v>21</v>
      </c>
      <c r="J40" s="14">
        <f>ROUND(G40*AO40,2)</f>
        <v>0</v>
      </c>
      <c r="K40" s="14">
        <f>ROUND(G40*AP40,2)</f>
        <v>0</v>
      </c>
      <c r="L40" s="14">
        <f>ROUND(G40*H40,2)</f>
        <v>0</v>
      </c>
      <c r="M40" s="14">
        <f>L40*(1+BW40/100)</f>
        <v>0</v>
      </c>
      <c r="N40" s="14">
        <v>0</v>
      </c>
      <c r="O40" s="14">
        <f>G40*N40</f>
        <v>0</v>
      </c>
      <c r="P40" s="55" t="s">
        <v>60</v>
      </c>
      <c r="Z40" s="14">
        <f>ROUND(IF(AQ40="5",BJ40,0),2)</f>
        <v>0</v>
      </c>
      <c r="AB40" s="14">
        <f>ROUND(IF(AQ40="1",BH40,0),2)</f>
        <v>0</v>
      </c>
      <c r="AC40" s="14">
        <f>ROUND(IF(AQ40="1",BI40,0),2)</f>
        <v>0</v>
      </c>
      <c r="AD40" s="14">
        <f>ROUND(IF(AQ40="7",BH40,0),2)</f>
        <v>0</v>
      </c>
      <c r="AE40" s="14">
        <f>ROUND(IF(AQ40="7",BI40,0),2)</f>
        <v>0</v>
      </c>
      <c r="AF40" s="14">
        <f>ROUND(IF(AQ40="2",BH40,0),2)</f>
        <v>0</v>
      </c>
      <c r="AG40" s="14">
        <f>ROUND(IF(AQ40="2",BI40,0),2)</f>
        <v>0</v>
      </c>
      <c r="AH40" s="14">
        <f>ROUND(IF(AQ40="0",BJ40,0),2)</f>
        <v>0</v>
      </c>
      <c r="AI40" s="8" t="s">
        <v>53</v>
      </c>
      <c r="AJ40" s="14">
        <f>IF(AN40=0,L40,0)</f>
        <v>0</v>
      </c>
      <c r="AK40" s="14">
        <f>IF(AN40=12,L40,0)</f>
        <v>0</v>
      </c>
      <c r="AL40" s="14">
        <f>IF(AN40=21,L40,0)</f>
        <v>0</v>
      </c>
      <c r="AN40" s="14">
        <v>21</v>
      </c>
      <c r="AO40" s="14">
        <f>H40*0</f>
        <v>0</v>
      </c>
      <c r="AP40" s="14">
        <f>H40*(1-0)</f>
        <v>0</v>
      </c>
      <c r="AQ40" s="16" t="s">
        <v>56</v>
      </c>
      <c r="AV40" s="14">
        <f>ROUND(AW40+AX40,2)</f>
        <v>0</v>
      </c>
      <c r="AW40" s="14">
        <f>ROUND(G40*AO40,2)</f>
        <v>0</v>
      </c>
      <c r="AX40" s="14">
        <f>ROUND(G40*AP40,2)</f>
        <v>0</v>
      </c>
      <c r="AY40" s="16" t="s">
        <v>143</v>
      </c>
      <c r="AZ40" s="16" t="s">
        <v>144</v>
      </c>
      <c r="BA40" s="8" t="s">
        <v>63</v>
      </c>
      <c r="BC40" s="14">
        <f>AW40+AX40</f>
        <v>0</v>
      </c>
      <c r="BD40" s="14">
        <f>H40/(100-BE40)*100</f>
        <v>0</v>
      </c>
      <c r="BE40" s="14">
        <v>0</v>
      </c>
      <c r="BF40" s="14">
        <f>O40</f>
        <v>0</v>
      </c>
      <c r="BH40" s="14">
        <f>G40*AO40</f>
        <v>0</v>
      </c>
      <c r="BI40" s="14">
        <f>G40*AP40</f>
        <v>0</v>
      </c>
      <c r="BJ40" s="14">
        <f>G40*H40</f>
        <v>0</v>
      </c>
      <c r="BK40" s="14"/>
      <c r="BL40" s="14">
        <v>94</v>
      </c>
      <c r="BW40" s="14">
        <f>I40</f>
        <v>21</v>
      </c>
      <c r="BX40" s="3" t="s">
        <v>147</v>
      </c>
    </row>
    <row r="41" spans="1:76" ht="13.5" customHeight="1" x14ac:dyDescent="0.25">
      <c r="A41" s="56"/>
      <c r="C41" s="17" t="s">
        <v>64</v>
      </c>
      <c r="D41" s="105" t="s">
        <v>149</v>
      </c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7"/>
    </row>
    <row r="42" spans="1:76" x14ac:dyDescent="0.25">
      <c r="A42" s="41" t="s">
        <v>150</v>
      </c>
      <c r="B42" s="2" t="s">
        <v>53</v>
      </c>
      <c r="C42" s="2" t="s">
        <v>151</v>
      </c>
      <c r="D42" s="84" t="s">
        <v>152</v>
      </c>
      <c r="E42" s="80"/>
      <c r="F42" s="2" t="s">
        <v>148</v>
      </c>
      <c r="G42" s="14">
        <v>1</v>
      </c>
      <c r="H42" s="74">
        <v>0</v>
      </c>
      <c r="I42" s="15">
        <v>21</v>
      </c>
      <c r="J42" s="14">
        <f>ROUND(G42*AO42,2)</f>
        <v>0</v>
      </c>
      <c r="K42" s="14">
        <f>ROUND(G42*AP42,2)</f>
        <v>0</v>
      </c>
      <c r="L42" s="14">
        <f>ROUND(G42*H42,2)</f>
        <v>0</v>
      </c>
      <c r="M42" s="14">
        <f>L42*(1+BW42/100)</f>
        <v>0</v>
      </c>
      <c r="N42" s="14">
        <v>0</v>
      </c>
      <c r="O42" s="14">
        <f>G42*N42</f>
        <v>0</v>
      </c>
      <c r="P42" s="55" t="s">
        <v>60</v>
      </c>
      <c r="Z42" s="14">
        <f>ROUND(IF(AQ42="5",BJ42,0),2)</f>
        <v>0</v>
      </c>
      <c r="AB42" s="14">
        <f>ROUND(IF(AQ42="1",BH42,0),2)</f>
        <v>0</v>
      </c>
      <c r="AC42" s="14">
        <f>ROUND(IF(AQ42="1",BI42,0),2)</f>
        <v>0</v>
      </c>
      <c r="AD42" s="14">
        <f>ROUND(IF(AQ42="7",BH42,0),2)</f>
        <v>0</v>
      </c>
      <c r="AE42" s="14">
        <f>ROUND(IF(AQ42="7",BI42,0),2)</f>
        <v>0</v>
      </c>
      <c r="AF42" s="14">
        <f>ROUND(IF(AQ42="2",BH42,0),2)</f>
        <v>0</v>
      </c>
      <c r="AG42" s="14">
        <f>ROUND(IF(AQ42="2",BI42,0),2)</f>
        <v>0</v>
      </c>
      <c r="AH42" s="14">
        <f>ROUND(IF(AQ42="0",BJ42,0),2)</f>
        <v>0</v>
      </c>
      <c r="AI42" s="8" t="s">
        <v>53</v>
      </c>
      <c r="AJ42" s="14">
        <f>IF(AN42=0,L42,0)</f>
        <v>0</v>
      </c>
      <c r="AK42" s="14">
        <f>IF(AN42=12,L42,0)</f>
        <v>0</v>
      </c>
      <c r="AL42" s="14">
        <f>IF(AN42=21,L42,0)</f>
        <v>0</v>
      </c>
      <c r="AN42" s="14">
        <v>21</v>
      </c>
      <c r="AO42" s="14">
        <f>H42*0</f>
        <v>0</v>
      </c>
      <c r="AP42" s="14">
        <f>H42*(1-0)</f>
        <v>0</v>
      </c>
      <c r="AQ42" s="16" t="s">
        <v>56</v>
      </c>
      <c r="AV42" s="14">
        <f>ROUND(AW42+AX42,2)</f>
        <v>0</v>
      </c>
      <c r="AW42" s="14">
        <f>ROUND(G42*AO42,2)</f>
        <v>0</v>
      </c>
      <c r="AX42" s="14">
        <f>ROUND(G42*AP42,2)</f>
        <v>0</v>
      </c>
      <c r="AY42" s="16" t="s">
        <v>143</v>
      </c>
      <c r="AZ42" s="16" t="s">
        <v>144</v>
      </c>
      <c r="BA42" s="8" t="s">
        <v>63</v>
      </c>
      <c r="BC42" s="14">
        <f>AW42+AX42</f>
        <v>0</v>
      </c>
      <c r="BD42" s="14">
        <f>H42/(100-BE42)*100</f>
        <v>0</v>
      </c>
      <c r="BE42" s="14">
        <v>0</v>
      </c>
      <c r="BF42" s="14">
        <f>O42</f>
        <v>0</v>
      </c>
      <c r="BH42" s="14">
        <f>G42*AO42</f>
        <v>0</v>
      </c>
      <c r="BI42" s="14">
        <f>G42*AP42</f>
        <v>0</v>
      </c>
      <c r="BJ42" s="14">
        <f>G42*H42</f>
        <v>0</v>
      </c>
      <c r="BK42" s="14"/>
      <c r="BL42" s="14">
        <v>94</v>
      </c>
      <c r="BW42" s="14">
        <f>I42</f>
        <v>21</v>
      </c>
      <c r="BX42" s="3" t="s">
        <v>152</v>
      </c>
    </row>
    <row r="43" spans="1:76" ht="13.5" customHeight="1" x14ac:dyDescent="0.25">
      <c r="A43" s="56"/>
      <c r="C43" s="17" t="s">
        <v>64</v>
      </c>
      <c r="D43" s="105" t="s">
        <v>153</v>
      </c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7"/>
    </row>
    <row r="44" spans="1:76" x14ac:dyDescent="0.25">
      <c r="A44" s="41" t="s">
        <v>154</v>
      </c>
      <c r="B44" s="2" t="s">
        <v>53</v>
      </c>
      <c r="C44" s="2" t="s">
        <v>155</v>
      </c>
      <c r="D44" s="84" t="s">
        <v>156</v>
      </c>
      <c r="E44" s="80"/>
      <c r="F44" s="2" t="s">
        <v>157</v>
      </c>
      <c r="G44" s="14">
        <v>45</v>
      </c>
      <c r="H44" s="74">
        <v>0</v>
      </c>
      <c r="I44" s="15">
        <v>21</v>
      </c>
      <c r="J44" s="14">
        <f>ROUND(G44*AO44,2)</f>
        <v>0</v>
      </c>
      <c r="K44" s="14">
        <f>ROUND(G44*AP44,2)</f>
        <v>0</v>
      </c>
      <c r="L44" s="14">
        <f>ROUND(G44*H44,2)</f>
        <v>0</v>
      </c>
      <c r="M44" s="14">
        <f>L44*(1+BW44/100)</f>
        <v>0</v>
      </c>
      <c r="N44" s="14">
        <v>0</v>
      </c>
      <c r="O44" s="14">
        <f>G44*N44</f>
        <v>0</v>
      </c>
      <c r="P44" s="55" t="s">
        <v>60</v>
      </c>
      <c r="Z44" s="14">
        <f>ROUND(IF(AQ44="5",BJ44,0),2)</f>
        <v>0</v>
      </c>
      <c r="AB44" s="14">
        <f>ROUND(IF(AQ44="1",BH44,0),2)</f>
        <v>0</v>
      </c>
      <c r="AC44" s="14">
        <f>ROUND(IF(AQ44="1",BI44,0),2)</f>
        <v>0</v>
      </c>
      <c r="AD44" s="14">
        <f>ROUND(IF(AQ44="7",BH44,0),2)</f>
        <v>0</v>
      </c>
      <c r="AE44" s="14">
        <f>ROUND(IF(AQ44="7",BI44,0),2)</f>
        <v>0</v>
      </c>
      <c r="AF44" s="14">
        <f>ROUND(IF(AQ44="2",BH44,0),2)</f>
        <v>0</v>
      </c>
      <c r="AG44" s="14">
        <f>ROUND(IF(AQ44="2",BI44,0),2)</f>
        <v>0</v>
      </c>
      <c r="AH44" s="14">
        <f>ROUND(IF(AQ44="0",BJ44,0),2)</f>
        <v>0</v>
      </c>
      <c r="AI44" s="8" t="s">
        <v>53</v>
      </c>
      <c r="AJ44" s="14">
        <f>IF(AN44=0,L44,0)</f>
        <v>0</v>
      </c>
      <c r="AK44" s="14">
        <f>IF(AN44=12,L44,0)</f>
        <v>0</v>
      </c>
      <c r="AL44" s="14">
        <f>IF(AN44=21,L44,0)</f>
        <v>0</v>
      </c>
      <c r="AN44" s="14">
        <v>21</v>
      </c>
      <c r="AO44" s="14">
        <f>H44*0</f>
        <v>0</v>
      </c>
      <c r="AP44" s="14">
        <f>H44*(1-0)</f>
        <v>0</v>
      </c>
      <c r="AQ44" s="16" t="s">
        <v>56</v>
      </c>
      <c r="AV44" s="14">
        <f>ROUND(AW44+AX44,2)</f>
        <v>0</v>
      </c>
      <c r="AW44" s="14">
        <f>ROUND(G44*AO44,2)</f>
        <v>0</v>
      </c>
      <c r="AX44" s="14">
        <f>ROUND(G44*AP44,2)</f>
        <v>0</v>
      </c>
      <c r="AY44" s="16" t="s">
        <v>143</v>
      </c>
      <c r="AZ44" s="16" t="s">
        <v>144</v>
      </c>
      <c r="BA44" s="8" t="s">
        <v>63</v>
      </c>
      <c r="BC44" s="14">
        <f>AW44+AX44</f>
        <v>0</v>
      </c>
      <c r="BD44" s="14">
        <f>H44/(100-BE44)*100</f>
        <v>0</v>
      </c>
      <c r="BE44" s="14">
        <v>0</v>
      </c>
      <c r="BF44" s="14">
        <f>O44</f>
        <v>0</v>
      </c>
      <c r="BH44" s="14">
        <f>G44*AO44</f>
        <v>0</v>
      </c>
      <c r="BI44" s="14">
        <f>G44*AP44</f>
        <v>0</v>
      </c>
      <c r="BJ44" s="14">
        <f>G44*H44</f>
        <v>0</v>
      </c>
      <c r="BK44" s="14"/>
      <c r="BL44" s="14">
        <v>94</v>
      </c>
      <c r="BW44" s="14">
        <f>I44</f>
        <v>21</v>
      </c>
      <c r="BX44" s="3" t="s">
        <v>156</v>
      </c>
    </row>
    <row r="45" spans="1:76" ht="13.5" customHeight="1" x14ac:dyDescent="0.25">
      <c r="A45" s="56"/>
      <c r="C45" s="17" t="s">
        <v>64</v>
      </c>
      <c r="D45" s="105" t="s">
        <v>149</v>
      </c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7"/>
    </row>
    <row r="46" spans="1:76" x14ac:dyDescent="0.25">
      <c r="A46" s="41" t="s">
        <v>158</v>
      </c>
      <c r="B46" s="2" t="s">
        <v>53</v>
      </c>
      <c r="C46" s="2" t="s">
        <v>159</v>
      </c>
      <c r="D46" s="84" t="s">
        <v>160</v>
      </c>
      <c r="E46" s="80"/>
      <c r="F46" s="2" t="s">
        <v>157</v>
      </c>
      <c r="G46" s="14">
        <v>45</v>
      </c>
      <c r="H46" s="74">
        <v>0</v>
      </c>
      <c r="I46" s="15">
        <v>21</v>
      </c>
      <c r="J46" s="14">
        <f>ROUND(G46*AO46,2)</f>
        <v>0</v>
      </c>
      <c r="K46" s="14">
        <f>ROUND(G46*AP46,2)</f>
        <v>0</v>
      </c>
      <c r="L46" s="14">
        <f>ROUND(G46*H46,2)</f>
        <v>0</v>
      </c>
      <c r="M46" s="14">
        <f>L46*(1+BW46/100)</f>
        <v>0</v>
      </c>
      <c r="N46" s="14">
        <v>0</v>
      </c>
      <c r="O46" s="14">
        <f>G46*N46</f>
        <v>0</v>
      </c>
      <c r="P46" s="55" t="s">
        <v>60</v>
      </c>
      <c r="Z46" s="14">
        <f>ROUND(IF(AQ46="5",BJ46,0),2)</f>
        <v>0</v>
      </c>
      <c r="AB46" s="14">
        <f>ROUND(IF(AQ46="1",BH46,0),2)</f>
        <v>0</v>
      </c>
      <c r="AC46" s="14">
        <f>ROUND(IF(AQ46="1",BI46,0),2)</f>
        <v>0</v>
      </c>
      <c r="AD46" s="14">
        <f>ROUND(IF(AQ46="7",BH46,0),2)</f>
        <v>0</v>
      </c>
      <c r="AE46" s="14">
        <f>ROUND(IF(AQ46="7",BI46,0),2)</f>
        <v>0</v>
      </c>
      <c r="AF46" s="14">
        <f>ROUND(IF(AQ46="2",BH46,0),2)</f>
        <v>0</v>
      </c>
      <c r="AG46" s="14">
        <f>ROUND(IF(AQ46="2",BI46,0),2)</f>
        <v>0</v>
      </c>
      <c r="AH46" s="14">
        <f>ROUND(IF(AQ46="0",BJ46,0),2)</f>
        <v>0</v>
      </c>
      <c r="AI46" s="8" t="s">
        <v>53</v>
      </c>
      <c r="AJ46" s="14">
        <f>IF(AN46=0,L46,0)</f>
        <v>0</v>
      </c>
      <c r="AK46" s="14">
        <f>IF(AN46=12,L46,0)</f>
        <v>0</v>
      </c>
      <c r="AL46" s="14">
        <f>IF(AN46=21,L46,0)</f>
        <v>0</v>
      </c>
      <c r="AN46" s="14">
        <v>21</v>
      </c>
      <c r="AO46" s="14">
        <f>H46*0</f>
        <v>0</v>
      </c>
      <c r="AP46" s="14">
        <f>H46*(1-0)</f>
        <v>0</v>
      </c>
      <c r="AQ46" s="16" t="s">
        <v>56</v>
      </c>
      <c r="AV46" s="14">
        <f>ROUND(AW46+AX46,2)</f>
        <v>0</v>
      </c>
      <c r="AW46" s="14">
        <f>ROUND(G46*AO46,2)</f>
        <v>0</v>
      </c>
      <c r="AX46" s="14">
        <f>ROUND(G46*AP46,2)</f>
        <v>0</v>
      </c>
      <c r="AY46" s="16" t="s">
        <v>143</v>
      </c>
      <c r="AZ46" s="16" t="s">
        <v>144</v>
      </c>
      <c r="BA46" s="8" t="s">
        <v>63</v>
      </c>
      <c r="BC46" s="14">
        <f>AW46+AX46</f>
        <v>0</v>
      </c>
      <c r="BD46" s="14">
        <f>H46/(100-BE46)*100</f>
        <v>0</v>
      </c>
      <c r="BE46" s="14">
        <v>0</v>
      </c>
      <c r="BF46" s="14">
        <f>O46</f>
        <v>0</v>
      </c>
      <c r="BH46" s="14">
        <f>G46*AO46</f>
        <v>0</v>
      </c>
      <c r="BI46" s="14">
        <f>G46*AP46</f>
        <v>0</v>
      </c>
      <c r="BJ46" s="14">
        <f>G46*H46</f>
        <v>0</v>
      </c>
      <c r="BK46" s="14"/>
      <c r="BL46" s="14">
        <v>94</v>
      </c>
      <c r="BW46" s="14">
        <f>I46</f>
        <v>21</v>
      </c>
      <c r="BX46" s="3" t="s">
        <v>160</v>
      </c>
    </row>
    <row r="47" spans="1:76" x14ac:dyDescent="0.25">
      <c r="A47" s="41" t="s">
        <v>161</v>
      </c>
      <c r="B47" s="2" t="s">
        <v>53</v>
      </c>
      <c r="C47" s="2" t="s">
        <v>162</v>
      </c>
      <c r="D47" s="84" t="s">
        <v>163</v>
      </c>
      <c r="E47" s="80"/>
      <c r="F47" s="2" t="s">
        <v>164</v>
      </c>
      <c r="G47" s="14">
        <v>80</v>
      </c>
      <c r="H47" s="74">
        <v>0</v>
      </c>
      <c r="I47" s="15">
        <v>21</v>
      </c>
      <c r="J47" s="14">
        <f>ROUND(G47*AO47,2)</f>
        <v>0</v>
      </c>
      <c r="K47" s="14">
        <f>ROUND(G47*AP47,2)</f>
        <v>0</v>
      </c>
      <c r="L47" s="14">
        <f>ROUND(G47*H47,2)</f>
        <v>0</v>
      </c>
      <c r="M47" s="14">
        <f>L47*(1+BW47/100)</f>
        <v>0</v>
      </c>
      <c r="N47" s="14">
        <v>0</v>
      </c>
      <c r="O47" s="14">
        <f>G47*N47</f>
        <v>0</v>
      </c>
      <c r="P47" s="55" t="s">
        <v>60</v>
      </c>
      <c r="Z47" s="14">
        <f>ROUND(IF(AQ47="5",BJ47,0),2)</f>
        <v>0</v>
      </c>
      <c r="AB47" s="14">
        <f>ROUND(IF(AQ47="1",BH47,0),2)</f>
        <v>0</v>
      </c>
      <c r="AC47" s="14">
        <f>ROUND(IF(AQ47="1",BI47,0),2)</f>
        <v>0</v>
      </c>
      <c r="AD47" s="14">
        <f>ROUND(IF(AQ47="7",BH47,0),2)</f>
        <v>0</v>
      </c>
      <c r="AE47" s="14">
        <f>ROUND(IF(AQ47="7",BI47,0),2)</f>
        <v>0</v>
      </c>
      <c r="AF47" s="14">
        <f>ROUND(IF(AQ47="2",BH47,0),2)</f>
        <v>0</v>
      </c>
      <c r="AG47" s="14">
        <f>ROUND(IF(AQ47="2",BI47,0),2)</f>
        <v>0</v>
      </c>
      <c r="AH47" s="14">
        <f>ROUND(IF(AQ47="0",BJ47,0),2)</f>
        <v>0</v>
      </c>
      <c r="AI47" s="8" t="s">
        <v>53</v>
      </c>
      <c r="AJ47" s="14">
        <f>IF(AN47=0,L47,0)</f>
        <v>0</v>
      </c>
      <c r="AK47" s="14">
        <f>IF(AN47=12,L47,0)</f>
        <v>0</v>
      </c>
      <c r="AL47" s="14">
        <f>IF(AN47=21,L47,0)</f>
        <v>0</v>
      </c>
      <c r="AN47" s="14">
        <v>21</v>
      </c>
      <c r="AO47" s="14">
        <f>H47*0</f>
        <v>0</v>
      </c>
      <c r="AP47" s="14">
        <f>H47*(1-0)</f>
        <v>0</v>
      </c>
      <c r="AQ47" s="16" t="s">
        <v>56</v>
      </c>
      <c r="AV47" s="14">
        <f>ROUND(AW47+AX47,2)</f>
        <v>0</v>
      </c>
      <c r="AW47" s="14">
        <f>ROUND(G47*AO47,2)</f>
        <v>0</v>
      </c>
      <c r="AX47" s="14">
        <f>ROUND(G47*AP47,2)</f>
        <v>0</v>
      </c>
      <c r="AY47" s="16" t="s">
        <v>143</v>
      </c>
      <c r="AZ47" s="16" t="s">
        <v>144</v>
      </c>
      <c r="BA47" s="8" t="s">
        <v>63</v>
      </c>
      <c r="BC47" s="14">
        <f>AW47+AX47</f>
        <v>0</v>
      </c>
      <c r="BD47" s="14">
        <f>H47/(100-BE47)*100</f>
        <v>0</v>
      </c>
      <c r="BE47" s="14">
        <v>0</v>
      </c>
      <c r="BF47" s="14">
        <f>O47</f>
        <v>0</v>
      </c>
      <c r="BH47" s="14">
        <f>G47*AO47</f>
        <v>0</v>
      </c>
      <c r="BI47" s="14">
        <f>G47*AP47</f>
        <v>0</v>
      </c>
      <c r="BJ47" s="14">
        <f>G47*H47</f>
        <v>0</v>
      </c>
      <c r="BK47" s="14"/>
      <c r="BL47" s="14">
        <v>94</v>
      </c>
      <c r="BW47" s="14">
        <f>I47</f>
        <v>21</v>
      </c>
      <c r="BX47" s="3" t="s">
        <v>163</v>
      </c>
    </row>
    <row r="48" spans="1:76" x14ac:dyDescent="0.25">
      <c r="A48" s="49" t="s">
        <v>53</v>
      </c>
      <c r="B48" s="18" t="s">
        <v>53</v>
      </c>
      <c r="C48" s="18" t="s">
        <v>165</v>
      </c>
      <c r="D48" s="108" t="s">
        <v>166</v>
      </c>
      <c r="E48" s="109"/>
      <c r="F48" s="19" t="s">
        <v>4</v>
      </c>
      <c r="G48" s="19" t="s">
        <v>4</v>
      </c>
      <c r="H48" s="19" t="s">
        <v>4</v>
      </c>
      <c r="I48" s="19" t="s">
        <v>4</v>
      </c>
      <c r="J48" s="1">
        <f>SUM(J49:J49)</f>
        <v>0</v>
      </c>
      <c r="K48" s="1">
        <f>SUM(K49:K49)</f>
        <v>0</v>
      </c>
      <c r="L48" s="1">
        <f>SUM(L49:L49)</f>
        <v>0</v>
      </c>
      <c r="M48" s="1">
        <f>SUM(M49:M49)</f>
        <v>0</v>
      </c>
      <c r="N48" s="8" t="s">
        <v>53</v>
      </c>
      <c r="O48" s="1">
        <f>SUM(O49:O49)</f>
        <v>0</v>
      </c>
      <c r="P48" s="54" t="s">
        <v>53</v>
      </c>
      <c r="AI48" s="8" t="s">
        <v>53</v>
      </c>
      <c r="AS48" s="1">
        <f>SUM(AJ49:AJ49)</f>
        <v>0</v>
      </c>
      <c r="AT48" s="1">
        <f>SUM(AK49:AK49)</f>
        <v>0</v>
      </c>
      <c r="AU48" s="1">
        <f>SUM(AL49:AL49)</f>
        <v>0</v>
      </c>
    </row>
    <row r="49" spans="1:76" x14ac:dyDescent="0.25">
      <c r="A49" s="41" t="s">
        <v>167</v>
      </c>
      <c r="B49" s="2" t="s">
        <v>53</v>
      </c>
      <c r="C49" s="2" t="s">
        <v>168</v>
      </c>
      <c r="D49" s="84" t="s">
        <v>169</v>
      </c>
      <c r="E49" s="80"/>
      <c r="F49" s="2" t="s">
        <v>72</v>
      </c>
      <c r="G49" s="14">
        <v>48.5</v>
      </c>
      <c r="H49" s="74">
        <v>0</v>
      </c>
      <c r="I49" s="15">
        <v>21</v>
      </c>
      <c r="J49" s="14">
        <f>ROUND(G49*AO49,2)</f>
        <v>0</v>
      </c>
      <c r="K49" s="14">
        <f>ROUND(G49*AP49,2)</f>
        <v>0</v>
      </c>
      <c r="L49" s="14">
        <f>ROUND(G49*H49,2)</f>
        <v>0</v>
      </c>
      <c r="M49" s="14">
        <f>L49*(1+BW49/100)</f>
        <v>0</v>
      </c>
      <c r="N49" s="14">
        <v>0</v>
      </c>
      <c r="O49" s="14">
        <f>G49*N49</f>
        <v>0</v>
      </c>
      <c r="P49" s="55" t="s">
        <v>60</v>
      </c>
      <c r="Z49" s="14">
        <f>ROUND(IF(AQ49="5",BJ49,0),2)</f>
        <v>0</v>
      </c>
      <c r="AB49" s="14">
        <f>ROUND(IF(AQ49="1",BH49,0),2)</f>
        <v>0</v>
      </c>
      <c r="AC49" s="14">
        <f>ROUND(IF(AQ49="1",BI49,0),2)</f>
        <v>0</v>
      </c>
      <c r="AD49" s="14">
        <f>ROUND(IF(AQ49="7",BH49,0),2)</f>
        <v>0</v>
      </c>
      <c r="AE49" s="14">
        <f>ROUND(IF(AQ49="7",BI49,0),2)</f>
        <v>0</v>
      </c>
      <c r="AF49" s="14">
        <f>ROUND(IF(AQ49="2",BH49,0),2)</f>
        <v>0</v>
      </c>
      <c r="AG49" s="14">
        <f>ROUND(IF(AQ49="2",BI49,0),2)</f>
        <v>0</v>
      </c>
      <c r="AH49" s="14">
        <f>ROUND(IF(AQ49="0",BJ49,0),2)</f>
        <v>0</v>
      </c>
      <c r="AI49" s="8" t="s">
        <v>53</v>
      </c>
      <c r="AJ49" s="14">
        <f>IF(AN49=0,L49,0)</f>
        <v>0</v>
      </c>
      <c r="AK49" s="14">
        <f>IF(AN49=12,L49,0)</f>
        <v>0</v>
      </c>
      <c r="AL49" s="14">
        <f>IF(AN49=21,L49,0)</f>
        <v>0</v>
      </c>
      <c r="AN49" s="14">
        <v>21</v>
      </c>
      <c r="AO49" s="14">
        <f>H49*0</f>
        <v>0</v>
      </c>
      <c r="AP49" s="14">
        <f>H49*(1-0)</f>
        <v>0</v>
      </c>
      <c r="AQ49" s="16" t="s">
        <v>79</v>
      </c>
      <c r="AV49" s="14">
        <f>ROUND(AW49+AX49,2)</f>
        <v>0</v>
      </c>
      <c r="AW49" s="14">
        <f>ROUND(G49*AO49,2)</f>
        <v>0</v>
      </c>
      <c r="AX49" s="14">
        <f>ROUND(G49*AP49,2)</f>
        <v>0</v>
      </c>
      <c r="AY49" s="16" t="s">
        <v>170</v>
      </c>
      <c r="AZ49" s="16" t="s">
        <v>144</v>
      </c>
      <c r="BA49" s="8" t="s">
        <v>63</v>
      </c>
      <c r="BC49" s="14">
        <f>AW49+AX49</f>
        <v>0</v>
      </c>
      <c r="BD49" s="14">
        <f>H49/(100-BE49)*100</f>
        <v>0</v>
      </c>
      <c r="BE49" s="14">
        <v>0</v>
      </c>
      <c r="BF49" s="14">
        <f>O49</f>
        <v>0</v>
      </c>
      <c r="BH49" s="14">
        <f>G49*AO49</f>
        <v>0</v>
      </c>
      <c r="BI49" s="14">
        <f>G49*AP49</f>
        <v>0</v>
      </c>
      <c r="BJ49" s="14">
        <f>G49*H49</f>
        <v>0</v>
      </c>
      <c r="BK49" s="14"/>
      <c r="BL49" s="14"/>
      <c r="BW49" s="14">
        <f>I49</f>
        <v>21</v>
      </c>
      <c r="BX49" s="3" t="s">
        <v>169</v>
      </c>
    </row>
    <row r="50" spans="1:76" x14ac:dyDescent="0.25">
      <c r="A50" s="49" t="s">
        <v>53</v>
      </c>
      <c r="B50" s="18" t="s">
        <v>53</v>
      </c>
      <c r="C50" s="18" t="s">
        <v>171</v>
      </c>
      <c r="D50" s="108" t="s">
        <v>172</v>
      </c>
      <c r="E50" s="109"/>
      <c r="F50" s="19" t="s">
        <v>4</v>
      </c>
      <c r="G50" s="19" t="s">
        <v>4</v>
      </c>
      <c r="H50" s="19" t="s">
        <v>4</v>
      </c>
      <c r="I50" s="19" t="s">
        <v>4</v>
      </c>
      <c r="J50" s="1">
        <f>SUM(J51:J51)</f>
        <v>0</v>
      </c>
      <c r="K50" s="1">
        <f>SUM(K51:K51)</f>
        <v>0</v>
      </c>
      <c r="L50" s="1">
        <f>SUM(L51:L51)</f>
        <v>0</v>
      </c>
      <c r="M50" s="1">
        <f>SUM(M51:M51)</f>
        <v>0</v>
      </c>
      <c r="N50" s="8" t="s">
        <v>53</v>
      </c>
      <c r="O50" s="1">
        <f>SUM(O51:O51)</f>
        <v>0</v>
      </c>
      <c r="P50" s="54" t="s">
        <v>53</v>
      </c>
      <c r="AI50" s="8" t="s">
        <v>53</v>
      </c>
      <c r="AS50" s="1">
        <f>SUM(AJ51:AJ51)</f>
        <v>0</v>
      </c>
      <c r="AT50" s="1">
        <f>SUM(AK51:AK51)</f>
        <v>0</v>
      </c>
      <c r="AU50" s="1">
        <f>SUM(AL51:AL51)</f>
        <v>0</v>
      </c>
    </row>
    <row r="51" spans="1:76" x14ac:dyDescent="0.25">
      <c r="A51" s="41" t="s">
        <v>173</v>
      </c>
      <c r="B51" s="2" t="s">
        <v>53</v>
      </c>
      <c r="C51" s="2" t="s">
        <v>174</v>
      </c>
      <c r="D51" s="84" t="s">
        <v>175</v>
      </c>
      <c r="E51" s="80"/>
      <c r="F51" s="2" t="s">
        <v>72</v>
      </c>
      <c r="G51" s="14">
        <v>0.55000000000000004</v>
      </c>
      <c r="H51" s="74">
        <v>0</v>
      </c>
      <c r="I51" s="15">
        <v>21</v>
      </c>
      <c r="J51" s="14">
        <f>ROUND(G51*AO51,2)</f>
        <v>0</v>
      </c>
      <c r="K51" s="14">
        <f>ROUND(G51*AP51,2)</f>
        <v>0</v>
      </c>
      <c r="L51" s="14">
        <f>ROUND(G51*H51,2)</f>
        <v>0</v>
      </c>
      <c r="M51" s="14">
        <f>L51*(1+BW51/100)</f>
        <v>0</v>
      </c>
      <c r="N51" s="14">
        <v>0</v>
      </c>
      <c r="O51" s="14">
        <f>G51*N51</f>
        <v>0</v>
      </c>
      <c r="P51" s="55" t="s">
        <v>60</v>
      </c>
      <c r="Z51" s="14">
        <f>ROUND(IF(AQ51="5",BJ51,0),2)</f>
        <v>0</v>
      </c>
      <c r="AB51" s="14">
        <f>ROUND(IF(AQ51="1",BH51,0),2)</f>
        <v>0</v>
      </c>
      <c r="AC51" s="14">
        <f>ROUND(IF(AQ51="1",BI51,0),2)</f>
        <v>0</v>
      </c>
      <c r="AD51" s="14">
        <f>ROUND(IF(AQ51="7",BH51,0),2)</f>
        <v>0</v>
      </c>
      <c r="AE51" s="14">
        <f>ROUND(IF(AQ51="7",BI51,0),2)</f>
        <v>0</v>
      </c>
      <c r="AF51" s="14">
        <f>ROUND(IF(AQ51="2",BH51,0),2)</f>
        <v>0</v>
      </c>
      <c r="AG51" s="14">
        <f>ROUND(IF(AQ51="2",BI51,0),2)</f>
        <v>0</v>
      </c>
      <c r="AH51" s="14">
        <f>ROUND(IF(AQ51="0",BJ51,0),2)</f>
        <v>0</v>
      </c>
      <c r="AI51" s="8" t="s">
        <v>53</v>
      </c>
      <c r="AJ51" s="14">
        <f>IF(AN51=0,L51,0)</f>
        <v>0</v>
      </c>
      <c r="AK51" s="14">
        <f>IF(AN51=12,L51,0)</f>
        <v>0</v>
      </c>
      <c r="AL51" s="14">
        <f>IF(AN51=21,L51,0)</f>
        <v>0</v>
      </c>
      <c r="AN51" s="14">
        <v>21</v>
      </c>
      <c r="AO51" s="14">
        <f>H51*0</f>
        <v>0</v>
      </c>
      <c r="AP51" s="14">
        <f>H51*(1-0)</f>
        <v>0</v>
      </c>
      <c r="AQ51" s="16" t="s">
        <v>79</v>
      </c>
      <c r="AV51" s="14">
        <f>ROUND(AW51+AX51,2)</f>
        <v>0</v>
      </c>
      <c r="AW51" s="14">
        <f>ROUND(G51*AO51,2)</f>
        <v>0</v>
      </c>
      <c r="AX51" s="14">
        <f>ROUND(G51*AP51,2)</f>
        <v>0</v>
      </c>
      <c r="AY51" s="16" t="s">
        <v>176</v>
      </c>
      <c r="AZ51" s="16" t="s">
        <v>144</v>
      </c>
      <c r="BA51" s="8" t="s">
        <v>63</v>
      </c>
      <c r="BC51" s="14">
        <f>AW51+AX51</f>
        <v>0</v>
      </c>
      <c r="BD51" s="14">
        <f>H51/(100-BE51)*100</f>
        <v>0</v>
      </c>
      <c r="BE51" s="14">
        <v>0</v>
      </c>
      <c r="BF51" s="14">
        <f>O51</f>
        <v>0</v>
      </c>
      <c r="BH51" s="14">
        <f>G51*AO51</f>
        <v>0</v>
      </c>
      <c r="BI51" s="14">
        <f>G51*AP51</f>
        <v>0</v>
      </c>
      <c r="BJ51" s="14">
        <f>G51*H51</f>
        <v>0</v>
      </c>
      <c r="BK51" s="14"/>
      <c r="BL51" s="14"/>
      <c r="BW51" s="14">
        <f>I51</f>
        <v>21</v>
      </c>
      <c r="BX51" s="3" t="s">
        <v>175</v>
      </c>
    </row>
    <row r="52" spans="1:76" x14ac:dyDescent="0.25">
      <c r="A52" s="49" t="s">
        <v>53</v>
      </c>
      <c r="B52" s="18" t="s">
        <v>53</v>
      </c>
      <c r="C52" s="18" t="s">
        <v>177</v>
      </c>
      <c r="D52" s="108" t="s">
        <v>178</v>
      </c>
      <c r="E52" s="109"/>
      <c r="F52" s="19" t="s">
        <v>4</v>
      </c>
      <c r="G52" s="19" t="s">
        <v>4</v>
      </c>
      <c r="H52" s="19" t="s">
        <v>4</v>
      </c>
      <c r="I52" s="19" t="s">
        <v>4</v>
      </c>
      <c r="J52" s="1">
        <f>SUM(J53:J55)</f>
        <v>0</v>
      </c>
      <c r="K52" s="1">
        <f>SUM(K53:K55)</f>
        <v>0</v>
      </c>
      <c r="L52" s="1">
        <f>SUM(L53:L55)</f>
        <v>0</v>
      </c>
      <c r="M52" s="1">
        <f>SUM(M53:M55)</f>
        <v>0</v>
      </c>
      <c r="N52" s="8" t="s">
        <v>53</v>
      </c>
      <c r="O52" s="1">
        <f>SUM(O53:O55)</f>
        <v>36.585800000000006</v>
      </c>
      <c r="P52" s="54" t="s">
        <v>53</v>
      </c>
      <c r="AI52" s="8" t="s">
        <v>53</v>
      </c>
      <c r="AS52" s="1">
        <f>SUM(AJ53:AJ55)</f>
        <v>0</v>
      </c>
      <c r="AT52" s="1">
        <f>SUM(AK53:AK55)</f>
        <v>0</v>
      </c>
      <c r="AU52" s="1">
        <f>SUM(AL53:AL55)</f>
        <v>0</v>
      </c>
    </row>
    <row r="53" spans="1:76" x14ac:dyDescent="0.25">
      <c r="A53" s="41" t="s">
        <v>179</v>
      </c>
      <c r="B53" s="2" t="s">
        <v>53</v>
      </c>
      <c r="C53" s="2" t="s">
        <v>180</v>
      </c>
      <c r="D53" s="84" t="s">
        <v>181</v>
      </c>
      <c r="E53" s="80"/>
      <c r="F53" s="2" t="s">
        <v>76</v>
      </c>
      <c r="G53" s="14">
        <v>14.9</v>
      </c>
      <c r="H53" s="74">
        <v>0</v>
      </c>
      <c r="I53" s="15">
        <v>21</v>
      </c>
      <c r="J53" s="14">
        <f>ROUND(G53*AO53,2)</f>
        <v>0</v>
      </c>
      <c r="K53" s="14">
        <f>ROUND(G53*AP53,2)</f>
        <v>0</v>
      </c>
      <c r="L53" s="14">
        <f>ROUND(G53*H53,2)</f>
        <v>0</v>
      </c>
      <c r="M53" s="14">
        <f>L53*(1+BW53/100)</f>
        <v>0</v>
      </c>
      <c r="N53" s="14">
        <v>2.2400000000000002</v>
      </c>
      <c r="O53" s="14">
        <f>G53*N53</f>
        <v>33.376000000000005</v>
      </c>
      <c r="P53" s="55" t="s">
        <v>60</v>
      </c>
      <c r="Z53" s="14">
        <f>ROUND(IF(AQ53="5",BJ53,0),2)</f>
        <v>0</v>
      </c>
      <c r="AB53" s="14">
        <f>ROUND(IF(AQ53="1",BH53,0),2)</f>
        <v>0</v>
      </c>
      <c r="AC53" s="14">
        <f>ROUND(IF(AQ53="1",BI53,0),2)</f>
        <v>0</v>
      </c>
      <c r="AD53" s="14">
        <f>ROUND(IF(AQ53="7",BH53,0),2)</f>
        <v>0</v>
      </c>
      <c r="AE53" s="14">
        <f>ROUND(IF(AQ53="7",BI53,0),2)</f>
        <v>0</v>
      </c>
      <c r="AF53" s="14">
        <f>ROUND(IF(AQ53="2",BH53,0),2)</f>
        <v>0</v>
      </c>
      <c r="AG53" s="14">
        <f>ROUND(IF(AQ53="2",BI53,0),2)</f>
        <v>0</v>
      </c>
      <c r="AH53" s="14">
        <f>ROUND(IF(AQ53="0",BJ53,0),2)</f>
        <v>0</v>
      </c>
      <c r="AI53" s="8" t="s">
        <v>53</v>
      </c>
      <c r="AJ53" s="14">
        <f>IF(AN53=0,L53,0)</f>
        <v>0</v>
      </c>
      <c r="AK53" s="14">
        <f>IF(AN53=12,L53,0)</f>
        <v>0</v>
      </c>
      <c r="AL53" s="14">
        <f>IF(AN53=21,L53,0)</f>
        <v>0</v>
      </c>
      <c r="AN53" s="14">
        <v>21</v>
      </c>
      <c r="AO53" s="14">
        <f>H53*1</f>
        <v>0</v>
      </c>
      <c r="AP53" s="14">
        <f>H53*(1-1)</f>
        <v>0</v>
      </c>
      <c r="AQ53" s="16" t="s">
        <v>182</v>
      </c>
      <c r="AV53" s="14">
        <f>ROUND(AW53+AX53,2)</f>
        <v>0</v>
      </c>
      <c r="AW53" s="14">
        <f>ROUND(G53*AO53,2)</f>
        <v>0</v>
      </c>
      <c r="AX53" s="14">
        <f>ROUND(G53*AP53,2)</f>
        <v>0</v>
      </c>
      <c r="AY53" s="16" t="s">
        <v>183</v>
      </c>
      <c r="AZ53" s="16" t="s">
        <v>184</v>
      </c>
      <c r="BA53" s="8" t="s">
        <v>63</v>
      </c>
      <c r="BC53" s="14">
        <f>AW53+AX53</f>
        <v>0</v>
      </c>
      <c r="BD53" s="14">
        <f>H53/(100-BE53)*100</f>
        <v>0</v>
      </c>
      <c r="BE53" s="14">
        <v>0</v>
      </c>
      <c r="BF53" s="14">
        <f>O53</f>
        <v>33.376000000000005</v>
      </c>
      <c r="BH53" s="14">
        <f>G53*AO53</f>
        <v>0</v>
      </c>
      <c r="BI53" s="14">
        <f>G53*AP53</f>
        <v>0</v>
      </c>
      <c r="BJ53" s="14">
        <f>G53*H53</f>
        <v>0</v>
      </c>
      <c r="BK53" s="14"/>
      <c r="BL53" s="14"/>
      <c r="BW53" s="14">
        <f>I53</f>
        <v>21</v>
      </c>
      <c r="BX53" s="3" t="s">
        <v>181</v>
      </c>
    </row>
    <row r="54" spans="1:76" ht="25.5" x14ac:dyDescent="0.25">
      <c r="A54" s="41" t="s">
        <v>185</v>
      </c>
      <c r="B54" s="2" t="s">
        <v>53</v>
      </c>
      <c r="C54" s="2" t="s">
        <v>186</v>
      </c>
      <c r="D54" s="84" t="s">
        <v>187</v>
      </c>
      <c r="E54" s="80"/>
      <c r="F54" s="2" t="s">
        <v>59</v>
      </c>
      <c r="G54" s="14">
        <v>1210</v>
      </c>
      <c r="H54" s="74">
        <v>0</v>
      </c>
      <c r="I54" s="15">
        <v>21</v>
      </c>
      <c r="J54" s="14">
        <f>ROUND(G54*AO54,2)</f>
        <v>0</v>
      </c>
      <c r="K54" s="14">
        <f>ROUND(G54*AP54,2)</f>
        <v>0</v>
      </c>
      <c r="L54" s="14">
        <f>ROUND(G54*H54,2)</f>
        <v>0</v>
      </c>
      <c r="M54" s="14">
        <f>L54*(1+BW54/100)</f>
        <v>0</v>
      </c>
      <c r="N54" s="14">
        <v>2.3800000000000002E-3</v>
      </c>
      <c r="O54" s="14">
        <f>G54*N54</f>
        <v>2.8798000000000004</v>
      </c>
      <c r="P54" s="55" t="s">
        <v>60</v>
      </c>
      <c r="Z54" s="14">
        <f>ROUND(IF(AQ54="5",BJ54,0),2)</f>
        <v>0</v>
      </c>
      <c r="AB54" s="14">
        <f>ROUND(IF(AQ54="1",BH54,0),2)</f>
        <v>0</v>
      </c>
      <c r="AC54" s="14">
        <f>ROUND(IF(AQ54="1",BI54,0),2)</f>
        <v>0</v>
      </c>
      <c r="AD54" s="14">
        <f>ROUND(IF(AQ54="7",BH54,0),2)</f>
        <v>0</v>
      </c>
      <c r="AE54" s="14">
        <f>ROUND(IF(AQ54="7",BI54,0),2)</f>
        <v>0</v>
      </c>
      <c r="AF54" s="14">
        <f>ROUND(IF(AQ54="2",BH54,0),2)</f>
        <v>0</v>
      </c>
      <c r="AG54" s="14">
        <f>ROUND(IF(AQ54="2",BI54,0),2)</f>
        <v>0</v>
      </c>
      <c r="AH54" s="14">
        <f>ROUND(IF(AQ54="0",BJ54,0),2)</f>
        <v>0</v>
      </c>
      <c r="AI54" s="8" t="s">
        <v>53</v>
      </c>
      <c r="AJ54" s="14">
        <f>IF(AN54=0,L54,0)</f>
        <v>0</v>
      </c>
      <c r="AK54" s="14">
        <f>IF(AN54=12,L54,0)</f>
        <v>0</v>
      </c>
      <c r="AL54" s="14">
        <f>IF(AN54=21,L54,0)</f>
        <v>0</v>
      </c>
      <c r="AN54" s="14">
        <v>21</v>
      </c>
      <c r="AO54" s="14">
        <f>H54*1</f>
        <v>0</v>
      </c>
      <c r="AP54" s="14">
        <f>H54*(1-1)</f>
        <v>0</v>
      </c>
      <c r="AQ54" s="16" t="s">
        <v>182</v>
      </c>
      <c r="AV54" s="14">
        <f>ROUND(AW54+AX54,2)</f>
        <v>0</v>
      </c>
      <c r="AW54" s="14">
        <f>ROUND(G54*AO54,2)</f>
        <v>0</v>
      </c>
      <c r="AX54" s="14">
        <f>ROUND(G54*AP54,2)</f>
        <v>0</v>
      </c>
      <c r="AY54" s="16" t="s">
        <v>183</v>
      </c>
      <c r="AZ54" s="16" t="s">
        <v>184</v>
      </c>
      <c r="BA54" s="8" t="s">
        <v>63</v>
      </c>
      <c r="BC54" s="14">
        <f>AW54+AX54</f>
        <v>0</v>
      </c>
      <c r="BD54" s="14">
        <f>H54/(100-BE54)*100</f>
        <v>0</v>
      </c>
      <c r="BE54" s="14">
        <v>0</v>
      </c>
      <c r="BF54" s="14">
        <f>O54</f>
        <v>2.8798000000000004</v>
      </c>
      <c r="BH54" s="14">
        <f>G54*AO54</f>
        <v>0</v>
      </c>
      <c r="BI54" s="14">
        <f>G54*AP54</f>
        <v>0</v>
      </c>
      <c r="BJ54" s="14">
        <f>G54*H54</f>
        <v>0</v>
      </c>
      <c r="BK54" s="14"/>
      <c r="BL54" s="14"/>
      <c r="BW54" s="14">
        <f>I54</f>
        <v>21</v>
      </c>
      <c r="BX54" s="3" t="s">
        <v>187</v>
      </c>
    </row>
    <row r="55" spans="1:76" x14ac:dyDescent="0.25">
      <c r="A55" s="41" t="s">
        <v>188</v>
      </c>
      <c r="B55" s="2" t="s">
        <v>53</v>
      </c>
      <c r="C55" s="2" t="s">
        <v>189</v>
      </c>
      <c r="D55" s="84" t="s">
        <v>190</v>
      </c>
      <c r="E55" s="80"/>
      <c r="F55" s="2" t="s">
        <v>191</v>
      </c>
      <c r="G55" s="14">
        <v>110</v>
      </c>
      <c r="H55" s="74">
        <v>0</v>
      </c>
      <c r="I55" s="15">
        <v>21</v>
      </c>
      <c r="J55" s="14">
        <f>ROUND(G55*AO55,2)</f>
        <v>0</v>
      </c>
      <c r="K55" s="14">
        <f>ROUND(G55*AP55,2)</f>
        <v>0</v>
      </c>
      <c r="L55" s="14">
        <f>ROUND(G55*H55,2)</f>
        <v>0</v>
      </c>
      <c r="M55" s="14">
        <f>L55*(1+BW55/100)</f>
        <v>0</v>
      </c>
      <c r="N55" s="14">
        <v>3.0000000000000001E-3</v>
      </c>
      <c r="O55" s="14">
        <f>G55*N55</f>
        <v>0.33</v>
      </c>
      <c r="P55" s="55" t="s">
        <v>60</v>
      </c>
      <c r="Z55" s="14">
        <f>ROUND(IF(AQ55="5",BJ55,0),2)</f>
        <v>0</v>
      </c>
      <c r="AB55" s="14">
        <f>ROUND(IF(AQ55="1",BH55,0),2)</f>
        <v>0</v>
      </c>
      <c r="AC55" s="14">
        <f>ROUND(IF(AQ55="1",BI55,0),2)</f>
        <v>0</v>
      </c>
      <c r="AD55" s="14">
        <f>ROUND(IF(AQ55="7",BH55,0),2)</f>
        <v>0</v>
      </c>
      <c r="AE55" s="14">
        <f>ROUND(IF(AQ55="7",BI55,0),2)</f>
        <v>0</v>
      </c>
      <c r="AF55" s="14">
        <f>ROUND(IF(AQ55="2",BH55,0),2)</f>
        <v>0</v>
      </c>
      <c r="AG55" s="14">
        <f>ROUND(IF(AQ55="2",BI55,0),2)</f>
        <v>0</v>
      </c>
      <c r="AH55" s="14">
        <f>ROUND(IF(AQ55="0",BJ55,0),2)</f>
        <v>0</v>
      </c>
      <c r="AI55" s="8" t="s">
        <v>53</v>
      </c>
      <c r="AJ55" s="14">
        <f>IF(AN55=0,L55,0)</f>
        <v>0</v>
      </c>
      <c r="AK55" s="14">
        <f>IF(AN55=12,L55,0)</f>
        <v>0</v>
      </c>
      <c r="AL55" s="14">
        <f>IF(AN55=21,L55,0)</f>
        <v>0</v>
      </c>
      <c r="AN55" s="14">
        <v>21</v>
      </c>
      <c r="AO55" s="14">
        <f>H55*1</f>
        <v>0</v>
      </c>
      <c r="AP55" s="14">
        <f>H55*(1-1)</f>
        <v>0</v>
      </c>
      <c r="AQ55" s="16" t="s">
        <v>182</v>
      </c>
      <c r="AV55" s="14">
        <f>ROUND(AW55+AX55,2)</f>
        <v>0</v>
      </c>
      <c r="AW55" s="14">
        <f>ROUND(G55*AO55,2)</f>
        <v>0</v>
      </c>
      <c r="AX55" s="14">
        <f>ROUND(G55*AP55,2)</f>
        <v>0</v>
      </c>
      <c r="AY55" s="16" t="s">
        <v>183</v>
      </c>
      <c r="AZ55" s="16" t="s">
        <v>184</v>
      </c>
      <c r="BA55" s="8" t="s">
        <v>63</v>
      </c>
      <c r="BC55" s="14">
        <f>AW55+AX55</f>
        <v>0</v>
      </c>
      <c r="BD55" s="14">
        <f>H55/(100-BE55)*100</f>
        <v>0</v>
      </c>
      <c r="BE55" s="14">
        <v>0</v>
      </c>
      <c r="BF55" s="14">
        <f>O55</f>
        <v>0.33</v>
      </c>
      <c r="BH55" s="14">
        <f>G55*AO55</f>
        <v>0</v>
      </c>
      <c r="BI55" s="14">
        <f>G55*AP55</f>
        <v>0</v>
      </c>
      <c r="BJ55" s="14">
        <f>G55*H55</f>
        <v>0</v>
      </c>
      <c r="BK55" s="14"/>
      <c r="BL55" s="14"/>
      <c r="BW55" s="14">
        <f>I55</f>
        <v>21</v>
      </c>
      <c r="BX55" s="3" t="s">
        <v>190</v>
      </c>
    </row>
    <row r="56" spans="1:76" x14ac:dyDescent="0.25">
      <c r="A56" s="49" t="s">
        <v>53</v>
      </c>
      <c r="B56" s="18" t="s">
        <v>53</v>
      </c>
      <c r="C56" s="18" t="s">
        <v>192</v>
      </c>
      <c r="D56" s="108" t="s">
        <v>193</v>
      </c>
      <c r="E56" s="109"/>
      <c r="F56" s="19" t="s">
        <v>4</v>
      </c>
      <c r="G56" s="19" t="s">
        <v>4</v>
      </c>
      <c r="H56" s="19" t="s">
        <v>4</v>
      </c>
      <c r="I56" s="19" t="s">
        <v>4</v>
      </c>
      <c r="J56" s="1">
        <f>J57</f>
        <v>0</v>
      </c>
      <c r="K56" s="1">
        <f>K57</f>
        <v>0</v>
      </c>
      <c r="L56" s="1">
        <f>L57</f>
        <v>0</v>
      </c>
      <c r="M56" s="1">
        <f>M57</f>
        <v>0</v>
      </c>
      <c r="N56" s="8" t="s">
        <v>53</v>
      </c>
      <c r="O56" s="1">
        <f>O57</f>
        <v>0</v>
      </c>
      <c r="P56" s="54" t="s">
        <v>53</v>
      </c>
      <c r="AI56" s="8" t="s">
        <v>53</v>
      </c>
    </row>
    <row r="57" spans="1:76" x14ac:dyDescent="0.25">
      <c r="A57" s="49" t="s">
        <v>53</v>
      </c>
      <c r="B57" s="18" t="s">
        <v>53</v>
      </c>
      <c r="C57" s="18" t="s">
        <v>194</v>
      </c>
      <c r="D57" s="108" t="s">
        <v>195</v>
      </c>
      <c r="E57" s="109"/>
      <c r="F57" s="19" t="s">
        <v>4</v>
      </c>
      <c r="G57" s="19" t="s">
        <v>4</v>
      </c>
      <c r="H57" s="19" t="s">
        <v>4</v>
      </c>
      <c r="I57" s="19" t="s">
        <v>4</v>
      </c>
      <c r="J57" s="1">
        <f>SUM(J58:J58)</f>
        <v>0</v>
      </c>
      <c r="K57" s="1">
        <f>SUM(K58:K58)</f>
        <v>0</v>
      </c>
      <c r="L57" s="1">
        <f>SUM(L58:L58)</f>
        <v>0</v>
      </c>
      <c r="M57" s="1">
        <f>SUM(M58:M58)</f>
        <v>0</v>
      </c>
      <c r="N57" s="8" t="s">
        <v>53</v>
      </c>
      <c r="O57" s="1">
        <f>SUM(O58:O58)</f>
        <v>0</v>
      </c>
      <c r="P57" s="54" t="s">
        <v>53</v>
      </c>
      <c r="AI57" s="8" t="s">
        <v>53</v>
      </c>
      <c r="AS57" s="1">
        <f>SUM(AJ58:AJ58)</f>
        <v>0</v>
      </c>
      <c r="AT57" s="1">
        <f>SUM(AK58:AK58)</f>
        <v>0</v>
      </c>
      <c r="AU57" s="1">
        <f>SUM(AL58:AL58)</f>
        <v>0</v>
      </c>
    </row>
    <row r="58" spans="1:76" x14ac:dyDescent="0.25">
      <c r="A58" s="38" t="s">
        <v>196</v>
      </c>
      <c r="B58" s="39" t="s">
        <v>53</v>
      </c>
      <c r="C58" s="39" t="s">
        <v>197</v>
      </c>
      <c r="D58" s="111" t="s">
        <v>198</v>
      </c>
      <c r="E58" s="112"/>
      <c r="F58" s="39" t="s">
        <v>199</v>
      </c>
      <c r="G58" s="57">
        <v>1</v>
      </c>
      <c r="H58" s="75">
        <v>0</v>
      </c>
      <c r="I58" s="58">
        <v>21</v>
      </c>
      <c r="J58" s="57">
        <f>ROUND(G58*AO58,2)</f>
        <v>0</v>
      </c>
      <c r="K58" s="57">
        <f>ROUND(G58*AP58,2)</f>
        <v>0</v>
      </c>
      <c r="L58" s="57">
        <f>ROUND(G58*H58,2)</f>
        <v>0</v>
      </c>
      <c r="M58" s="57">
        <f>L58*(1+BW58/100)</f>
        <v>0</v>
      </c>
      <c r="N58" s="57">
        <v>0</v>
      </c>
      <c r="O58" s="57">
        <f>G58*N58</f>
        <v>0</v>
      </c>
      <c r="P58" s="59" t="s">
        <v>53</v>
      </c>
      <c r="Z58" s="14">
        <f>ROUND(IF(AQ58="5",BJ58,0),2)</f>
        <v>0</v>
      </c>
      <c r="AB58" s="14">
        <f>ROUND(IF(AQ58="1",BH58,0),2)</f>
        <v>0</v>
      </c>
      <c r="AC58" s="14">
        <f>ROUND(IF(AQ58="1",BI58,0),2)</f>
        <v>0</v>
      </c>
      <c r="AD58" s="14">
        <f>ROUND(IF(AQ58="7",BH58,0),2)</f>
        <v>0</v>
      </c>
      <c r="AE58" s="14">
        <f>ROUND(IF(AQ58="7",BI58,0),2)</f>
        <v>0</v>
      </c>
      <c r="AF58" s="14">
        <f>ROUND(IF(AQ58="2",BH58,0),2)</f>
        <v>0</v>
      </c>
      <c r="AG58" s="14">
        <f>ROUND(IF(AQ58="2",BI58,0),2)</f>
        <v>0</v>
      </c>
      <c r="AH58" s="14">
        <f>ROUND(IF(AQ58="0",BJ58,0),2)</f>
        <v>0</v>
      </c>
      <c r="AI58" s="8" t="s">
        <v>53</v>
      </c>
      <c r="AJ58" s="14">
        <f>IF(AN58=0,L58,0)</f>
        <v>0</v>
      </c>
      <c r="AK58" s="14">
        <f>IF(AN58=12,L58,0)</f>
        <v>0</v>
      </c>
      <c r="AL58" s="14">
        <f>IF(AN58=21,L58,0)</f>
        <v>0</v>
      </c>
      <c r="AN58" s="14">
        <v>21</v>
      </c>
      <c r="AO58" s="14">
        <f>H58*0</f>
        <v>0</v>
      </c>
      <c r="AP58" s="14">
        <f>H58*(1-0)</f>
        <v>0</v>
      </c>
      <c r="AQ58" s="16" t="s">
        <v>200</v>
      </c>
      <c r="AV58" s="14">
        <f>ROUND(AW58+AX58,2)</f>
        <v>0</v>
      </c>
      <c r="AW58" s="14">
        <f>ROUND(G58*AO58,2)</f>
        <v>0</v>
      </c>
      <c r="AX58" s="14">
        <f>ROUND(G58*AP58,2)</f>
        <v>0</v>
      </c>
      <c r="AY58" s="16" t="s">
        <v>201</v>
      </c>
      <c r="AZ58" s="16" t="s">
        <v>202</v>
      </c>
      <c r="BA58" s="8" t="s">
        <v>63</v>
      </c>
      <c r="BC58" s="14">
        <f>AW58+AX58</f>
        <v>0</v>
      </c>
      <c r="BD58" s="14">
        <f>H58/(100-BE58)*100</f>
        <v>0</v>
      </c>
      <c r="BE58" s="14">
        <v>0</v>
      </c>
      <c r="BF58" s="14">
        <f>O58</f>
        <v>0</v>
      </c>
      <c r="BH58" s="14">
        <f>G58*AO58</f>
        <v>0</v>
      </c>
      <c r="BI58" s="14">
        <f>G58*AP58</f>
        <v>0</v>
      </c>
      <c r="BJ58" s="14">
        <f>G58*H58</f>
        <v>0</v>
      </c>
      <c r="BK58" s="14"/>
      <c r="BL58" s="14"/>
      <c r="BR58" s="14">
        <f>G58*H58</f>
        <v>0</v>
      </c>
      <c r="BW58" s="14">
        <f>I58</f>
        <v>21</v>
      </c>
      <c r="BX58" s="3" t="s">
        <v>198</v>
      </c>
    </row>
    <row r="59" spans="1:76" x14ac:dyDescent="0.25">
      <c r="J59" s="110" t="s">
        <v>203</v>
      </c>
      <c r="K59" s="110"/>
      <c r="L59" s="61">
        <f>ROUND(L12+L18+L21+L26+L32+L36+L38+L48+L50+L52+L57,2)</f>
        <v>0</v>
      </c>
      <c r="M59" s="61">
        <f>ROUND(M12+M18+M21+M26+M32+M36+M38+M48+M50+M52+M57,2)</f>
        <v>0</v>
      </c>
    </row>
    <row r="60" spans="1:76" x14ac:dyDescent="0.25">
      <c r="A60" s="20" t="s">
        <v>204</v>
      </c>
    </row>
    <row r="61" spans="1:76" ht="12.75" customHeight="1" x14ac:dyDescent="0.25">
      <c r="A61" s="84" t="s">
        <v>53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</row>
  </sheetData>
  <sheetProtection algorithmName="SHA-512" hashValue="VZJjTQe3UPQE2XfNgNCSjOsoHV2NFoYTnyQqPesRwZ04cdB/2Y8S5MFqd1EMPBLTLP0uuUw3Q0T9CJhHNjLO0A==" saltValue="OBEZHKOPELizfgDfkftUeg==" spinCount="100000" sheet="1" objects="1" scenarios="1"/>
  <mergeCells count="78">
    <mergeCell ref="J59:K59"/>
    <mergeCell ref="A61:P61"/>
    <mergeCell ref="D54:E54"/>
    <mergeCell ref="D55:E55"/>
    <mergeCell ref="D56:E56"/>
    <mergeCell ref="D57:E57"/>
    <mergeCell ref="D58:E58"/>
    <mergeCell ref="D49:E49"/>
    <mergeCell ref="D50:E50"/>
    <mergeCell ref="D51:E51"/>
    <mergeCell ref="D52:E52"/>
    <mergeCell ref="D53:E53"/>
    <mergeCell ref="D44:E44"/>
    <mergeCell ref="D45:P45"/>
    <mergeCell ref="D46:E46"/>
    <mergeCell ref="D47:E47"/>
    <mergeCell ref="D48:E48"/>
    <mergeCell ref="D39:E39"/>
    <mergeCell ref="D40:E40"/>
    <mergeCell ref="D41:P41"/>
    <mergeCell ref="D42:E42"/>
    <mergeCell ref="D43:P43"/>
    <mergeCell ref="D34:E34"/>
    <mergeCell ref="D35:E35"/>
    <mergeCell ref="D36:E36"/>
    <mergeCell ref="D37:E37"/>
    <mergeCell ref="D38:E38"/>
    <mergeCell ref="D29:E29"/>
    <mergeCell ref="D30:E30"/>
    <mergeCell ref="D31:E31"/>
    <mergeCell ref="D32:E32"/>
    <mergeCell ref="D33:E33"/>
    <mergeCell ref="D24:E24"/>
    <mergeCell ref="D25:P25"/>
    <mergeCell ref="D26:E26"/>
    <mergeCell ref="D27:E27"/>
    <mergeCell ref="D28:E28"/>
    <mergeCell ref="D19:E19"/>
    <mergeCell ref="D20:E20"/>
    <mergeCell ref="D21:E21"/>
    <mergeCell ref="D22:E22"/>
    <mergeCell ref="D23:P23"/>
    <mergeCell ref="D14:P14"/>
    <mergeCell ref="D15:E15"/>
    <mergeCell ref="D16:E16"/>
    <mergeCell ref="D17:E17"/>
    <mergeCell ref="D18:E18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3"/>
  <sheetViews>
    <sheetView workbookViewId="0">
      <pane ySplit="11" topLeftCell="A12" activePane="bottomLeft" state="frozen"/>
      <selection pane="bottomLeft" activeCell="G6" sqref="G6:G7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 x14ac:dyDescent="0.25">
      <c r="A1" s="76" t="s">
        <v>205</v>
      </c>
      <c r="B1" s="76"/>
      <c r="C1" s="76"/>
      <c r="D1" s="76"/>
      <c r="E1" s="76"/>
      <c r="F1" s="76"/>
      <c r="G1" s="76"/>
    </row>
    <row r="2" spans="1:9" x14ac:dyDescent="0.25">
      <c r="A2" s="77" t="s">
        <v>1</v>
      </c>
      <c r="B2" s="78"/>
      <c r="C2" s="85" t="str">
        <f>'Stavební rozpočet'!D2</f>
        <v>Hala Přepeře-aktualizace</v>
      </c>
      <c r="D2" s="78" t="s">
        <v>3</v>
      </c>
      <c r="E2" s="78" t="s">
        <v>4</v>
      </c>
      <c r="F2" s="83" t="s">
        <v>5</v>
      </c>
      <c r="G2" s="113" t="str">
        <f>'Stavební rozpočet'!J2</f>
        <v> Silnice LK a.s.</v>
      </c>
    </row>
    <row r="3" spans="1:9" ht="15" customHeight="1" x14ac:dyDescent="0.25">
      <c r="A3" s="79"/>
      <c r="B3" s="80"/>
      <c r="C3" s="87"/>
      <c r="D3" s="80"/>
      <c r="E3" s="80"/>
      <c r="F3" s="80"/>
      <c r="G3" s="92"/>
    </row>
    <row r="4" spans="1:9" x14ac:dyDescent="0.25">
      <c r="A4" s="81" t="s">
        <v>7</v>
      </c>
      <c r="B4" s="80"/>
      <c r="C4" s="84" t="str">
        <f>'Stavební rozpočet'!D4</f>
        <v>Sklad na posypové materiály</v>
      </c>
      <c r="D4" s="80" t="s">
        <v>9</v>
      </c>
      <c r="E4" s="80"/>
      <c r="F4" s="84" t="s">
        <v>10</v>
      </c>
      <c r="G4" s="114" t="str">
        <f>'Stavební rozpočet'!J4</f>
        <v> </v>
      </c>
    </row>
    <row r="5" spans="1:9" ht="15" customHeight="1" x14ac:dyDescent="0.25">
      <c r="A5" s="79"/>
      <c r="B5" s="80"/>
      <c r="C5" s="80"/>
      <c r="D5" s="80"/>
      <c r="E5" s="80"/>
      <c r="F5" s="80"/>
      <c r="G5" s="92"/>
    </row>
    <row r="6" spans="1:9" x14ac:dyDescent="0.25">
      <c r="A6" s="81" t="s">
        <v>12</v>
      </c>
      <c r="B6" s="80"/>
      <c r="C6" s="84" t="str">
        <f>'Stavební rozpočet'!D6</f>
        <v>Přepeře u Turnova</v>
      </c>
      <c r="D6" s="80" t="s">
        <v>14</v>
      </c>
      <c r="E6" s="80" t="s">
        <v>4</v>
      </c>
      <c r="F6" s="84" t="s">
        <v>15</v>
      </c>
      <c r="G6" s="115" t="str">
        <f>'Stavební rozpočet'!J6</f>
        <v> </v>
      </c>
    </row>
    <row r="7" spans="1:9" ht="15" customHeight="1" x14ac:dyDescent="0.25">
      <c r="A7" s="79"/>
      <c r="B7" s="80"/>
      <c r="C7" s="80"/>
      <c r="D7" s="80"/>
      <c r="E7" s="80"/>
      <c r="F7" s="80"/>
      <c r="G7" s="116"/>
    </row>
    <row r="8" spans="1:9" x14ac:dyDescent="0.25">
      <c r="A8" s="81" t="s">
        <v>18</v>
      </c>
      <c r="B8" s="80"/>
      <c r="C8" s="84" t="str">
        <f>'Stavební rozpočet'!J8</f>
        <v> </v>
      </c>
      <c r="D8" s="80" t="s">
        <v>17</v>
      </c>
      <c r="E8" s="97">
        <v>45742</v>
      </c>
      <c r="F8" s="80" t="s">
        <v>17</v>
      </c>
      <c r="G8" s="117">
        <f>'Stavební rozpočet'!H8</f>
        <v>45742</v>
      </c>
    </row>
    <row r="9" spans="1:9" x14ac:dyDescent="0.25">
      <c r="A9" s="79"/>
      <c r="B9" s="82"/>
      <c r="C9" s="82"/>
      <c r="D9" s="82"/>
      <c r="E9" s="82"/>
      <c r="F9" s="82"/>
      <c r="G9" s="118"/>
    </row>
    <row r="10" spans="1:9" x14ac:dyDescent="0.25">
      <c r="A10" s="43" t="s">
        <v>20</v>
      </c>
      <c r="B10" s="21" t="s">
        <v>21</v>
      </c>
      <c r="C10" s="22" t="s">
        <v>206</v>
      </c>
      <c r="D10" s="23" t="s">
        <v>207</v>
      </c>
      <c r="E10" s="23" t="s">
        <v>208</v>
      </c>
      <c r="F10" s="23" t="s">
        <v>209</v>
      </c>
      <c r="G10" s="62" t="s">
        <v>210</v>
      </c>
    </row>
    <row r="11" spans="1:9" x14ac:dyDescent="0.25">
      <c r="A11" s="41" t="s">
        <v>53</v>
      </c>
      <c r="B11" s="42" t="s">
        <v>54</v>
      </c>
      <c r="C11" s="42" t="s">
        <v>55</v>
      </c>
      <c r="D11" s="63">
        <f>ROUND('Stavební rozpočet'!J12,2)</f>
        <v>0</v>
      </c>
      <c r="E11" s="63">
        <f>ROUND('Stavební rozpočet'!K12,2)</f>
        <v>0</v>
      </c>
      <c r="F11" s="63">
        <f>ROUND('Stavební rozpočet'!L12,2)</f>
        <v>0</v>
      </c>
      <c r="G11" s="31">
        <f>'Stavební rozpočet'!O12</f>
        <v>3.8866119999999995</v>
      </c>
      <c r="H11" s="64" t="s">
        <v>211</v>
      </c>
      <c r="I11" s="14">
        <f t="shared" ref="I11:I22" si="0">IF(H11="F",0,F11)</f>
        <v>0</v>
      </c>
    </row>
    <row r="12" spans="1:9" x14ac:dyDescent="0.25">
      <c r="A12" s="41" t="s">
        <v>53</v>
      </c>
      <c r="B12" s="2" t="s">
        <v>77</v>
      </c>
      <c r="C12" s="2" t="s">
        <v>78</v>
      </c>
      <c r="D12" s="14">
        <f>ROUND('Stavební rozpočet'!J18,2)</f>
        <v>0</v>
      </c>
      <c r="E12" s="14">
        <f>ROUND('Stavební rozpočet'!K18,2)</f>
        <v>0</v>
      </c>
      <c r="F12" s="14">
        <f>ROUND('Stavební rozpočet'!L18,2)</f>
        <v>0</v>
      </c>
      <c r="G12" s="31">
        <f>'Stavební rozpočet'!O18</f>
        <v>6.8119599999999991</v>
      </c>
      <c r="H12" s="64" t="s">
        <v>211</v>
      </c>
      <c r="I12" s="14">
        <f t="shared" si="0"/>
        <v>0</v>
      </c>
    </row>
    <row r="13" spans="1:9" x14ac:dyDescent="0.25">
      <c r="A13" s="41" t="s">
        <v>53</v>
      </c>
      <c r="B13" s="2" t="s">
        <v>87</v>
      </c>
      <c r="C13" s="2" t="s">
        <v>88</v>
      </c>
      <c r="D13" s="14">
        <f>ROUND('Stavební rozpočet'!J21,2)</f>
        <v>0</v>
      </c>
      <c r="E13" s="14">
        <f>ROUND('Stavební rozpočet'!K21,2)</f>
        <v>0</v>
      </c>
      <c r="F13" s="14">
        <f>ROUND('Stavební rozpočet'!L21,2)</f>
        <v>0</v>
      </c>
      <c r="G13" s="31">
        <f>'Stavební rozpočet'!O21</f>
        <v>5.8248899999999999</v>
      </c>
      <c r="H13" s="64" t="s">
        <v>211</v>
      </c>
      <c r="I13" s="14">
        <f t="shared" si="0"/>
        <v>0</v>
      </c>
    </row>
    <row r="14" spans="1:9" x14ac:dyDescent="0.25">
      <c r="A14" s="41" t="s">
        <v>53</v>
      </c>
      <c r="B14" s="2" t="s">
        <v>100</v>
      </c>
      <c r="C14" s="2" t="s">
        <v>101</v>
      </c>
      <c r="D14" s="14">
        <f>ROUND('Stavební rozpočet'!J26,2)</f>
        <v>0</v>
      </c>
      <c r="E14" s="14">
        <f>ROUND('Stavební rozpočet'!K26,2)</f>
        <v>0</v>
      </c>
      <c r="F14" s="14">
        <f>ROUND('Stavební rozpočet'!L26,2)</f>
        <v>0</v>
      </c>
      <c r="G14" s="31">
        <f>'Stavební rozpočet'!O26</f>
        <v>8.3463499999999975</v>
      </c>
      <c r="H14" s="64" t="s">
        <v>211</v>
      </c>
      <c r="I14" s="14">
        <f t="shared" si="0"/>
        <v>0</v>
      </c>
    </row>
    <row r="15" spans="1:9" x14ac:dyDescent="0.25">
      <c r="A15" s="41" t="s">
        <v>53</v>
      </c>
      <c r="B15" s="2" t="s">
        <v>118</v>
      </c>
      <c r="C15" s="2" t="s">
        <v>119</v>
      </c>
      <c r="D15" s="14">
        <f>ROUND('Stavební rozpočet'!J32,2)</f>
        <v>0</v>
      </c>
      <c r="E15" s="14">
        <f>ROUND('Stavební rozpočet'!K32,2)</f>
        <v>0</v>
      </c>
      <c r="F15" s="14">
        <f>ROUND('Stavební rozpočet'!L32,2)</f>
        <v>0</v>
      </c>
      <c r="G15" s="31">
        <f>'Stavební rozpočet'!O32</f>
        <v>2.637</v>
      </c>
      <c r="H15" s="64" t="s">
        <v>211</v>
      </c>
      <c r="I15" s="14">
        <f t="shared" si="0"/>
        <v>0</v>
      </c>
    </row>
    <row r="16" spans="1:9" x14ac:dyDescent="0.25">
      <c r="A16" s="41" t="s">
        <v>53</v>
      </c>
      <c r="B16" s="2" t="s">
        <v>130</v>
      </c>
      <c r="C16" s="2" t="s">
        <v>131</v>
      </c>
      <c r="D16" s="14">
        <f>ROUND('Stavební rozpočet'!J36,2)</f>
        <v>0</v>
      </c>
      <c r="E16" s="14">
        <f>ROUND('Stavební rozpočet'!K36,2)</f>
        <v>0</v>
      </c>
      <c r="F16" s="14">
        <f>ROUND('Stavební rozpočet'!L36,2)</f>
        <v>0</v>
      </c>
      <c r="G16" s="31">
        <f>'Stavební rozpočet'!O36</f>
        <v>0.27216000000000001</v>
      </c>
      <c r="H16" s="64" t="s">
        <v>211</v>
      </c>
      <c r="I16" s="14">
        <f t="shared" si="0"/>
        <v>0</v>
      </c>
    </row>
    <row r="17" spans="1:9" x14ac:dyDescent="0.25">
      <c r="A17" s="41" t="s">
        <v>53</v>
      </c>
      <c r="B17" s="2" t="s">
        <v>137</v>
      </c>
      <c r="C17" s="2" t="s">
        <v>138</v>
      </c>
      <c r="D17" s="14">
        <f>ROUND('Stavební rozpočet'!J38,2)</f>
        <v>0</v>
      </c>
      <c r="E17" s="14">
        <f>ROUND('Stavební rozpočet'!K38,2)</f>
        <v>0</v>
      </c>
      <c r="F17" s="14">
        <f>ROUND('Stavební rozpočet'!L38,2)</f>
        <v>0</v>
      </c>
      <c r="G17" s="31">
        <f>'Stavební rozpočet'!O38</f>
        <v>0</v>
      </c>
      <c r="H17" s="64" t="s">
        <v>211</v>
      </c>
      <c r="I17" s="14">
        <f t="shared" si="0"/>
        <v>0</v>
      </c>
    </row>
    <row r="18" spans="1:9" x14ac:dyDescent="0.25">
      <c r="A18" s="41" t="s">
        <v>53</v>
      </c>
      <c r="B18" s="2" t="s">
        <v>165</v>
      </c>
      <c r="C18" s="2" t="s">
        <v>166</v>
      </c>
      <c r="D18" s="14">
        <f>ROUND('Stavební rozpočet'!J48,2)</f>
        <v>0</v>
      </c>
      <c r="E18" s="14">
        <f>ROUND('Stavební rozpočet'!K48,2)</f>
        <v>0</v>
      </c>
      <c r="F18" s="14">
        <f>ROUND('Stavební rozpočet'!L48,2)</f>
        <v>0</v>
      </c>
      <c r="G18" s="31">
        <f>'Stavební rozpočet'!O48</f>
        <v>0</v>
      </c>
      <c r="H18" s="64" t="s">
        <v>211</v>
      </c>
      <c r="I18" s="14">
        <f t="shared" si="0"/>
        <v>0</v>
      </c>
    </row>
    <row r="19" spans="1:9" x14ac:dyDescent="0.25">
      <c r="A19" s="41" t="s">
        <v>53</v>
      </c>
      <c r="B19" s="2" t="s">
        <v>171</v>
      </c>
      <c r="C19" s="2" t="s">
        <v>172</v>
      </c>
      <c r="D19" s="14">
        <f>ROUND('Stavební rozpočet'!J50,2)</f>
        <v>0</v>
      </c>
      <c r="E19" s="14">
        <f>ROUND('Stavební rozpočet'!K50,2)</f>
        <v>0</v>
      </c>
      <c r="F19" s="14">
        <f>ROUND('Stavební rozpočet'!L50,2)</f>
        <v>0</v>
      </c>
      <c r="G19" s="31">
        <f>'Stavební rozpočet'!O50</f>
        <v>0</v>
      </c>
      <c r="H19" s="64" t="s">
        <v>211</v>
      </c>
      <c r="I19" s="14">
        <f t="shared" si="0"/>
        <v>0</v>
      </c>
    </row>
    <row r="20" spans="1:9" x14ac:dyDescent="0.25">
      <c r="A20" s="41" t="s">
        <v>53</v>
      </c>
      <c r="B20" s="2" t="s">
        <v>177</v>
      </c>
      <c r="C20" s="2" t="s">
        <v>178</v>
      </c>
      <c r="D20" s="14">
        <f>ROUND('Stavební rozpočet'!J52,2)</f>
        <v>0</v>
      </c>
      <c r="E20" s="14">
        <f>ROUND('Stavební rozpočet'!K52,2)</f>
        <v>0</v>
      </c>
      <c r="F20" s="14">
        <f>ROUND('Stavební rozpočet'!L52,2)</f>
        <v>0</v>
      </c>
      <c r="G20" s="31">
        <f>'Stavební rozpočet'!O52</f>
        <v>36.585800000000006</v>
      </c>
      <c r="H20" s="64" t="s">
        <v>211</v>
      </c>
      <c r="I20" s="14">
        <f t="shared" si="0"/>
        <v>0</v>
      </c>
    </row>
    <row r="21" spans="1:9" x14ac:dyDescent="0.25">
      <c r="A21" s="41" t="s">
        <v>53</v>
      </c>
      <c r="B21" s="2" t="s">
        <v>192</v>
      </c>
      <c r="C21" s="2" t="s">
        <v>193</v>
      </c>
      <c r="D21" s="14">
        <f>ROUND('Stavební rozpočet'!J56,2)</f>
        <v>0</v>
      </c>
      <c r="E21" s="14">
        <f>ROUND('Stavební rozpočet'!K56,2)</f>
        <v>0</v>
      </c>
      <c r="F21" s="14">
        <f>ROUND('Stavební rozpočet'!L56,2)</f>
        <v>0</v>
      </c>
      <c r="G21" s="31">
        <f>'Stavební rozpočet'!O56</f>
        <v>0</v>
      </c>
      <c r="H21" s="64" t="s">
        <v>212</v>
      </c>
      <c r="I21" s="14">
        <f t="shared" si="0"/>
        <v>0</v>
      </c>
    </row>
    <row r="22" spans="1:9" x14ac:dyDescent="0.25">
      <c r="A22" s="38" t="s">
        <v>53</v>
      </c>
      <c r="B22" s="39" t="s">
        <v>194</v>
      </c>
      <c r="C22" s="39" t="s">
        <v>195</v>
      </c>
      <c r="D22" s="57">
        <f>ROUND('Stavební rozpočet'!J57,2)</f>
        <v>0</v>
      </c>
      <c r="E22" s="57">
        <f>ROUND('Stavební rozpočet'!K57,2)</f>
        <v>0</v>
      </c>
      <c r="F22" s="57">
        <f>ROUND('Stavební rozpočet'!L57,2)</f>
        <v>0</v>
      </c>
      <c r="G22" s="65">
        <f>'Stavební rozpočet'!O57</f>
        <v>0</v>
      </c>
      <c r="H22" s="64" t="s">
        <v>211</v>
      </c>
      <c r="I22" s="14">
        <f t="shared" si="0"/>
        <v>0</v>
      </c>
    </row>
    <row r="23" spans="1:9" x14ac:dyDescent="0.25">
      <c r="E23" s="60" t="s">
        <v>203</v>
      </c>
      <c r="F23" s="61">
        <f>ROUND(SUM(I11:I22),2)</f>
        <v>0</v>
      </c>
    </row>
  </sheetData>
  <sheetProtection algorithmName="SHA-512" hashValue="iZSV2p/uCxeScKb6SDJjUzm7gzgClxqvUyycsLZi5RLQpaVRAm5RR558UZZocITwz71tXHNwNoOyTHni1UGexQ==" saltValue="y+/AJNs2n4u8wYwpuSZECQ==" spinCount="100000" sheet="1" objects="1" scenarios="1"/>
  <mergeCells count="25">
    <mergeCell ref="G2:G3"/>
    <mergeCell ref="G4:G5"/>
    <mergeCell ref="G6:G7"/>
    <mergeCell ref="G8:G9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topLeftCell="A7" workbookViewId="0">
      <selection activeCell="H8" sqref="H8:H9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9" t="s">
        <v>213</v>
      </c>
      <c r="B1" s="76"/>
      <c r="C1" s="76"/>
      <c r="D1" s="76"/>
      <c r="E1" s="76"/>
      <c r="F1" s="76"/>
      <c r="G1" s="76"/>
      <c r="H1" s="76"/>
      <c r="I1" s="76"/>
    </row>
    <row r="2" spans="1:9" x14ac:dyDescent="0.25">
      <c r="A2" s="77" t="s">
        <v>1</v>
      </c>
      <c r="B2" s="78"/>
      <c r="C2" s="85" t="str">
        <f>'Stavební rozpočet'!D2</f>
        <v>Hala Přepeře-aktualizace</v>
      </c>
      <c r="D2" s="86"/>
      <c r="E2" s="83" t="s">
        <v>5</v>
      </c>
      <c r="F2" s="83" t="str">
        <f>'Stavební rozpočet'!J2</f>
        <v> Silnice LK a.s.</v>
      </c>
      <c r="G2" s="78"/>
      <c r="H2" s="83" t="s">
        <v>214</v>
      </c>
      <c r="I2" s="122" t="s">
        <v>53</v>
      </c>
    </row>
    <row r="3" spans="1:9" ht="15" customHeight="1" x14ac:dyDescent="0.25">
      <c r="A3" s="79"/>
      <c r="B3" s="80"/>
      <c r="C3" s="87"/>
      <c r="D3" s="87"/>
      <c r="E3" s="80"/>
      <c r="F3" s="80"/>
      <c r="G3" s="80"/>
      <c r="H3" s="80"/>
      <c r="I3" s="92"/>
    </row>
    <row r="4" spans="1:9" x14ac:dyDescent="0.25">
      <c r="A4" s="81" t="s">
        <v>7</v>
      </c>
      <c r="B4" s="80"/>
      <c r="C4" s="84" t="str">
        <f>'Stavební rozpočet'!D4</f>
        <v>Sklad na posypové materiály</v>
      </c>
      <c r="D4" s="80"/>
      <c r="E4" s="84" t="s">
        <v>10</v>
      </c>
      <c r="F4" s="84" t="str">
        <f>'Stavební rozpočet'!J4</f>
        <v> </v>
      </c>
      <c r="G4" s="80"/>
      <c r="H4" s="84" t="s">
        <v>214</v>
      </c>
      <c r="I4" s="92" t="s">
        <v>53</v>
      </c>
    </row>
    <row r="5" spans="1:9" ht="15" customHeight="1" x14ac:dyDescent="0.25">
      <c r="A5" s="79"/>
      <c r="B5" s="80"/>
      <c r="C5" s="80"/>
      <c r="D5" s="80"/>
      <c r="E5" s="80"/>
      <c r="F5" s="80"/>
      <c r="G5" s="80"/>
      <c r="H5" s="80"/>
      <c r="I5" s="92"/>
    </row>
    <row r="6" spans="1:9" x14ac:dyDescent="0.25">
      <c r="A6" s="81" t="s">
        <v>12</v>
      </c>
      <c r="B6" s="80"/>
      <c r="C6" s="84" t="str">
        <f>'Stavební rozpočet'!D6</f>
        <v>Přepeře u Turnova</v>
      </c>
      <c r="D6" s="80"/>
      <c r="E6" s="84" t="s">
        <v>15</v>
      </c>
      <c r="F6" s="120" t="str">
        <f>'Stavební rozpočet'!J6</f>
        <v> </v>
      </c>
      <c r="G6" s="121"/>
      <c r="H6" s="84" t="s">
        <v>214</v>
      </c>
      <c r="I6" s="123" t="s">
        <v>53</v>
      </c>
    </row>
    <row r="7" spans="1:9" ht="15" customHeight="1" x14ac:dyDescent="0.25">
      <c r="A7" s="79"/>
      <c r="B7" s="80"/>
      <c r="C7" s="80"/>
      <c r="D7" s="80"/>
      <c r="E7" s="80"/>
      <c r="F7" s="121"/>
      <c r="G7" s="121"/>
      <c r="H7" s="80"/>
      <c r="I7" s="123"/>
    </row>
    <row r="8" spans="1:9" x14ac:dyDescent="0.25">
      <c r="A8" s="81" t="s">
        <v>9</v>
      </c>
      <c r="B8" s="80"/>
      <c r="C8" s="84">
        <f>'Stavební rozpočet'!H4</f>
        <v>0</v>
      </c>
      <c r="D8" s="80"/>
      <c r="E8" s="84" t="s">
        <v>14</v>
      </c>
      <c r="F8" s="84" t="str">
        <f>'Stavební rozpočet'!H6</f>
        <v xml:space="preserve"> </v>
      </c>
      <c r="G8" s="80"/>
      <c r="H8" s="80" t="s">
        <v>215</v>
      </c>
      <c r="I8" s="124">
        <v>29</v>
      </c>
    </row>
    <row r="9" spans="1:9" x14ac:dyDescent="0.25">
      <c r="A9" s="79"/>
      <c r="B9" s="80"/>
      <c r="C9" s="80"/>
      <c r="D9" s="80"/>
      <c r="E9" s="80"/>
      <c r="F9" s="80"/>
      <c r="G9" s="80"/>
      <c r="H9" s="80"/>
      <c r="I9" s="92"/>
    </row>
    <row r="10" spans="1:9" x14ac:dyDescent="0.25">
      <c r="A10" s="81" t="s">
        <v>16</v>
      </c>
      <c r="B10" s="80"/>
      <c r="C10" s="84" t="str">
        <f>'Stavební rozpočet'!D8</f>
        <v xml:space="preserve"> </v>
      </c>
      <c r="D10" s="80"/>
      <c r="E10" s="84" t="s">
        <v>18</v>
      </c>
      <c r="F10" s="84" t="str">
        <f>'Stavební rozpočet'!J8</f>
        <v> </v>
      </c>
      <c r="G10" s="80"/>
      <c r="H10" s="80" t="s">
        <v>216</v>
      </c>
      <c r="I10" s="117">
        <f>'Stavební rozpočet'!H8</f>
        <v>45742</v>
      </c>
    </row>
    <row r="11" spans="1:9" x14ac:dyDescent="0.25">
      <c r="A11" s="129"/>
      <c r="B11" s="112"/>
      <c r="C11" s="112"/>
      <c r="D11" s="112"/>
      <c r="E11" s="112"/>
      <c r="F11" s="112"/>
      <c r="G11" s="112"/>
      <c r="H11" s="112"/>
      <c r="I11" s="125"/>
    </row>
    <row r="12" spans="1:9" ht="23.25" x14ac:dyDescent="0.25">
      <c r="A12" s="126" t="s">
        <v>217</v>
      </c>
      <c r="B12" s="126"/>
      <c r="C12" s="126"/>
      <c r="D12" s="126"/>
      <c r="E12" s="126"/>
      <c r="F12" s="126"/>
      <c r="G12" s="126"/>
      <c r="H12" s="126"/>
      <c r="I12" s="126"/>
    </row>
    <row r="13" spans="1:9" ht="26.25" customHeight="1" x14ac:dyDescent="0.25">
      <c r="A13" s="24" t="s">
        <v>218</v>
      </c>
      <c r="B13" s="127" t="s">
        <v>219</v>
      </c>
      <c r="C13" s="128"/>
      <c r="D13" s="25" t="s">
        <v>220</v>
      </c>
      <c r="E13" s="127" t="s">
        <v>221</v>
      </c>
      <c r="F13" s="128"/>
      <c r="G13" s="25" t="s">
        <v>222</v>
      </c>
      <c r="H13" s="127" t="s">
        <v>223</v>
      </c>
      <c r="I13" s="128"/>
    </row>
    <row r="14" spans="1:9" ht="15.75" x14ac:dyDescent="0.25">
      <c r="A14" s="26" t="s">
        <v>224</v>
      </c>
      <c r="B14" s="37" t="s">
        <v>225</v>
      </c>
      <c r="C14" s="66">
        <f>SUM('Stavební rozpočet'!AB12:AB58)</f>
        <v>0</v>
      </c>
      <c r="D14" s="136" t="s">
        <v>226</v>
      </c>
      <c r="E14" s="137"/>
      <c r="F14" s="66">
        <f>VORN!I15</f>
        <v>0</v>
      </c>
      <c r="G14" s="136" t="s">
        <v>227</v>
      </c>
      <c r="H14" s="137"/>
      <c r="I14" s="67">
        <f>VORN!I21</f>
        <v>0</v>
      </c>
    </row>
    <row r="15" spans="1:9" ht="15.75" x14ac:dyDescent="0.25">
      <c r="A15" s="27" t="s">
        <v>53</v>
      </c>
      <c r="B15" s="37" t="s">
        <v>36</v>
      </c>
      <c r="C15" s="66">
        <f>SUM('Stavební rozpočet'!AC12:AC58)</f>
        <v>0</v>
      </c>
      <c r="D15" s="136" t="s">
        <v>228</v>
      </c>
      <c r="E15" s="137"/>
      <c r="F15" s="66">
        <f>VORN!I16</f>
        <v>0</v>
      </c>
      <c r="G15" s="136" t="s">
        <v>229</v>
      </c>
      <c r="H15" s="137"/>
      <c r="I15" s="67">
        <f>VORN!I22</f>
        <v>0</v>
      </c>
    </row>
    <row r="16" spans="1:9" ht="15.75" x14ac:dyDescent="0.25">
      <c r="A16" s="26" t="s">
        <v>230</v>
      </c>
      <c r="B16" s="37" t="s">
        <v>225</v>
      </c>
      <c r="C16" s="66">
        <f>SUM('Stavební rozpočet'!AD12:AD58)</f>
        <v>0</v>
      </c>
      <c r="D16" s="136" t="s">
        <v>231</v>
      </c>
      <c r="E16" s="137"/>
      <c r="F16" s="66">
        <f>VORN!I17</f>
        <v>0</v>
      </c>
      <c r="G16" s="136" t="s">
        <v>195</v>
      </c>
      <c r="H16" s="137"/>
      <c r="I16" s="67">
        <f>VORN!I23</f>
        <v>0</v>
      </c>
    </row>
    <row r="17" spans="1:9" ht="15.75" x14ac:dyDescent="0.25">
      <c r="A17" s="27" t="s">
        <v>53</v>
      </c>
      <c r="B17" s="37" t="s">
        <v>36</v>
      </c>
      <c r="C17" s="66">
        <f>SUM('Stavební rozpočet'!AE12:AE58)</f>
        <v>0</v>
      </c>
      <c r="D17" s="136" t="s">
        <v>53</v>
      </c>
      <c r="E17" s="137"/>
      <c r="F17" s="67" t="s">
        <v>53</v>
      </c>
      <c r="G17" s="136" t="s">
        <v>232</v>
      </c>
      <c r="H17" s="137"/>
      <c r="I17" s="67">
        <f>VORN!I24</f>
        <v>0</v>
      </c>
    </row>
    <row r="18" spans="1:9" ht="15.75" x14ac:dyDescent="0.25">
      <c r="A18" s="26" t="s">
        <v>233</v>
      </c>
      <c r="B18" s="37" t="s">
        <v>225</v>
      </c>
      <c r="C18" s="66">
        <f>SUM('Stavební rozpočet'!AF12:AF58)</f>
        <v>0</v>
      </c>
      <c r="D18" s="136" t="s">
        <v>53</v>
      </c>
      <c r="E18" s="137"/>
      <c r="F18" s="67" t="s">
        <v>53</v>
      </c>
      <c r="G18" s="136" t="s">
        <v>234</v>
      </c>
      <c r="H18" s="137"/>
      <c r="I18" s="67">
        <f>VORN!I25</f>
        <v>0</v>
      </c>
    </row>
    <row r="19" spans="1:9" ht="15.75" x14ac:dyDescent="0.25">
      <c r="A19" s="27" t="s">
        <v>53</v>
      </c>
      <c r="B19" s="37" t="s">
        <v>36</v>
      </c>
      <c r="C19" s="66">
        <f>SUM('Stavební rozpočet'!AG12:AG58)</f>
        <v>0</v>
      </c>
      <c r="D19" s="136" t="s">
        <v>53</v>
      </c>
      <c r="E19" s="137"/>
      <c r="F19" s="67" t="s">
        <v>53</v>
      </c>
      <c r="G19" s="136" t="s">
        <v>235</v>
      </c>
      <c r="H19" s="137"/>
      <c r="I19" s="67">
        <f>VORN!I26</f>
        <v>0</v>
      </c>
    </row>
    <row r="20" spans="1:9" ht="15.75" x14ac:dyDescent="0.25">
      <c r="A20" s="130" t="s">
        <v>178</v>
      </c>
      <c r="B20" s="131"/>
      <c r="C20" s="66">
        <f>SUM('Stavební rozpočet'!AH12:AH58)</f>
        <v>0</v>
      </c>
      <c r="D20" s="136" t="s">
        <v>53</v>
      </c>
      <c r="E20" s="137"/>
      <c r="F20" s="67" t="s">
        <v>53</v>
      </c>
      <c r="G20" s="136" t="s">
        <v>53</v>
      </c>
      <c r="H20" s="137"/>
      <c r="I20" s="67" t="s">
        <v>53</v>
      </c>
    </row>
    <row r="21" spans="1:9" ht="15.75" x14ac:dyDescent="0.25">
      <c r="A21" s="132" t="s">
        <v>236</v>
      </c>
      <c r="B21" s="133"/>
      <c r="C21" s="68">
        <f>SUM('Stavební rozpočet'!Z12:Z58)</f>
        <v>0</v>
      </c>
      <c r="D21" s="138" t="s">
        <v>53</v>
      </c>
      <c r="E21" s="139"/>
      <c r="F21" s="69" t="s">
        <v>53</v>
      </c>
      <c r="G21" s="138" t="s">
        <v>53</v>
      </c>
      <c r="H21" s="139"/>
      <c r="I21" s="69" t="s">
        <v>53</v>
      </c>
    </row>
    <row r="22" spans="1:9" ht="16.5" customHeight="1" x14ac:dyDescent="0.25">
      <c r="A22" s="134" t="s">
        <v>237</v>
      </c>
      <c r="B22" s="135"/>
      <c r="C22" s="28">
        <f>ROUND(SUM(C14:C21),2)</f>
        <v>0</v>
      </c>
      <c r="D22" s="140" t="s">
        <v>238</v>
      </c>
      <c r="E22" s="135"/>
      <c r="F22" s="28">
        <f>SUM(F14:F21)</f>
        <v>0</v>
      </c>
      <c r="G22" s="140" t="s">
        <v>239</v>
      </c>
      <c r="H22" s="135"/>
      <c r="I22" s="28">
        <f>SUM(I14:I21)</f>
        <v>0</v>
      </c>
    </row>
    <row r="23" spans="1:9" ht="15.75" x14ac:dyDescent="0.25">
      <c r="D23" s="130" t="s">
        <v>240</v>
      </c>
      <c r="E23" s="131"/>
      <c r="F23" s="70">
        <v>0</v>
      </c>
      <c r="G23" s="141" t="s">
        <v>241</v>
      </c>
      <c r="H23" s="131"/>
      <c r="I23" s="66">
        <v>0</v>
      </c>
    </row>
    <row r="24" spans="1:9" ht="15.75" x14ac:dyDescent="0.25">
      <c r="G24" s="130" t="s">
        <v>242</v>
      </c>
      <c r="H24" s="131"/>
      <c r="I24" s="66">
        <f>vorn_sum</f>
        <v>0</v>
      </c>
    </row>
    <row r="25" spans="1:9" ht="15.75" x14ac:dyDescent="0.25">
      <c r="G25" s="130" t="s">
        <v>243</v>
      </c>
      <c r="H25" s="131"/>
      <c r="I25" s="66">
        <v>0</v>
      </c>
    </row>
    <row r="27" spans="1:9" ht="16.5" thickBot="1" x14ac:dyDescent="0.3">
      <c r="A27" s="142" t="s">
        <v>244</v>
      </c>
      <c r="B27" s="143"/>
      <c r="C27" s="71">
        <f>ROUND(SUM('Stavební rozpočet'!AJ12:AJ58),2)</f>
        <v>0</v>
      </c>
    </row>
    <row r="28" spans="1:9" ht="16.5" thickBot="1" x14ac:dyDescent="0.3">
      <c r="A28" s="144" t="s">
        <v>245</v>
      </c>
      <c r="B28" s="145"/>
      <c r="C28" s="29">
        <f>ROUND(SUM('Stavební rozpočet'!AK12:AK58),2)</f>
        <v>0</v>
      </c>
      <c r="D28" s="143" t="s">
        <v>246</v>
      </c>
      <c r="E28" s="143"/>
      <c r="F28" s="71">
        <f>ROUND(C28*(12/100),2)</f>
        <v>0</v>
      </c>
      <c r="G28" s="143" t="s">
        <v>247</v>
      </c>
      <c r="H28" s="143"/>
      <c r="I28" s="73">
        <f>ROUND(SUM(C27:C29),2)</f>
        <v>0</v>
      </c>
    </row>
    <row r="29" spans="1:9" ht="15.75" x14ac:dyDescent="0.25">
      <c r="A29" s="144" t="s">
        <v>248</v>
      </c>
      <c r="B29" s="145"/>
      <c r="C29" s="29">
        <f>ROUND(SUM('Stavební rozpočet'!AL12:AL58),2)</f>
        <v>0</v>
      </c>
      <c r="D29" s="145" t="s">
        <v>249</v>
      </c>
      <c r="E29" s="145"/>
      <c r="F29" s="29">
        <f>ROUND(C29*(21/100),2)</f>
        <v>0</v>
      </c>
      <c r="G29" s="145" t="s">
        <v>250</v>
      </c>
      <c r="H29" s="145"/>
      <c r="I29" s="29">
        <f>ROUND(SUM(F28:F29)+I28,2)</f>
        <v>0</v>
      </c>
    </row>
    <row r="31" spans="1:9" x14ac:dyDescent="0.25">
      <c r="A31" s="152" t="s">
        <v>251</v>
      </c>
      <c r="B31" s="146"/>
      <c r="C31" s="147"/>
      <c r="D31" s="146" t="s">
        <v>252</v>
      </c>
      <c r="E31" s="146"/>
      <c r="F31" s="147"/>
      <c r="G31" s="146" t="s">
        <v>253</v>
      </c>
      <c r="H31" s="146"/>
      <c r="I31" s="147"/>
    </row>
    <row r="32" spans="1:9" x14ac:dyDescent="0.25">
      <c r="A32" s="153" t="s">
        <v>53</v>
      </c>
      <c r="B32" s="148"/>
      <c r="C32" s="149"/>
      <c r="D32" s="138" t="s">
        <v>53</v>
      </c>
      <c r="E32" s="148"/>
      <c r="F32" s="149"/>
      <c r="G32" s="138" t="s">
        <v>53</v>
      </c>
      <c r="H32" s="148"/>
      <c r="I32" s="149"/>
    </row>
    <row r="33" spans="1:9" x14ac:dyDescent="0.25">
      <c r="A33" s="153" t="s">
        <v>53</v>
      </c>
      <c r="B33" s="148"/>
      <c r="C33" s="149"/>
      <c r="D33" s="138" t="s">
        <v>53</v>
      </c>
      <c r="E33" s="148"/>
      <c r="F33" s="149"/>
      <c r="G33" s="138" t="s">
        <v>53</v>
      </c>
      <c r="H33" s="148"/>
      <c r="I33" s="149"/>
    </row>
    <row r="34" spans="1:9" x14ac:dyDescent="0.25">
      <c r="A34" s="153" t="s">
        <v>53</v>
      </c>
      <c r="B34" s="148"/>
      <c r="C34" s="149"/>
      <c r="D34" s="138" t="s">
        <v>53</v>
      </c>
      <c r="E34" s="148"/>
      <c r="F34" s="149"/>
      <c r="G34" s="138" t="s">
        <v>53</v>
      </c>
      <c r="H34" s="148"/>
      <c r="I34" s="149"/>
    </row>
    <row r="35" spans="1:9" x14ac:dyDescent="0.25">
      <c r="A35" s="154" t="s">
        <v>254</v>
      </c>
      <c r="B35" s="150"/>
      <c r="C35" s="151"/>
      <c r="D35" s="150" t="s">
        <v>254</v>
      </c>
      <c r="E35" s="150"/>
      <c r="F35" s="151"/>
      <c r="G35" s="150" t="s">
        <v>254</v>
      </c>
      <c r="H35" s="150"/>
      <c r="I35" s="151"/>
    </row>
    <row r="36" spans="1:9" x14ac:dyDescent="0.25">
      <c r="A36" s="72" t="s">
        <v>204</v>
      </c>
    </row>
    <row r="37" spans="1:9" ht="12.75" customHeight="1" x14ac:dyDescent="0.25">
      <c r="A37" s="84" t="s">
        <v>53</v>
      </c>
      <c r="B37" s="80"/>
      <c r="C37" s="80"/>
      <c r="D37" s="80"/>
      <c r="E37" s="80"/>
      <c r="F37" s="80"/>
      <c r="G37" s="80"/>
      <c r="H37" s="80"/>
      <c r="I37" s="80"/>
    </row>
  </sheetData>
  <sheetProtection algorithmName="SHA-512" hashValue="Lozu5S5UT/GmtRqZkUjf2zj744ZRuobhDaKT5X7wDSN2X5AxX3zA4zdMqeSwgw9em4vALgq81IPVNuIGDGNYyw==" saltValue="A8NCfcX+2Ha7BnBpnK+Amw==" spinCount="100000" sheet="1" objects="1" scenarios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9" t="s">
        <v>193</v>
      </c>
      <c r="B1" s="76"/>
      <c r="C1" s="76"/>
      <c r="D1" s="76"/>
      <c r="E1" s="76"/>
      <c r="F1" s="76"/>
      <c r="G1" s="76"/>
      <c r="H1" s="76"/>
      <c r="I1" s="76"/>
    </row>
    <row r="2" spans="1:9" x14ac:dyDescent="0.25">
      <c r="A2" s="77" t="s">
        <v>1</v>
      </c>
      <c r="B2" s="78"/>
      <c r="C2" s="85" t="str">
        <f>'Stavební rozpočet'!D2</f>
        <v>Hala Přepeře-aktualizace</v>
      </c>
      <c r="D2" s="86"/>
      <c r="E2" s="83" t="s">
        <v>5</v>
      </c>
      <c r="F2" s="83" t="str">
        <f>'Stavební rozpočet'!J2</f>
        <v> Silnice LK a.s.</v>
      </c>
      <c r="G2" s="78"/>
      <c r="H2" s="83" t="s">
        <v>214</v>
      </c>
      <c r="I2" s="122" t="s">
        <v>53</v>
      </c>
    </row>
    <row r="3" spans="1:9" ht="15" customHeight="1" x14ac:dyDescent="0.25">
      <c r="A3" s="79"/>
      <c r="B3" s="80"/>
      <c r="C3" s="87"/>
      <c r="D3" s="87"/>
      <c r="E3" s="80"/>
      <c r="F3" s="80"/>
      <c r="G3" s="80"/>
      <c r="H3" s="80"/>
      <c r="I3" s="92"/>
    </row>
    <row r="4" spans="1:9" x14ac:dyDescent="0.25">
      <c r="A4" s="81" t="s">
        <v>7</v>
      </c>
      <c r="B4" s="80"/>
      <c r="C4" s="84" t="str">
        <f>'Stavební rozpočet'!D4</f>
        <v>Sklad na posypové materiály</v>
      </c>
      <c r="D4" s="80"/>
      <c r="E4" s="84" t="s">
        <v>10</v>
      </c>
      <c r="F4" s="84" t="str">
        <f>'Stavební rozpočet'!J4</f>
        <v> </v>
      </c>
      <c r="G4" s="80"/>
      <c r="H4" s="84" t="s">
        <v>214</v>
      </c>
      <c r="I4" s="92" t="s">
        <v>53</v>
      </c>
    </row>
    <row r="5" spans="1:9" ht="15" customHeight="1" x14ac:dyDescent="0.25">
      <c r="A5" s="79"/>
      <c r="B5" s="80"/>
      <c r="C5" s="80"/>
      <c r="D5" s="80"/>
      <c r="E5" s="80"/>
      <c r="F5" s="80"/>
      <c r="G5" s="80"/>
      <c r="H5" s="80"/>
      <c r="I5" s="92"/>
    </row>
    <row r="6" spans="1:9" x14ac:dyDescent="0.25">
      <c r="A6" s="81" t="s">
        <v>12</v>
      </c>
      <c r="B6" s="80"/>
      <c r="C6" s="84" t="str">
        <f>'Stavební rozpočet'!D6</f>
        <v>Přepeře u Turnova</v>
      </c>
      <c r="D6" s="80"/>
      <c r="E6" s="84" t="s">
        <v>15</v>
      </c>
      <c r="F6" s="84" t="str">
        <f>'Stavební rozpočet'!J6</f>
        <v> </v>
      </c>
      <c r="G6" s="80"/>
      <c r="H6" s="84" t="s">
        <v>214</v>
      </c>
      <c r="I6" s="92" t="s">
        <v>53</v>
      </c>
    </row>
    <row r="7" spans="1:9" ht="15" customHeight="1" x14ac:dyDescent="0.25">
      <c r="A7" s="79"/>
      <c r="B7" s="80"/>
      <c r="C7" s="80"/>
      <c r="D7" s="80"/>
      <c r="E7" s="80"/>
      <c r="F7" s="80"/>
      <c r="G7" s="80"/>
      <c r="H7" s="80"/>
      <c r="I7" s="92"/>
    </row>
    <row r="8" spans="1:9" x14ac:dyDescent="0.25">
      <c r="A8" s="81" t="s">
        <v>9</v>
      </c>
      <c r="B8" s="80"/>
      <c r="C8" s="84">
        <f>'Stavební rozpočet'!H4</f>
        <v>0</v>
      </c>
      <c r="D8" s="80"/>
      <c r="E8" s="84" t="s">
        <v>14</v>
      </c>
      <c r="F8" s="84" t="str">
        <f>'Stavební rozpočet'!H6</f>
        <v xml:space="preserve"> </v>
      </c>
      <c r="G8" s="80"/>
      <c r="H8" s="80" t="s">
        <v>215</v>
      </c>
      <c r="I8" s="124">
        <v>29</v>
      </c>
    </row>
    <row r="9" spans="1:9" x14ac:dyDescent="0.25">
      <c r="A9" s="79"/>
      <c r="B9" s="80"/>
      <c r="C9" s="80"/>
      <c r="D9" s="80"/>
      <c r="E9" s="80"/>
      <c r="F9" s="80"/>
      <c r="G9" s="80"/>
      <c r="H9" s="80"/>
      <c r="I9" s="92"/>
    </row>
    <row r="10" spans="1:9" x14ac:dyDescent="0.25">
      <c r="A10" s="81" t="s">
        <v>16</v>
      </c>
      <c r="B10" s="80"/>
      <c r="C10" s="84" t="str">
        <f>'Stavební rozpočet'!D8</f>
        <v xml:space="preserve"> </v>
      </c>
      <c r="D10" s="80"/>
      <c r="E10" s="84" t="s">
        <v>18</v>
      </c>
      <c r="F10" s="84" t="str">
        <f>'Stavební rozpočet'!J8</f>
        <v> </v>
      </c>
      <c r="G10" s="80"/>
      <c r="H10" s="80" t="s">
        <v>216</v>
      </c>
      <c r="I10" s="114">
        <f>'Stavební rozpočet'!H8</f>
        <v>45742</v>
      </c>
    </row>
    <row r="11" spans="1:9" x14ac:dyDescent="0.25">
      <c r="A11" s="129"/>
      <c r="B11" s="112"/>
      <c r="C11" s="112"/>
      <c r="D11" s="112"/>
      <c r="E11" s="112"/>
      <c r="F11" s="112"/>
      <c r="G11" s="112"/>
      <c r="H11" s="112"/>
      <c r="I11" s="155"/>
    </row>
    <row r="13" spans="1:9" ht="15.75" x14ac:dyDescent="0.25">
      <c r="A13" s="156" t="s">
        <v>255</v>
      </c>
      <c r="B13" s="156"/>
      <c r="C13" s="156"/>
      <c r="D13" s="156"/>
      <c r="E13" s="156"/>
    </row>
    <row r="14" spans="1:9" x14ac:dyDescent="0.25">
      <c r="A14" s="157" t="s">
        <v>256</v>
      </c>
      <c r="B14" s="158"/>
      <c r="C14" s="158"/>
      <c r="D14" s="158"/>
      <c r="E14" s="159"/>
      <c r="F14" s="30" t="s">
        <v>257</v>
      </c>
      <c r="G14" s="30" t="s">
        <v>258</v>
      </c>
      <c r="H14" s="30" t="s">
        <v>259</v>
      </c>
      <c r="I14" s="30" t="s">
        <v>257</v>
      </c>
    </row>
    <row r="15" spans="1:9" x14ac:dyDescent="0.25">
      <c r="A15" s="129" t="s">
        <v>226</v>
      </c>
      <c r="B15" s="112"/>
      <c r="C15" s="112"/>
      <c r="D15" s="112"/>
      <c r="E15" s="155"/>
      <c r="F15" s="65">
        <v>0</v>
      </c>
      <c r="G15" s="40" t="s">
        <v>53</v>
      </c>
      <c r="H15" s="40" t="s">
        <v>53</v>
      </c>
      <c r="I15" s="65">
        <f>F15</f>
        <v>0</v>
      </c>
    </row>
    <row r="16" spans="1:9" x14ac:dyDescent="0.25">
      <c r="A16" s="129" t="s">
        <v>228</v>
      </c>
      <c r="B16" s="112"/>
      <c r="C16" s="112"/>
      <c r="D16" s="112"/>
      <c r="E16" s="155"/>
      <c r="F16" s="65">
        <v>0</v>
      </c>
      <c r="G16" s="40" t="s">
        <v>53</v>
      </c>
      <c r="H16" s="40" t="s">
        <v>53</v>
      </c>
      <c r="I16" s="65">
        <f>F16</f>
        <v>0</v>
      </c>
    </row>
    <row r="17" spans="1:9" x14ac:dyDescent="0.25">
      <c r="A17" s="79" t="s">
        <v>231</v>
      </c>
      <c r="B17" s="82"/>
      <c r="C17" s="82"/>
      <c r="D17" s="82"/>
      <c r="E17" s="92"/>
      <c r="F17" s="31">
        <v>0</v>
      </c>
      <c r="G17" s="32" t="s">
        <v>53</v>
      </c>
      <c r="H17" s="32" t="s">
        <v>53</v>
      </c>
      <c r="I17" s="31">
        <f>F17</f>
        <v>0</v>
      </c>
    </row>
    <row r="18" spans="1:9" x14ac:dyDescent="0.25">
      <c r="A18" s="160" t="s">
        <v>260</v>
      </c>
      <c r="B18" s="161"/>
      <c r="C18" s="161"/>
      <c r="D18" s="161"/>
      <c r="E18" s="162"/>
      <c r="F18" s="33" t="s">
        <v>53</v>
      </c>
      <c r="G18" s="34" t="s">
        <v>53</v>
      </c>
      <c r="H18" s="34" t="s">
        <v>53</v>
      </c>
      <c r="I18" s="35">
        <f>SUM(I15:I17)</f>
        <v>0</v>
      </c>
    </row>
    <row r="20" spans="1:9" x14ac:dyDescent="0.25">
      <c r="A20" s="157" t="s">
        <v>223</v>
      </c>
      <c r="B20" s="158"/>
      <c r="C20" s="158"/>
      <c r="D20" s="158"/>
      <c r="E20" s="159"/>
      <c r="F20" s="30" t="s">
        <v>257</v>
      </c>
      <c r="G20" s="30" t="s">
        <v>258</v>
      </c>
      <c r="H20" s="30" t="s">
        <v>259</v>
      </c>
      <c r="I20" s="30" t="s">
        <v>257</v>
      </c>
    </row>
    <row r="21" spans="1:9" x14ac:dyDescent="0.25">
      <c r="A21" s="129" t="s">
        <v>227</v>
      </c>
      <c r="B21" s="112"/>
      <c r="C21" s="112"/>
      <c r="D21" s="112"/>
      <c r="E21" s="155"/>
      <c r="F21" s="65">
        <v>0</v>
      </c>
      <c r="G21" s="40" t="s">
        <v>53</v>
      </c>
      <c r="H21" s="40" t="s">
        <v>53</v>
      </c>
      <c r="I21" s="65">
        <f t="shared" ref="I21:I26" si="0">F21</f>
        <v>0</v>
      </c>
    </row>
    <row r="22" spans="1:9" x14ac:dyDescent="0.25">
      <c r="A22" s="129" t="s">
        <v>229</v>
      </c>
      <c r="B22" s="112"/>
      <c r="C22" s="112"/>
      <c r="D22" s="112"/>
      <c r="E22" s="155"/>
      <c r="F22" s="65">
        <v>0</v>
      </c>
      <c r="G22" s="40" t="s">
        <v>53</v>
      </c>
      <c r="H22" s="40" t="s">
        <v>53</v>
      </c>
      <c r="I22" s="65">
        <f t="shared" si="0"/>
        <v>0</v>
      </c>
    </row>
    <row r="23" spans="1:9" x14ac:dyDescent="0.25">
      <c r="A23" s="129" t="s">
        <v>195</v>
      </c>
      <c r="B23" s="112"/>
      <c r="C23" s="112"/>
      <c r="D23" s="112"/>
      <c r="E23" s="155"/>
      <c r="F23" s="65">
        <v>0</v>
      </c>
      <c r="G23" s="40" t="s">
        <v>53</v>
      </c>
      <c r="H23" s="40" t="s">
        <v>53</v>
      </c>
      <c r="I23" s="65">
        <f t="shared" si="0"/>
        <v>0</v>
      </c>
    </row>
    <row r="24" spans="1:9" x14ac:dyDescent="0.25">
      <c r="A24" s="129" t="s">
        <v>232</v>
      </c>
      <c r="B24" s="112"/>
      <c r="C24" s="112"/>
      <c r="D24" s="112"/>
      <c r="E24" s="155"/>
      <c r="F24" s="65">
        <v>0</v>
      </c>
      <c r="G24" s="40" t="s">
        <v>53</v>
      </c>
      <c r="H24" s="40" t="s">
        <v>53</v>
      </c>
      <c r="I24" s="65">
        <f t="shared" si="0"/>
        <v>0</v>
      </c>
    </row>
    <row r="25" spans="1:9" x14ac:dyDescent="0.25">
      <c r="A25" s="129" t="s">
        <v>234</v>
      </c>
      <c r="B25" s="112"/>
      <c r="C25" s="112"/>
      <c r="D25" s="112"/>
      <c r="E25" s="155"/>
      <c r="F25" s="65">
        <v>0</v>
      </c>
      <c r="G25" s="40" t="s">
        <v>53</v>
      </c>
      <c r="H25" s="40" t="s">
        <v>53</v>
      </c>
      <c r="I25" s="65">
        <f t="shared" si="0"/>
        <v>0</v>
      </c>
    </row>
    <row r="26" spans="1:9" x14ac:dyDescent="0.25">
      <c r="A26" s="79" t="s">
        <v>235</v>
      </c>
      <c r="B26" s="82"/>
      <c r="C26" s="82"/>
      <c r="D26" s="82"/>
      <c r="E26" s="92"/>
      <c r="F26" s="31">
        <v>0</v>
      </c>
      <c r="G26" s="32" t="s">
        <v>53</v>
      </c>
      <c r="H26" s="32" t="s">
        <v>53</v>
      </c>
      <c r="I26" s="31">
        <f t="shared" si="0"/>
        <v>0</v>
      </c>
    </row>
    <row r="27" spans="1:9" x14ac:dyDescent="0.25">
      <c r="A27" s="160" t="s">
        <v>261</v>
      </c>
      <c r="B27" s="161"/>
      <c r="C27" s="161"/>
      <c r="D27" s="161"/>
      <c r="E27" s="162"/>
      <c r="F27" s="33" t="s">
        <v>53</v>
      </c>
      <c r="G27" s="34" t="s">
        <v>53</v>
      </c>
      <c r="H27" s="34" t="s">
        <v>53</v>
      </c>
      <c r="I27" s="35">
        <f>SUM(I21:I26)</f>
        <v>0</v>
      </c>
    </row>
    <row r="29" spans="1:9" ht="15.75" x14ac:dyDescent="0.25">
      <c r="A29" s="163" t="s">
        <v>262</v>
      </c>
      <c r="B29" s="164"/>
      <c r="C29" s="164"/>
      <c r="D29" s="164"/>
      <c r="E29" s="165"/>
      <c r="F29" s="166">
        <f>I18+I27</f>
        <v>0</v>
      </c>
      <c r="G29" s="167"/>
      <c r="H29" s="167"/>
      <c r="I29" s="168"/>
    </row>
    <row r="33" spans="1:9" ht="15.75" x14ac:dyDescent="0.25">
      <c r="A33" s="156" t="s">
        <v>263</v>
      </c>
      <c r="B33" s="156"/>
      <c r="C33" s="156"/>
      <c r="D33" s="156"/>
      <c r="E33" s="156"/>
    </row>
    <row r="34" spans="1:9" x14ac:dyDescent="0.25">
      <c r="A34" s="157" t="s">
        <v>264</v>
      </c>
      <c r="B34" s="158"/>
      <c r="C34" s="158"/>
      <c r="D34" s="158"/>
      <c r="E34" s="159"/>
      <c r="F34" s="30" t="s">
        <v>257</v>
      </c>
      <c r="G34" s="30" t="s">
        <v>258</v>
      </c>
      <c r="H34" s="30" t="s">
        <v>259</v>
      </c>
      <c r="I34" s="30" t="s">
        <v>257</v>
      </c>
    </row>
    <row r="35" spans="1:9" x14ac:dyDescent="0.25">
      <c r="A35" s="129" t="s">
        <v>265</v>
      </c>
      <c r="B35" s="112"/>
      <c r="C35" s="112"/>
      <c r="D35" s="112"/>
      <c r="E35" s="155"/>
      <c r="F35" s="65">
        <f>SUM('Stavební rozpočet'!BM12:BM58)</f>
        <v>0</v>
      </c>
      <c r="G35" s="40" t="s">
        <v>53</v>
      </c>
      <c r="H35" s="40" t="s">
        <v>53</v>
      </c>
      <c r="I35" s="65">
        <f t="shared" ref="I35:I44" si="1">F35</f>
        <v>0</v>
      </c>
    </row>
    <row r="36" spans="1:9" x14ac:dyDescent="0.25">
      <c r="A36" s="129" t="s">
        <v>266</v>
      </c>
      <c r="B36" s="112"/>
      <c r="C36" s="112"/>
      <c r="D36" s="112"/>
      <c r="E36" s="155"/>
      <c r="F36" s="65">
        <f>SUM('Stavební rozpočet'!BN12:BN58)</f>
        <v>0</v>
      </c>
      <c r="G36" s="40" t="s">
        <v>53</v>
      </c>
      <c r="H36" s="40" t="s">
        <v>53</v>
      </c>
      <c r="I36" s="65">
        <f t="shared" si="1"/>
        <v>0</v>
      </c>
    </row>
    <row r="37" spans="1:9" x14ac:dyDescent="0.25">
      <c r="A37" s="129" t="s">
        <v>227</v>
      </c>
      <c r="B37" s="112"/>
      <c r="C37" s="112"/>
      <c r="D37" s="112"/>
      <c r="E37" s="155"/>
      <c r="F37" s="65">
        <f>SUM('Stavební rozpočet'!BO12:BO58)</f>
        <v>0</v>
      </c>
      <c r="G37" s="40" t="s">
        <v>53</v>
      </c>
      <c r="H37" s="40" t="s">
        <v>53</v>
      </c>
      <c r="I37" s="65">
        <f t="shared" si="1"/>
        <v>0</v>
      </c>
    </row>
    <row r="38" spans="1:9" x14ac:dyDescent="0.25">
      <c r="A38" s="129" t="s">
        <v>267</v>
      </c>
      <c r="B38" s="112"/>
      <c r="C38" s="112"/>
      <c r="D38" s="112"/>
      <c r="E38" s="155"/>
      <c r="F38" s="65">
        <f>SUM('Stavební rozpočet'!BP12:BP58)</f>
        <v>0</v>
      </c>
      <c r="G38" s="40" t="s">
        <v>53</v>
      </c>
      <c r="H38" s="40" t="s">
        <v>53</v>
      </c>
      <c r="I38" s="65">
        <f t="shared" si="1"/>
        <v>0</v>
      </c>
    </row>
    <row r="39" spans="1:9" x14ac:dyDescent="0.25">
      <c r="A39" s="129" t="s">
        <v>268</v>
      </c>
      <c r="B39" s="112"/>
      <c r="C39" s="112"/>
      <c r="D39" s="112"/>
      <c r="E39" s="155"/>
      <c r="F39" s="65">
        <f>SUM('Stavební rozpočet'!BQ12:BQ58)</f>
        <v>0</v>
      </c>
      <c r="G39" s="40" t="s">
        <v>53</v>
      </c>
      <c r="H39" s="40" t="s">
        <v>53</v>
      </c>
      <c r="I39" s="65">
        <f t="shared" si="1"/>
        <v>0</v>
      </c>
    </row>
    <row r="40" spans="1:9" x14ac:dyDescent="0.25">
      <c r="A40" s="129" t="s">
        <v>195</v>
      </c>
      <c r="B40" s="112"/>
      <c r="C40" s="112"/>
      <c r="D40" s="112"/>
      <c r="E40" s="155"/>
      <c r="F40" s="65">
        <f>SUM('Stavební rozpočet'!BR12:BR58)</f>
        <v>0</v>
      </c>
      <c r="G40" s="40" t="s">
        <v>53</v>
      </c>
      <c r="H40" s="40" t="s">
        <v>53</v>
      </c>
      <c r="I40" s="65">
        <f t="shared" si="1"/>
        <v>0</v>
      </c>
    </row>
    <row r="41" spans="1:9" x14ac:dyDescent="0.25">
      <c r="A41" s="129" t="s">
        <v>232</v>
      </c>
      <c r="B41" s="112"/>
      <c r="C41" s="112"/>
      <c r="D41" s="112"/>
      <c r="E41" s="155"/>
      <c r="F41" s="65">
        <f>SUM('Stavební rozpočet'!BS12:BS58)</f>
        <v>0</v>
      </c>
      <c r="G41" s="40" t="s">
        <v>53</v>
      </c>
      <c r="H41" s="40" t="s">
        <v>53</v>
      </c>
      <c r="I41" s="65">
        <f t="shared" si="1"/>
        <v>0</v>
      </c>
    </row>
    <row r="42" spans="1:9" x14ac:dyDescent="0.25">
      <c r="A42" s="129" t="s">
        <v>269</v>
      </c>
      <c r="B42" s="112"/>
      <c r="C42" s="112"/>
      <c r="D42" s="112"/>
      <c r="E42" s="155"/>
      <c r="F42" s="65">
        <f>SUM('Stavební rozpočet'!BT12:BT58)</f>
        <v>0</v>
      </c>
      <c r="G42" s="40" t="s">
        <v>53</v>
      </c>
      <c r="H42" s="40" t="s">
        <v>53</v>
      </c>
      <c r="I42" s="65">
        <f t="shared" si="1"/>
        <v>0</v>
      </c>
    </row>
    <row r="43" spans="1:9" x14ac:dyDescent="0.25">
      <c r="A43" s="129" t="s">
        <v>270</v>
      </c>
      <c r="B43" s="112"/>
      <c r="C43" s="112"/>
      <c r="D43" s="112"/>
      <c r="E43" s="155"/>
      <c r="F43" s="65">
        <f>SUM('Stavební rozpočet'!BU12:BU58)</f>
        <v>0</v>
      </c>
      <c r="G43" s="40" t="s">
        <v>53</v>
      </c>
      <c r="H43" s="40" t="s">
        <v>53</v>
      </c>
      <c r="I43" s="65">
        <f t="shared" si="1"/>
        <v>0</v>
      </c>
    </row>
    <row r="44" spans="1:9" x14ac:dyDescent="0.25">
      <c r="A44" s="79" t="s">
        <v>271</v>
      </c>
      <c r="B44" s="82"/>
      <c r="C44" s="82"/>
      <c r="D44" s="82"/>
      <c r="E44" s="92"/>
      <c r="F44" s="31">
        <f>SUM('Stavební rozpočet'!BV12:BV58)</f>
        <v>0</v>
      </c>
      <c r="G44" s="32" t="s">
        <v>53</v>
      </c>
      <c r="H44" s="32" t="s">
        <v>53</v>
      </c>
      <c r="I44" s="31">
        <f t="shared" si="1"/>
        <v>0</v>
      </c>
    </row>
    <row r="45" spans="1:9" x14ac:dyDescent="0.25">
      <c r="A45" s="160" t="s">
        <v>272</v>
      </c>
      <c r="B45" s="161"/>
      <c r="C45" s="161"/>
      <c r="D45" s="161"/>
      <c r="E45" s="162"/>
      <c r="F45" s="33" t="s">
        <v>53</v>
      </c>
      <c r="G45" s="34" t="s">
        <v>53</v>
      </c>
      <c r="H45" s="34" t="s">
        <v>53</v>
      </c>
      <c r="I45" s="35">
        <f>SUM(I35:I44)</f>
        <v>0</v>
      </c>
    </row>
  </sheetData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otovo xmlns="8b673dc0-8509-40e9-b30f-da1c7f909cf0">true</Hotovo>
    <typ_dokumentu xmlns="8b673dc0-8509-40e9-b30f-da1c7f909cf0">Přílohy</typ_dokumentu>
    <Nazev_dokumentu xmlns="8b673dc0-8509-40e9-b30f-da1c7f909cf0" xsi:nil="true"/>
    <TaxCatchAll xmlns="306b9aeb-5409-4100-b912-23ae4822dfda" xsi:nil="true"/>
    <lcf76f155ced4ddcb4097134ff3c332f xmlns="8b673dc0-8509-40e9-b30f-da1c7f909cf0">
      <Terms xmlns="http://schemas.microsoft.com/office/infopath/2007/PartnerControls"/>
    </lcf76f155ced4ddcb4097134ff3c332f>
    <Nepodleha_schvalovani xmlns="8b673dc0-8509-40e9-b30f-da1c7f909cf0">false</Nepodleha_schvalovani>
    <Log_schvalovani xmlns="8b673dc0-8509-40e9-b30f-da1c7f909cf0">Petr Hnízdo (26. 3. 2025 14:44) - dokument odeslán ke schválení administrátorovi
Monika Poslová (26. 3. 2025 15:13) - schváleno administrátorem
Monika Poslová (26. 3. 2025 15:13) - odesláno ke schválení představenstvu - Zdeněk Sameš, Silnice LK a.s., Petr Správka, Silnice LK a.s.
Petr Správka (27. 3. 2025 09:04) - schváleno představenstvem
Zdeněk Sameš (27. 3. 2025 09:15) - schváleno představenstvem
Komentář: Pískování a sanace podezdívky.</Log_schvalovani>
    <_Flow_SignoffStatus xmlns="8b673dc0-8509-40e9-b30f-da1c7f909cf0" xsi:nil="true"/>
    <ID_zakazky xmlns="8b673dc0-8509-40e9-b30f-da1c7f909cf0">260</ID_zakazky>
    <Stav_schvalovani xmlns="8b673dc0-8509-40e9-b30f-da1c7f909cf0">schváleno představenstvem</Stav_schvalovani>
    <Schvalovatele xmlns="8b673dc0-8509-40e9-b30f-da1c7f909cf0">zdenek.sames@silnicelk.cz,petr.spravka@silnicelk.cz</Schvalovatele>
    <Schvaleno xmlns="8b673dc0-8509-40e9-b30f-da1c7f909cf0">petr.spravka@silnicelk.cz,zdenek.sames@silnicelk.cz</Schvaleno>
    <Schvaleno_vsemi xmlns="8b673dc0-8509-40e9-b30f-da1c7f909cf0">false</Schvaleno_vsemi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BF50AA788BEBE44AE7F8454F3A8774B" ma:contentTypeVersion="33" ma:contentTypeDescription="Vytvoří nový dokument" ma:contentTypeScope="" ma:versionID="584a37781aec1b6188b45c7086e1c67a">
  <xsd:schema xmlns:xsd="http://www.w3.org/2001/XMLSchema" xmlns:xs="http://www.w3.org/2001/XMLSchema" xmlns:p="http://schemas.microsoft.com/office/2006/metadata/properties" xmlns:ns2="8b673dc0-8509-40e9-b30f-da1c7f909cf0" xmlns:ns3="306b9aeb-5409-4100-b912-23ae4822dfda" targetNamespace="http://schemas.microsoft.com/office/2006/metadata/properties" ma:root="true" ma:fieldsID="1ae8e1f1e6878378a40875862be1770d" ns2:_="" ns3:_="">
    <xsd:import namespace="8b673dc0-8509-40e9-b30f-da1c7f909cf0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Nazev_dokumentu" minOccurs="0"/>
                <xsd:element ref="ns2:ID_zakazky" minOccurs="0"/>
                <xsd:element ref="ns2:MediaServiceMetadata" minOccurs="0"/>
                <xsd:element ref="ns2:MediaServiceFastMetadata" minOccurs="0"/>
                <xsd:element ref="ns2:Hotovo" minOccurs="0"/>
                <xsd:element ref="ns2:typ_dokumentu" minOccurs="0"/>
                <xsd:element ref="ns2:Log_schvalovani" minOccurs="0"/>
                <xsd:element ref="ns2:Stav_schvalovani" minOccurs="0"/>
                <xsd:element ref="ns2:Schvalovatele" minOccurs="0"/>
                <xsd:element ref="ns2:Schvaleno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Nepodleha_schvalovani" minOccurs="0"/>
                <xsd:element ref="ns2:Schvaleno_vsemi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673dc0-8509-40e9-b30f-da1c7f909cf0" elementFormDefault="qualified">
    <xsd:import namespace="http://schemas.microsoft.com/office/2006/documentManagement/types"/>
    <xsd:import namespace="http://schemas.microsoft.com/office/infopath/2007/PartnerControls"/>
    <xsd:element name="Nazev_dokumentu" ma:index="8" nillable="true" ma:displayName="Nazev_dokumentu" ma:format="Dropdown" ma:internalName="Nazev_dokumentu">
      <xsd:simpleType>
        <xsd:restriction base="dms:Text">
          <xsd:maxLength value="255"/>
        </xsd:restriction>
      </xsd:simpleType>
    </xsd:element>
    <xsd:element name="ID_zakazky" ma:index="9" nillable="true" ma:displayName="ID_zakazky" ma:format="Dropdown" ma:list="78296c0f-90f4-42c5-9f68-3d1a3c840b93" ma:internalName="ID_zakazky" ma:readOnly="false" ma:showField="ID_zakazka">
      <xsd:simpleType>
        <xsd:restriction base="dms:Lookup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Hotovo" ma:index="12" nillable="true" ma:displayName="Hotovo" ma:default="0" ma:format="Dropdown" ma:internalName="Hotovo">
      <xsd:simpleType>
        <xsd:restriction base="dms:Boolean"/>
      </xsd:simpleType>
    </xsd:element>
    <xsd:element name="typ_dokumentu" ma:index="13" nillable="true" ma:displayName="typ_dokumentu" ma:format="Dropdown" ma:internalName="typ_dokumentu">
      <xsd:simpleType>
        <xsd:restriction base="dms:Text">
          <xsd:maxLength value="255"/>
        </xsd:restriction>
      </xsd:simpleType>
    </xsd:element>
    <xsd:element name="Log_schvalovani" ma:index="14" nillable="true" ma:displayName="Log_schvalovani" ma:internalName="Log_schvalovani">
      <xsd:simpleType>
        <xsd:restriction base="dms:Note">
          <xsd:maxLength value="255"/>
        </xsd:restriction>
      </xsd:simpleType>
    </xsd:element>
    <xsd:element name="Stav_schvalovani" ma:index="15" nillable="true" ma:displayName="Stav_schvalovani" ma:format="Dropdown" ma:internalName="Stav_schvalovani">
      <xsd:simpleType>
        <xsd:restriction base="dms:Choice">
          <xsd:enumeration value="čeká na schválení administrátorem"/>
          <xsd:enumeration value="schváleno administrátorem"/>
          <xsd:enumeration value="zamítnuto administrátorem"/>
          <xsd:enumeration value="čeká na schválení představenstvem"/>
          <xsd:enumeration value="schváleno představenstvem"/>
          <xsd:enumeration value="zamítnuto představenstvem"/>
          <xsd:enumeration value="nepodléhá schvalování"/>
          <xsd:enumeration value="storno"/>
        </xsd:restriction>
      </xsd:simpleType>
    </xsd:element>
    <xsd:element name="Schvalovatele" ma:index="16" nillable="true" ma:displayName="Schvalovatele" ma:internalName="Schvalovatele">
      <xsd:simpleType>
        <xsd:restriction base="dms:Text">
          <xsd:maxLength value="255"/>
        </xsd:restriction>
      </xsd:simpleType>
    </xsd:element>
    <xsd:element name="Schvaleno" ma:index="17" nillable="true" ma:displayName="Schvaleno" ma:internalName="Schvaleno">
      <xsd:simpleType>
        <xsd:restriction base="dms:Text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67d122ed-378b-4ac5-8483-4532fc6b7f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Nepodleha_schvalovani" ma:index="23" nillable="true" ma:displayName="Nepodleha_schvalovani" ma:default="0" ma:format="Dropdown" ma:internalName="Nepodleha_schvalovani">
      <xsd:simpleType>
        <xsd:restriction base="dms:Boolean"/>
      </xsd:simpleType>
    </xsd:element>
    <xsd:element name="Schvaleno_vsemi" ma:index="24" nillable="true" ma:displayName="Schvaleno_vsemi" ma:default="0" ma:internalName="Schvaleno_vsemi">
      <xsd:simpleType>
        <xsd:restriction base="dms:Boolean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3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Flow_SignoffStatus" ma:index="31" nillable="true" ma:displayName="Stav odsouhlasení" ma:internalName="Stav_x0020_odsouhlasen_x00ed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6f88195-da12-4945-96c9-3cc4b7d59c9b}" ma:internalName="TaxCatchAll" ma:showField="CatchAllData" ma:web="306b9aeb-5409-4100-b912-23ae4822df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3E5D0F-3BFC-4BF9-974B-6913B3707D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7600BB-20A5-4B09-AAE7-C222EAE7C188}">
  <ds:schemaRefs>
    <ds:schemaRef ds:uri="http://schemas.microsoft.com/office/2006/metadata/properties"/>
    <ds:schemaRef ds:uri="http://schemas.microsoft.com/office/infopath/2007/PartnerControls"/>
    <ds:schemaRef ds:uri="8b673dc0-8509-40e9-b30f-da1c7f909cf0"/>
    <ds:schemaRef ds:uri="306b9aeb-5409-4100-b912-23ae4822dfda"/>
  </ds:schemaRefs>
</ds:datastoreItem>
</file>

<file path=customXml/itemProps3.xml><?xml version="1.0" encoding="utf-8"?>
<ds:datastoreItem xmlns:ds="http://schemas.openxmlformats.org/officeDocument/2006/customXml" ds:itemID="{C5DBFE0C-FCA8-4DFA-AB89-CA4EC4152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673dc0-8509-40e9-b30f-da1c7f909cf0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Stavební rozpočet - součet</vt:lpstr>
      <vt:lpstr>Krycí list rozpočtu</vt:lpstr>
      <vt:lpstr>VORN</vt:lpstr>
      <vt:lpstr>vorn_sum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Monika Poslová, Silnice LK a.s.</cp:lastModifiedBy>
  <cp:revision/>
  <dcterms:created xsi:type="dcterms:W3CDTF">2021-06-10T20:06:38Z</dcterms:created>
  <dcterms:modified xsi:type="dcterms:W3CDTF">2025-04-16T10:33:56Z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0x010100BBF50AA788BEBE44AE7F8454F3A8774B</vt:lpwstr>
  </property>
  <property fmtid="{D5CDD505-2E9C-101B-9397-08002B2CF9AE}" pid="3" name="_ExtendedDescription">
    <vt:lpwstr/>
  </property>
  <property fmtid="{D5CDD505-2E9C-101B-9397-08002B2CF9AE}" pid="4" name="MediaServiceImageTags">
    <vt:lpwstr/>
  </property>
</Properties>
</file>