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KO Servis\Chodníky\Tůmova - oprava chodníku\2026\"/>
    </mc:Choice>
  </mc:AlternateContent>
  <xr:revisionPtr revIDLastSave="0" documentId="13_ncr:1_{240CAC2D-3CFA-4F95-B8D2-DEAFA9426A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Stavební rozpočet" sheetId="1" r:id="rId2"/>
    <sheet name="Výkaz výměr" sheetId="2" r:id="rId3"/>
    <sheet name="VORN" sheetId="4" state="hidden" r:id="rId4"/>
  </sheets>
  <definedNames>
    <definedName name="vorn_sum">VORN!$I$45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4" l="1"/>
  <c r="I44" i="4" s="1"/>
  <c r="F43" i="4"/>
  <c r="I43" i="4" s="1"/>
  <c r="I42" i="4"/>
  <c r="F42" i="4"/>
  <c r="F41" i="4"/>
  <c r="I41" i="4" s="1"/>
  <c r="F40" i="4"/>
  <c r="I40" i="4" s="1"/>
  <c r="F39" i="4"/>
  <c r="I39" i="4" s="1"/>
  <c r="I38" i="4"/>
  <c r="F38" i="4"/>
  <c r="F37" i="4"/>
  <c r="I37" i="4" s="1"/>
  <c r="F36" i="4"/>
  <c r="I36" i="4" s="1"/>
  <c r="I26" i="4"/>
  <c r="I25" i="4"/>
  <c r="I18" i="3" s="1"/>
  <c r="I24" i="4"/>
  <c r="I23" i="4"/>
  <c r="I27" i="4" s="1"/>
  <c r="I22" i="4"/>
  <c r="I21" i="4"/>
  <c r="I18" i="4"/>
  <c r="I17" i="4"/>
  <c r="F16" i="3" s="1"/>
  <c r="F22" i="3" s="1"/>
  <c r="I16" i="4"/>
  <c r="I15" i="4"/>
  <c r="I10" i="4"/>
  <c r="F10" i="4"/>
  <c r="C10" i="4"/>
  <c r="F8" i="4"/>
  <c r="C8" i="4"/>
  <c r="F6" i="4"/>
  <c r="C6" i="4"/>
  <c r="F4" i="4"/>
  <c r="C4" i="4"/>
  <c r="F2" i="4"/>
  <c r="C2" i="4"/>
  <c r="I19" i="3"/>
  <c r="I17" i="3"/>
  <c r="I15" i="3"/>
  <c r="F15" i="3"/>
  <c r="I14" i="3"/>
  <c r="F14" i="3"/>
  <c r="I10" i="3"/>
  <c r="F10" i="3"/>
  <c r="C10" i="3"/>
  <c r="F8" i="3"/>
  <c r="C8" i="3"/>
  <c r="F6" i="3"/>
  <c r="C6" i="3"/>
  <c r="F4" i="3"/>
  <c r="C4" i="3"/>
  <c r="F2" i="3"/>
  <c r="C2" i="3"/>
  <c r="F8" i="2"/>
  <c r="C8" i="2"/>
  <c r="F6" i="2"/>
  <c r="C6" i="2"/>
  <c r="F4" i="2"/>
  <c r="C4" i="2"/>
  <c r="F2" i="2"/>
  <c r="C2" i="2"/>
  <c r="BM59" i="1"/>
  <c r="F35" i="4" s="1"/>
  <c r="I35" i="4" s="1"/>
  <c r="I45" i="4" s="1"/>
  <c r="I24" i="3" s="1"/>
  <c r="BJ59" i="1"/>
  <c r="BF59" i="1"/>
  <c r="BD59" i="1"/>
  <c r="AX59" i="1"/>
  <c r="AW59" i="1"/>
  <c r="BC59" i="1" s="1"/>
  <c r="AP59" i="1"/>
  <c r="BI59" i="1" s="1"/>
  <c r="AO59" i="1"/>
  <c r="BH59" i="1" s="1"/>
  <c r="AL59" i="1"/>
  <c r="AU58" i="1" s="1"/>
  <c r="AK59" i="1"/>
  <c r="AJ59" i="1"/>
  <c r="AH59" i="1"/>
  <c r="AG59" i="1"/>
  <c r="AF59" i="1"/>
  <c r="AE59" i="1"/>
  <c r="AD59" i="1"/>
  <c r="AC59" i="1"/>
  <c r="AB59" i="1"/>
  <c r="Z59" i="1"/>
  <c r="J59" i="1"/>
  <c r="I59" i="1"/>
  <c r="I58" i="1" s="1"/>
  <c r="I57" i="1" s="1"/>
  <c r="H59" i="1"/>
  <c r="AT58" i="1"/>
  <c r="AS58" i="1"/>
  <c r="J58" i="1"/>
  <c r="J57" i="1" s="1"/>
  <c r="H58" i="1"/>
  <c r="H57" i="1"/>
  <c r="BJ56" i="1"/>
  <c r="BF56" i="1"/>
  <c r="BD56" i="1"/>
  <c r="AP56" i="1"/>
  <c r="BI56" i="1" s="1"/>
  <c r="AO56" i="1"/>
  <c r="BH56" i="1" s="1"/>
  <c r="AL56" i="1"/>
  <c r="AK56" i="1"/>
  <c r="AJ56" i="1"/>
  <c r="AH56" i="1"/>
  <c r="AG56" i="1"/>
  <c r="AF56" i="1"/>
  <c r="AE56" i="1"/>
  <c r="AD56" i="1"/>
  <c r="AC56" i="1"/>
  <c r="AB56" i="1"/>
  <c r="Z56" i="1"/>
  <c r="J56" i="1"/>
  <c r="BJ55" i="1"/>
  <c r="BF55" i="1"/>
  <c r="BD55" i="1"/>
  <c r="AP55" i="1"/>
  <c r="BI55" i="1" s="1"/>
  <c r="AO55" i="1"/>
  <c r="BH55" i="1" s="1"/>
  <c r="AL55" i="1"/>
  <c r="AK55" i="1"/>
  <c r="AJ55" i="1"/>
  <c r="AH55" i="1"/>
  <c r="AG55" i="1"/>
  <c r="AF55" i="1"/>
  <c r="AE55" i="1"/>
  <c r="AD55" i="1"/>
  <c r="AC55" i="1"/>
  <c r="AB55" i="1"/>
  <c r="Z55" i="1"/>
  <c r="J55" i="1"/>
  <c r="H55" i="1"/>
  <c r="BJ54" i="1"/>
  <c r="BF54" i="1"/>
  <c r="BD54" i="1"/>
  <c r="AP54" i="1"/>
  <c r="BI54" i="1" s="1"/>
  <c r="AO54" i="1"/>
  <c r="AW54" i="1" s="1"/>
  <c r="AL54" i="1"/>
  <c r="AK54" i="1"/>
  <c r="AT50" i="1" s="1"/>
  <c r="AJ54" i="1"/>
  <c r="AH54" i="1"/>
  <c r="AG54" i="1"/>
  <c r="AF54" i="1"/>
  <c r="AE54" i="1"/>
  <c r="AD54" i="1"/>
  <c r="AC54" i="1"/>
  <c r="AB54" i="1"/>
  <c r="Z54" i="1"/>
  <c r="J54" i="1"/>
  <c r="I54" i="1"/>
  <c r="BJ53" i="1"/>
  <c r="Z53" i="1" s="1"/>
  <c r="BF53" i="1"/>
  <c r="BD53" i="1"/>
  <c r="AW53" i="1"/>
  <c r="AP53" i="1"/>
  <c r="AX53" i="1" s="1"/>
  <c r="AO53" i="1"/>
  <c r="H53" i="1" s="1"/>
  <c r="AL53" i="1"/>
  <c r="AK53" i="1"/>
  <c r="AJ53" i="1"/>
  <c r="AH53" i="1"/>
  <c r="AG53" i="1"/>
  <c r="AF53" i="1"/>
  <c r="AE53" i="1"/>
  <c r="AD53" i="1"/>
  <c r="AC53" i="1"/>
  <c r="AB53" i="1"/>
  <c r="J53" i="1"/>
  <c r="BJ52" i="1"/>
  <c r="Z52" i="1" s="1"/>
  <c r="BF52" i="1"/>
  <c r="BD52" i="1"/>
  <c r="AX52" i="1"/>
  <c r="AP52" i="1"/>
  <c r="I52" i="1" s="1"/>
  <c r="AO52" i="1"/>
  <c r="AW52" i="1" s="1"/>
  <c r="AL52" i="1"/>
  <c r="AK52" i="1"/>
  <c r="AJ52" i="1"/>
  <c r="AH52" i="1"/>
  <c r="AG52" i="1"/>
  <c r="AF52" i="1"/>
  <c r="AE52" i="1"/>
  <c r="AD52" i="1"/>
  <c r="AC52" i="1"/>
  <c r="AB52" i="1"/>
  <c r="J52" i="1"/>
  <c r="BJ51" i="1"/>
  <c r="BF51" i="1"/>
  <c r="BD51" i="1"/>
  <c r="AW51" i="1"/>
  <c r="AP51" i="1"/>
  <c r="AX51" i="1" s="1"/>
  <c r="AO51" i="1"/>
  <c r="H51" i="1" s="1"/>
  <c r="AK51" i="1"/>
  <c r="AJ51" i="1"/>
  <c r="AS50" i="1" s="1"/>
  <c r="AH51" i="1"/>
  <c r="AG51" i="1"/>
  <c r="AF51" i="1"/>
  <c r="AE51" i="1"/>
  <c r="AD51" i="1"/>
  <c r="AC51" i="1"/>
  <c r="AB51" i="1"/>
  <c r="Z51" i="1"/>
  <c r="J51" i="1"/>
  <c r="J50" i="1" s="1"/>
  <c r="BJ49" i="1"/>
  <c r="Z49" i="1" s="1"/>
  <c r="BF49" i="1"/>
  <c r="BD49" i="1"/>
  <c r="AX49" i="1"/>
  <c r="AW49" i="1"/>
  <c r="AP49" i="1"/>
  <c r="BI49" i="1" s="1"/>
  <c r="AO49" i="1"/>
  <c r="H49" i="1" s="1"/>
  <c r="AL49" i="1"/>
  <c r="AK49" i="1"/>
  <c r="AJ49" i="1"/>
  <c r="AH49" i="1"/>
  <c r="AG49" i="1"/>
  <c r="AF49" i="1"/>
  <c r="AE49" i="1"/>
  <c r="AD49" i="1"/>
  <c r="AC49" i="1"/>
  <c r="AB49" i="1"/>
  <c r="J49" i="1"/>
  <c r="I49" i="1"/>
  <c r="BJ48" i="1"/>
  <c r="BF48" i="1"/>
  <c r="BD48" i="1"/>
  <c r="AX48" i="1"/>
  <c r="AW48" i="1"/>
  <c r="BC48" i="1" s="1"/>
  <c r="AP48" i="1"/>
  <c r="I48" i="1" s="1"/>
  <c r="AO48" i="1"/>
  <c r="H48" i="1" s="1"/>
  <c r="AK48" i="1"/>
  <c r="AJ48" i="1"/>
  <c r="AH48" i="1"/>
  <c r="AG48" i="1"/>
  <c r="AF48" i="1"/>
  <c r="AE48" i="1"/>
  <c r="AD48" i="1"/>
  <c r="Z48" i="1"/>
  <c r="J48" i="1"/>
  <c r="AL48" i="1" s="1"/>
  <c r="BJ47" i="1"/>
  <c r="BF47" i="1"/>
  <c r="BD47" i="1"/>
  <c r="AW47" i="1"/>
  <c r="AP47" i="1"/>
  <c r="AX47" i="1" s="1"/>
  <c r="AV47" i="1" s="1"/>
  <c r="AO47" i="1"/>
  <c r="BH47" i="1" s="1"/>
  <c r="AB47" i="1" s="1"/>
  <c r="AL47" i="1"/>
  <c r="AK47" i="1"/>
  <c r="AJ47" i="1"/>
  <c r="AH47" i="1"/>
  <c r="AG47" i="1"/>
  <c r="AF47" i="1"/>
  <c r="AE47" i="1"/>
  <c r="AD47" i="1"/>
  <c r="Z47" i="1"/>
  <c r="J47" i="1"/>
  <c r="H47" i="1"/>
  <c r="BJ46" i="1"/>
  <c r="BF46" i="1"/>
  <c r="BD46" i="1"/>
  <c r="AX46" i="1"/>
  <c r="AP46" i="1"/>
  <c r="BI46" i="1" s="1"/>
  <c r="AC46" i="1" s="1"/>
  <c r="AO46" i="1"/>
  <c r="BH46" i="1" s="1"/>
  <c r="AB46" i="1" s="1"/>
  <c r="AL46" i="1"/>
  <c r="AK46" i="1"/>
  <c r="AJ46" i="1"/>
  <c r="AH46" i="1"/>
  <c r="AG46" i="1"/>
  <c r="AF46" i="1"/>
  <c r="AE46" i="1"/>
  <c r="AD46" i="1"/>
  <c r="Z46" i="1"/>
  <c r="J46" i="1"/>
  <c r="I46" i="1"/>
  <c r="BJ45" i="1"/>
  <c r="BI45" i="1"/>
  <c r="BF45" i="1"/>
  <c r="BD45" i="1"/>
  <c r="AW45" i="1"/>
  <c r="AP45" i="1"/>
  <c r="AO45" i="1"/>
  <c r="BH45" i="1" s="1"/>
  <c r="AB45" i="1" s="1"/>
  <c r="AL45" i="1"/>
  <c r="AK45" i="1"/>
  <c r="AT44" i="1" s="1"/>
  <c r="AJ45" i="1"/>
  <c r="AH45" i="1"/>
  <c r="AG45" i="1"/>
  <c r="AF45" i="1"/>
  <c r="AE45" i="1"/>
  <c r="AD45" i="1"/>
  <c r="AC45" i="1"/>
  <c r="Z45" i="1"/>
  <c r="J45" i="1"/>
  <c r="J44" i="1" s="1"/>
  <c r="AU44" i="1"/>
  <c r="AS44" i="1"/>
  <c r="BJ43" i="1"/>
  <c r="Z43" i="1" s="1"/>
  <c r="BF43" i="1"/>
  <c r="BD43" i="1"/>
  <c r="AX43" i="1"/>
  <c r="AP43" i="1"/>
  <c r="BI43" i="1" s="1"/>
  <c r="AO43" i="1"/>
  <c r="BH43" i="1" s="1"/>
  <c r="AL43" i="1"/>
  <c r="AK43" i="1"/>
  <c r="AJ43" i="1"/>
  <c r="AH43" i="1"/>
  <c r="AG43" i="1"/>
  <c r="AF43" i="1"/>
  <c r="AE43" i="1"/>
  <c r="AD43" i="1"/>
  <c r="AC43" i="1"/>
  <c r="AB43" i="1"/>
  <c r="J43" i="1"/>
  <c r="I43" i="1"/>
  <c r="BJ42" i="1"/>
  <c r="BI42" i="1"/>
  <c r="AC42" i="1" s="1"/>
  <c r="BF42" i="1"/>
  <c r="BD42" i="1"/>
  <c r="AW42" i="1"/>
  <c r="AP42" i="1"/>
  <c r="AO42" i="1"/>
  <c r="BH42" i="1" s="1"/>
  <c r="AB42" i="1" s="1"/>
  <c r="AL42" i="1"/>
  <c r="AU39" i="1" s="1"/>
  <c r="AK42" i="1"/>
  <c r="AJ42" i="1"/>
  <c r="AH42" i="1"/>
  <c r="AG42" i="1"/>
  <c r="AF42" i="1"/>
  <c r="AE42" i="1"/>
  <c r="AD42" i="1"/>
  <c r="Z42" i="1"/>
  <c r="J42" i="1"/>
  <c r="BJ41" i="1"/>
  <c r="BF41" i="1"/>
  <c r="BD41" i="1"/>
  <c r="AX41" i="1"/>
  <c r="AP41" i="1"/>
  <c r="BI41" i="1" s="1"/>
  <c r="AC41" i="1" s="1"/>
  <c r="AO41" i="1"/>
  <c r="AW41" i="1" s="1"/>
  <c r="BC41" i="1" s="1"/>
  <c r="AK41" i="1"/>
  <c r="AJ41" i="1"/>
  <c r="AH41" i="1"/>
  <c r="AG41" i="1"/>
  <c r="AF41" i="1"/>
  <c r="AE41" i="1"/>
  <c r="AD41" i="1"/>
  <c r="Z41" i="1"/>
  <c r="J41" i="1"/>
  <c r="AL41" i="1" s="1"/>
  <c r="BJ40" i="1"/>
  <c r="BF40" i="1"/>
  <c r="BD40" i="1"/>
  <c r="AW40" i="1"/>
  <c r="AP40" i="1"/>
  <c r="AX40" i="1" s="1"/>
  <c r="AO40" i="1"/>
  <c r="H40" i="1" s="1"/>
  <c r="AL40" i="1"/>
  <c r="AK40" i="1"/>
  <c r="AT39" i="1" s="1"/>
  <c r="AJ40" i="1"/>
  <c r="AS39" i="1" s="1"/>
  <c r="AH40" i="1"/>
  <c r="AG40" i="1"/>
  <c r="AF40" i="1"/>
  <c r="AE40" i="1"/>
  <c r="AD40" i="1"/>
  <c r="Z40" i="1"/>
  <c r="J40" i="1"/>
  <c r="BJ38" i="1"/>
  <c r="Z38" i="1" s="1"/>
  <c r="BH38" i="1"/>
  <c r="BF38" i="1"/>
  <c r="BD38" i="1"/>
  <c r="AX38" i="1"/>
  <c r="AV38" i="1"/>
  <c r="AP38" i="1"/>
  <c r="BI38" i="1" s="1"/>
  <c r="AO38" i="1"/>
  <c r="AW38" i="1" s="1"/>
  <c r="BC38" i="1" s="1"/>
  <c r="AL38" i="1"/>
  <c r="AK38" i="1"/>
  <c r="AJ38" i="1"/>
  <c r="AH38" i="1"/>
  <c r="AG38" i="1"/>
  <c r="AF38" i="1"/>
  <c r="AE38" i="1"/>
  <c r="AD38" i="1"/>
  <c r="AC38" i="1"/>
  <c r="AB38" i="1"/>
  <c r="J38" i="1"/>
  <c r="BJ37" i="1"/>
  <c r="BI37" i="1"/>
  <c r="AC37" i="1" s="1"/>
  <c r="BF37" i="1"/>
  <c r="BD37" i="1"/>
  <c r="AP37" i="1"/>
  <c r="AX37" i="1" s="1"/>
  <c r="AO37" i="1"/>
  <c r="AW37" i="1" s="1"/>
  <c r="AL37" i="1"/>
  <c r="AK37" i="1"/>
  <c r="AJ37" i="1"/>
  <c r="AH37" i="1"/>
  <c r="AG37" i="1"/>
  <c r="AF37" i="1"/>
  <c r="AE37" i="1"/>
  <c r="AD37" i="1"/>
  <c r="Z37" i="1"/>
  <c r="J37" i="1"/>
  <c r="I37" i="1"/>
  <c r="BJ36" i="1"/>
  <c r="BF36" i="1"/>
  <c r="BD36" i="1"/>
  <c r="AX36" i="1"/>
  <c r="AV36" i="1" s="1"/>
  <c r="AW36" i="1"/>
  <c r="AP36" i="1"/>
  <c r="I36" i="1" s="1"/>
  <c r="AO36" i="1"/>
  <c r="BH36" i="1" s="1"/>
  <c r="AB36" i="1" s="1"/>
  <c r="AK36" i="1"/>
  <c r="AJ36" i="1"/>
  <c r="AH36" i="1"/>
  <c r="AG36" i="1"/>
  <c r="AF36" i="1"/>
  <c r="AE36" i="1"/>
  <c r="AD36" i="1"/>
  <c r="Z36" i="1"/>
  <c r="J36" i="1"/>
  <c r="H36" i="1"/>
  <c r="BJ35" i="1"/>
  <c r="BF35" i="1"/>
  <c r="BD35" i="1"/>
  <c r="BC35" i="1"/>
  <c r="AX35" i="1"/>
  <c r="AW35" i="1"/>
  <c r="AV35" i="1" s="1"/>
  <c r="AP35" i="1"/>
  <c r="BI35" i="1" s="1"/>
  <c r="AC35" i="1" s="1"/>
  <c r="AO35" i="1"/>
  <c r="BH35" i="1" s="1"/>
  <c r="AB35" i="1" s="1"/>
  <c r="AL35" i="1"/>
  <c r="AK35" i="1"/>
  <c r="AT34" i="1" s="1"/>
  <c r="AJ35" i="1"/>
  <c r="AS34" i="1" s="1"/>
  <c r="AH35" i="1"/>
  <c r="AG35" i="1"/>
  <c r="AF35" i="1"/>
  <c r="AE35" i="1"/>
  <c r="AD35" i="1"/>
  <c r="Z35" i="1"/>
  <c r="J35" i="1"/>
  <c r="I35" i="1"/>
  <c r="H35" i="1"/>
  <c r="BJ33" i="1"/>
  <c r="BF33" i="1"/>
  <c r="BD33" i="1"/>
  <c r="AW33" i="1"/>
  <c r="AP33" i="1"/>
  <c r="I33" i="1" s="1"/>
  <c r="I32" i="1" s="1"/>
  <c r="AO33" i="1"/>
  <c r="BH33" i="1" s="1"/>
  <c r="AB33" i="1" s="1"/>
  <c r="AK33" i="1"/>
  <c r="AT32" i="1" s="1"/>
  <c r="AJ33" i="1"/>
  <c r="AS32" i="1" s="1"/>
  <c r="AH33" i="1"/>
  <c r="AG33" i="1"/>
  <c r="AF33" i="1"/>
  <c r="AE33" i="1"/>
  <c r="AD33" i="1"/>
  <c r="Z33" i="1"/>
  <c r="J33" i="1"/>
  <c r="H33" i="1"/>
  <c r="H32" i="1" s="1"/>
  <c r="BJ31" i="1"/>
  <c r="BI31" i="1"/>
  <c r="AC31" i="1" s="1"/>
  <c r="BF31" i="1"/>
  <c r="BD31" i="1"/>
  <c r="AP31" i="1"/>
  <c r="AX31" i="1" s="1"/>
  <c r="AO31" i="1"/>
  <c r="BH31" i="1" s="1"/>
  <c r="AB31" i="1" s="1"/>
  <c r="AK31" i="1"/>
  <c r="AJ31" i="1"/>
  <c r="AH31" i="1"/>
  <c r="AG31" i="1"/>
  <c r="AF31" i="1"/>
  <c r="AE31" i="1"/>
  <c r="AD31" i="1"/>
  <c r="Z31" i="1"/>
  <c r="J31" i="1"/>
  <c r="AL31" i="1" s="1"/>
  <c r="I31" i="1"/>
  <c r="BJ30" i="1"/>
  <c r="BF30" i="1"/>
  <c r="BD30" i="1"/>
  <c r="AX30" i="1"/>
  <c r="AW30" i="1"/>
  <c r="AV30" i="1" s="1"/>
  <c r="AP30" i="1"/>
  <c r="BI30" i="1" s="1"/>
  <c r="AC30" i="1" s="1"/>
  <c r="AO30" i="1"/>
  <c r="BH30" i="1" s="1"/>
  <c r="AB30" i="1" s="1"/>
  <c r="AK30" i="1"/>
  <c r="AJ30" i="1"/>
  <c r="AH30" i="1"/>
  <c r="AG30" i="1"/>
  <c r="AF30" i="1"/>
  <c r="AE30" i="1"/>
  <c r="AD30" i="1"/>
  <c r="Z30" i="1"/>
  <c r="J30" i="1"/>
  <c r="AL30" i="1" s="1"/>
  <c r="I30" i="1"/>
  <c r="H30" i="1"/>
  <c r="BJ29" i="1"/>
  <c r="BF29" i="1"/>
  <c r="BD29" i="1"/>
  <c r="AX29" i="1"/>
  <c r="AW29" i="1"/>
  <c r="BC29" i="1" s="1"/>
  <c r="AV29" i="1"/>
  <c r="AP29" i="1"/>
  <c r="BI29" i="1" s="1"/>
  <c r="AC29" i="1" s="1"/>
  <c r="AO29" i="1"/>
  <c r="BH29" i="1" s="1"/>
  <c r="AB29" i="1" s="1"/>
  <c r="AK29" i="1"/>
  <c r="AJ29" i="1"/>
  <c r="AH29" i="1"/>
  <c r="AG29" i="1"/>
  <c r="AF29" i="1"/>
  <c r="AE29" i="1"/>
  <c r="AD29" i="1"/>
  <c r="Z29" i="1"/>
  <c r="J29" i="1"/>
  <c r="AL29" i="1" s="1"/>
  <c r="I29" i="1"/>
  <c r="H29" i="1"/>
  <c r="BJ28" i="1"/>
  <c r="BF28" i="1"/>
  <c r="BD28" i="1"/>
  <c r="AX28" i="1"/>
  <c r="AW28" i="1"/>
  <c r="AP28" i="1"/>
  <c r="BI28" i="1" s="1"/>
  <c r="AC28" i="1" s="1"/>
  <c r="AO28" i="1"/>
  <c r="H28" i="1" s="1"/>
  <c r="AK28" i="1"/>
  <c r="AJ28" i="1"/>
  <c r="AH28" i="1"/>
  <c r="AG28" i="1"/>
  <c r="AF28" i="1"/>
  <c r="AE28" i="1"/>
  <c r="AD28" i="1"/>
  <c r="Z28" i="1"/>
  <c r="J28" i="1"/>
  <c r="AL28" i="1" s="1"/>
  <c r="I28" i="1"/>
  <c r="I26" i="1" s="1"/>
  <c r="BJ27" i="1"/>
  <c r="BF27" i="1"/>
  <c r="BD27" i="1"/>
  <c r="BC27" i="1"/>
  <c r="AX27" i="1"/>
  <c r="AP27" i="1"/>
  <c r="I27" i="1" s="1"/>
  <c r="AO27" i="1"/>
  <c r="AW27" i="1" s="1"/>
  <c r="AV27" i="1" s="1"/>
  <c r="AL27" i="1"/>
  <c r="AU26" i="1" s="1"/>
  <c r="AK27" i="1"/>
  <c r="AJ27" i="1"/>
  <c r="AS26" i="1" s="1"/>
  <c r="AH27" i="1"/>
  <c r="AG27" i="1"/>
  <c r="AF27" i="1"/>
  <c r="AE27" i="1"/>
  <c r="AD27" i="1"/>
  <c r="Z27" i="1"/>
  <c r="J27" i="1"/>
  <c r="J26" i="1" s="1"/>
  <c r="BJ25" i="1"/>
  <c r="BF25" i="1"/>
  <c r="BD25" i="1"/>
  <c r="BC25" i="1"/>
  <c r="AX25" i="1"/>
  <c r="AW25" i="1"/>
  <c r="AP25" i="1"/>
  <c r="BI25" i="1" s="1"/>
  <c r="AO25" i="1"/>
  <c r="H25" i="1" s="1"/>
  <c r="AL25" i="1"/>
  <c r="AK25" i="1"/>
  <c r="AJ25" i="1"/>
  <c r="AH25" i="1"/>
  <c r="AG25" i="1"/>
  <c r="AF25" i="1"/>
  <c r="AE25" i="1"/>
  <c r="AD25" i="1"/>
  <c r="AC25" i="1"/>
  <c r="AB25" i="1"/>
  <c r="Z25" i="1"/>
  <c r="J25" i="1"/>
  <c r="I25" i="1"/>
  <c r="BJ24" i="1"/>
  <c r="BH24" i="1"/>
  <c r="BF24" i="1"/>
  <c r="BD24" i="1"/>
  <c r="AX24" i="1"/>
  <c r="AP24" i="1"/>
  <c r="I24" i="1" s="1"/>
  <c r="AO24" i="1"/>
  <c r="AK24" i="1"/>
  <c r="AJ24" i="1"/>
  <c r="AH24" i="1"/>
  <c r="AG24" i="1"/>
  <c r="AF24" i="1"/>
  <c r="AE24" i="1"/>
  <c r="AD24" i="1"/>
  <c r="AB24" i="1"/>
  <c r="Z24" i="1"/>
  <c r="J24" i="1"/>
  <c r="AL24" i="1" s="1"/>
  <c r="AU22" i="1" s="1"/>
  <c r="BJ23" i="1"/>
  <c r="BI23" i="1"/>
  <c r="AC23" i="1" s="1"/>
  <c r="BF23" i="1"/>
  <c r="BD23" i="1"/>
  <c r="AP23" i="1"/>
  <c r="AO23" i="1"/>
  <c r="AL23" i="1"/>
  <c r="AK23" i="1"/>
  <c r="AT22" i="1" s="1"/>
  <c r="AJ23" i="1"/>
  <c r="AS22" i="1" s="1"/>
  <c r="AH23" i="1"/>
  <c r="AG23" i="1"/>
  <c r="AF23" i="1"/>
  <c r="AE23" i="1"/>
  <c r="AD23" i="1"/>
  <c r="Z23" i="1"/>
  <c r="J23" i="1"/>
  <c r="J22" i="1"/>
  <c r="BJ21" i="1"/>
  <c r="BH21" i="1"/>
  <c r="BF21" i="1"/>
  <c r="BD21" i="1"/>
  <c r="AX21" i="1"/>
  <c r="AP21" i="1"/>
  <c r="I21" i="1" s="1"/>
  <c r="I20" i="1" s="1"/>
  <c r="AO21" i="1"/>
  <c r="AL21" i="1"/>
  <c r="AU20" i="1" s="1"/>
  <c r="AK21" i="1"/>
  <c r="AT20" i="1" s="1"/>
  <c r="AJ21" i="1"/>
  <c r="AS20" i="1" s="1"/>
  <c r="AH21" i="1"/>
  <c r="AG21" i="1"/>
  <c r="AF21" i="1"/>
  <c r="AE21" i="1"/>
  <c r="AD21" i="1"/>
  <c r="AB21" i="1"/>
  <c r="Z21" i="1"/>
  <c r="J21" i="1"/>
  <c r="J20" i="1"/>
  <c r="BJ19" i="1"/>
  <c r="BF19" i="1"/>
  <c r="BD19" i="1"/>
  <c r="AX19" i="1"/>
  <c r="AW19" i="1"/>
  <c r="AV19" i="1" s="1"/>
  <c r="AP19" i="1"/>
  <c r="BI19" i="1" s="1"/>
  <c r="AO19" i="1"/>
  <c r="H19" i="1" s="1"/>
  <c r="AL19" i="1"/>
  <c r="AK19" i="1"/>
  <c r="AJ19" i="1"/>
  <c r="AH19" i="1"/>
  <c r="AG19" i="1"/>
  <c r="AF19" i="1"/>
  <c r="AE19" i="1"/>
  <c r="AD19" i="1"/>
  <c r="AC19" i="1"/>
  <c r="Z19" i="1"/>
  <c r="J19" i="1"/>
  <c r="I19" i="1"/>
  <c r="BJ18" i="1"/>
  <c r="BF18" i="1"/>
  <c r="BD18" i="1"/>
  <c r="AX18" i="1"/>
  <c r="AP18" i="1"/>
  <c r="I18" i="1" s="1"/>
  <c r="AO18" i="1"/>
  <c r="AL18" i="1"/>
  <c r="AK18" i="1"/>
  <c r="AJ18" i="1"/>
  <c r="AH18" i="1"/>
  <c r="AG18" i="1"/>
  <c r="AF18" i="1"/>
  <c r="AE18" i="1"/>
  <c r="AD18" i="1"/>
  <c r="Z18" i="1"/>
  <c r="J18" i="1"/>
  <c r="BJ17" i="1"/>
  <c r="BF17" i="1"/>
  <c r="BD17" i="1"/>
  <c r="AP17" i="1"/>
  <c r="BI17" i="1" s="1"/>
  <c r="AC17" i="1" s="1"/>
  <c r="AO17" i="1"/>
  <c r="BH17" i="1" s="1"/>
  <c r="AB17" i="1" s="1"/>
  <c r="AL17" i="1"/>
  <c r="AK17" i="1"/>
  <c r="AJ17" i="1"/>
  <c r="AS15" i="1" s="1"/>
  <c r="AH17" i="1"/>
  <c r="AG17" i="1"/>
  <c r="AF17" i="1"/>
  <c r="AE17" i="1"/>
  <c r="AD17" i="1"/>
  <c r="Z17" i="1"/>
  <c r="J17" i="1"/>
  <c r="BJ16" i="1"/>
  <c r="BH16" i="1"/>
  <c r="AB16" i="1" s="1"/>
  <c r="BF16" i="1"/>
  <c r="BD16" i="1"/>
  <c r="AP16" i="1"/>
  <c r="AO16" i="1"/>
  <c r="AW16" i="1" s="1"/>
  <c r="AL16" i="1"/>
  <c r="AU15" i="1" s="1"/>
  <c r="AK16" i="1"/>
  <c r="AJ16" i="1"/>
  <c r="AH16" i="1"/>
  <c r="AG16" i="1"/>
  <c r="AF16" i="1"/>
  <c r="AE16" i="1"/>
  <c r="AD16" i="1"/>
  <c r="Z16" i="1"/>
  <c r="J16" i="1"/>
  <c r="H16" i="1"/>
  <c r="AT15" i="1"/>
  <c r="J15" i="1"/>
  <c r="BJ14" i="1"/>
  <c r="BI14" i="1"/>
  <c r="AC14" i="1" s="1"/>
  <c r="BF14" i="1"/>
  <c r="BD14" i="1"/>
  <c r="AP14" i="1"/>
  <c r="AO14" i="1"/>
  <c r="AL14" i="1"/>
  <c r="AK14" i="1"/>
  <c r="AT12" i="1" s="1"/>
  <c r="AJ14" i="1"/>
  <c r="AH14" i="1"/>
  <c r="AG14" i="1"/>
  <c r="AF14" i="1"/>
  <c r="AE14" i="1"/>
  <c r="AD14" i="1"/>
  <c r="Z14" i="1"/>
  <c r="J14" i="1"/>
  <c r="BJ13" i="1"/>
  <c r="BF13" i="1"/>
  <c r="BD13" i="1"/>
  <c r="AP13" i="1"/>
  <c r="BI13" i="1" s="1"/>
  <c r="AC13" i="1" s="1"/>
  <c r="AO13" i="1"/>
  <c r="AW13" i="1" s="1"/>
  <c r="AL13" i="1"/>
  <c r="AK13" i="1"/>
  <c r="AJ13" i="1"/>
  <c r="AH13" i="1"/>
  <c r="C20" i="3" s="1"/>
  <c r="AG13" i="1"/>
  <c r="AF13" i="1"/>
  <c r="C18" i="3" s="1"/>
  <c r="AE13" i="1"/>
  <c r="AD13" i="1"/>
  <c r="Z13" i="1"/>
  <c r="J13" i="1"/>
  <c r="AU12" i="1"/>
  <c r="AS12" i="1"/>
  <c r="J12" i="1"/>
  <c r="AU1" i="1"/>
  <c r="AT1" i="1"/>
  <c r="AS1" i="1"/>
  <c r="AV37" i="1" l="1"/>
  <c r="BC37" i="1"/>
  <c r="H14" i="1"/>
  <c r="AW14" i="1"/>
  <c r="BC52" i="1"/>
  <c r="AV52" i="1"/>
  <c r="C21" i="3"/>
  <c r="C27" i="3"/>
  <c r="BH13" i="1"/>
  <c r="AB13" i="1" s="1"/>
  <c r="AX14" i="1"/>
  <c r="I14" i="1"/>
  <c r="AW18" i="1"/>
  <c r="H18" i="1"/>
  <c r="AX23" i="1"/>
  <c r="I23" i="1"/>
  <c r="I22" i="1" s="1"/>
  <c r="AW31" i="1"/>
  <c r="AV40" i="1"/>
  <c r="BC40" i="1"/>
  <c r="BC51" i="1"/>
  <c r="H23" i="1"/>
  <c r="H22" i="1" s="1"/>
  <c r="AW23" i="1"/>
  <c r="C28" i="3"/>
  <c r="F28" i="3" s="1"/>
  <c r="I16" i="1"/>
  <c r="AX16" i="1"/>
  <c r="AV16" i="1" s="1"/>
  <c r="BC19" i="1"/>
  <c r="J32" i="1"/>
  <c r="AL33" i="1"/>
  <c r="AU32" i="1" s="1"/>
  <c r="BI33" i="1"/>
  <c r="AC33" i="1" s="1"/>
  <c r="AV41" i="1"/>
  <c r="H37" i="1"/>
  <c r="BH37" i="1"/>
  <c r="AB37" i="1" s="1"/>
  <c r="J60" i="1"/>
  <c r="AV25" i="1"/>
  <c r="H31" i="1"/>
  <c r="AL36" i="1"/>
  <c r="C29" i="3" s="1"/>
  <c r="F29" i="3" s="1"/>
  <c r="J34" i="1"/>
  <c r="BI36" i="1"/>
  <c r="AC36" i="1" s="1"/>
  <c r="AX45" i="1"/>
  <c r="BC45" i="1" s="1"/>
  <c r="I45" i="1"/>
  <c r="I44" i="1" s="1"/>
  <c r="BC47" i="1"/>
  <c r="AV53" i="1"/>
  <c r="I22" i="3"/>
  <c r="C16" i="3"/>
  <c r="H15" i="1"/>
  <c r="AW24" i="1"/>
  <c r="H24" i="1"/>
  <c r="I40" i="1"/>
  <c r="BI40" i="1"/>
  <c r="AC40" i="1" s="1"/>
  <c r="I42" i="1"/>
  <c r="AX42" i="1"/>
  <c r="AV42" i="1" s="1"/>
  <c r="AV54" i="1"/>
  <c r="BC54" i="1"/>
  <c r="C17" i="3"/>
  <c r="AX13" i="1"/>
  <c r="AV13" i="1" s="1"/>
  <c r="I13" i="1"/>
  <c r="I12" i="1" s="1"/>
  <c r="BH14" i="1"/>
  <c r="AB14" i="1" s="1"/>
  <c r="AW17" i="1"/>
  <c r="H17" i="1"/>
  <c r="BH23" i="1"/>
  <c r="AB23" i="1" s="1"/>
  <c r="AV28" i="1"/>
  <c r="BC30" i="1"/>
  <c r="H46" i="1"/>
  <c r="AW46" i="1"/>
  <c r="F29" i="4"/>
  <c r="AX17" i="1"/>
  <c r="I17" i="1"/>
  <c r="H41" i="1"/>
  <c r="H39" i="1" s="1"/>
  <c r="BH41" i="1"/>
  <c r="AB41" i="1" s="1"/>
  <c r="H43" i="1"/>
  <c r="AW43" i="1"/>
  <c r="BC49" i="1"/>
  <c r="AV49" i="1"/>
  <c r="H13" i="1"/>
  <c r="H12" i="1" s="1"/>
  <c r="C19" i="3"/>
  <c r="BI16" i="1"/>
  <c r="AC16" i="1" s="1"/>
  <c r="C15" i="3" s="1"/>
  <c r="BH18" i="1"/>
  <c r="AB18" i="1" s="1"/>
  <c r="AW21" i="1"/>
  <c r="H21" i="1"/>
  <c r="H20" i="1" s="1"/>
  <c r="AT26" i="1"/>
  <c r="BC28" i="1"/>
  <c r="AX33" i="1"/>
  <c r="BC36" i="1"/>
  <c r="H38" i="1"/>
  <c r="H34" i="1" s="1"/>
  <c r="I38" i="1"/>
  <c r="I34" i="1" s="1"/>
  <c r="I41" i="1"/>
  <c r="H42" i="1"/>
  <c r="H45" i="1"/>
  <c r="H44" i="1" s="1"/>
  <c r="AV45" i="1"/>
  <c r="AL51" i="1"/>
  <c r="AU50" i="1" s="1"/>
  <c r="BC53" i="1"/>
  <c r="AX54" i="1"/>
  <c r="I55" i="1"/>
  <c r="AW55" i="1"/>
  <c r="H56" i="1"/>
  <c r="I16" i="3"/>
  <c r="BI47" i="1"/>
  <c r="AC47" i="1" s="1"/>
  <c r="BH48" i="1"/>
  <c r="AB48" i="1" s="1"/>
  <c r="BH51" i="1"/>
  <c r="AX55" i="1"/>
  <c r="I56" i="1"/>
  <c r="AW56" i="1"/>
  <c r="BH27" i="1"/>
  <c r="AB27" i="1" s="1"/>
  <c r="BI18" i="1"/>
  <c r="AC18" i="1" s="1"/>
  <c r="BH19" i="1"/>
  <c r="AB19" i="1" s="1"/>
  <c r="BI21" i="1"/>
  <c r="AC21" i="1" s="1"/>
  <c r="BI24" i="1"/>
  <c r="AC24" i="1" s="1"/>
  <c r="BI27" i="1"/>
  <c r="AC27" i="1" s="1"/>
  <c r="BH28" i="1"/>
  <c r="AB28" i="1" s="1"/>
  <c r="H27" i="1"/>
  <c r="H26" i="1" s="1"/>
  <c r="J39" i="1"/>
  <c r="BI48" i="1"/>
  <c r="AC48" i="1" s="1"/>
  <c r="BH49" i="1"/>
  <c r="BI51" i="1"/>
  <c r="BH52" i="1"/>
  <c r="AX56" i="1"/>
  <c r="AV59" i="1"/>
  <c r="BH25" i="1"/>
  <c r="I47" i="1"/>
  <c r="AV48" i="1"/>
  <c r="AV51" i="1"/>
  <c r="BI52" i="1"/>
  <c r="BH53" i="1"/>
  <c r="BH40" i="1"/>
  <c r="AB40" i="1" s="1"/>
  <c r="I51" i="1"/>
  <c r="H52" i="1"/>
  <c r="H50" i="1" s="1"/>
  <c r="BI53" i="1"/>
  <c r="BH54" i="1"/>
  <c r="I53" i="1"/>
  <c r="H54" i="1"/>
  <c r="AV55" i="1" l="1"/>
  <c r="BC55" i="1"/>
  <c r="AV17" i="1"/>
  <c r="BC17" i="1"/>
  <c r="BC16" i="1"/>
  <c r="AU34" i="1"/>
  <c r="AV18" i="1"/>
  <c r="BC18" i="1"/>
  <c r="I50" i="1"/>
  <c r="BC43" i="1"/>
  <c r="AV43" i="1"/>
  <c r="AV21" i="1"/>
  <c r="BC21" i="1"/>
  <c r="BC42" i="1"/>
  <c r="AV14" i="1"/>
  <c r="BC14" i="1"/>
  <c r="BC56" i="1"/>
  <c r="AV56" i="1"/>
  <c r="I39" i="1"/>
  <c r="BC31" i="1"/>
  <c r="AV31" i="1"/>
  <c r="C14" i="3"/>
  <c r="C22" i="3" s="1"/>
  <c r="AV24" i="1"/>
  <c r="BC24" i="1"/>
  <c r="I15" i="1"/>
  <c r="I28" i="3"/>
  <c r="I29" i="3" s="1"/>
  <c r="BC46" i="1"/>
  <c r="AV46" i="1"/>
  <c r="BC33" i="1"/>
  <c r="AV33" i="1"/>
  <c r="BC13" i="1"/>
  <c r="AV23" i="1"/>
  <c r="BC23" i="1"/>
</calcChain>
</file>

<file path=xl/sharedStrings.xml><?xml version="1.0" encoding="utf-8"?>
<sst xmlns="http://schemas.openxmlformats.org/spreadsheetml/2006/main" count="1239" uniqueCount="308">
  <si>
    <t>Slepý stavební rozpočet</t>
  </si>
  <si>
    <t>Název stavby:</t>
  </si>
  <si>
    <t>ZŠ Severovýchod - oprava asfaltového hřiště</t>
  </si>
  <si>
    <t>Doba výstavby:</t>
  </si>
  <si>
    <t xml:space="preserve"> </t>
  </si>
  <si>
    <t>Objednatel:</t>
  </si>
  <si>
    <t> </t>
  </si>
  <si>
    <t>Druh stavby:</t>
  </si>
  <si>
    <t>Začátek výstavby:</t>
  </si>
  <si>
    <t>01.04.2026</t>
  </si>
  <si>
    <t>Projektant:</t>
  </si>
  <si>
    <t>Lokalita:</t>
  </si>
  <si>
    <t>Zábřeh</t>
  </si>
  <si>
    <t>Konec výstavby:</t>
  </si>
  <si>
    <t>Zhotovitel:</t>
  </si>
  <si>
    <t>JKSO:</t>
  </si>
  <si>
    <t>Zpracováno dne:</t>
  </si>
  <si>
    <t>03.03.2026</t>
  </si>
  <si>
    <t>Zpracoval: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</si>
  <si>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</si>
  <si>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</si>
  <si>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</si>
  <si>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</si>
  <si>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</si>
  <si>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</si>
  <si>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</si>
  <si>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</si>
  <si>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</si>
  <si>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</si>
  <si>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</si>
  <si>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</si>
  <si>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</si>
  <si>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</si>
  <si>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</si>
  <si>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</si>
  <si>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</si>
  <si>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</si>
  <si>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</si>
  <si>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</si>
  <si>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</si>
  <si>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</si>
  <si>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</si>
  <si>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</si>
  <si>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</si>
  <si>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</si>
  <si>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</si>
  <si>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</si>
  <si>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</si>
  <si>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</si>
  <si>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</t>
  </si>
  <si>
    <t>Zemní práce</t>
  </si>
  <si>
    <t>0210VD</t>
  </si>
  <si>
    <t>Vytyčení sítí</t>
  </si>
  <si>
    <t>soubor</t>
  </si>
  <si>
    <t>vlastní</t>
  </si>
  <si>
    <t>1_</t>
  </si>
  <si>
    <t>_</t>
  </si>
  <si>
    <t>P</t>
  </si>
  <si>
    <t>2</t>
  </si>
  <si>
    <t>914000R</t>
  </si>
  <si>
    <t>Provizorní dopravní značení</t>
  </si>
  <si>
    <t>kus</t>
  </si>
  <si>
    <t>11</t>
  </si>
  <si>
    <t>Přípravné a přidružené práce</t>
  </si>
  <si>
    <t>3</t>
  </si>
  <si>
    <t>113108405R00</t>
  </si>
  <si>
    <t>Odstranění asfaltové vrstvy pl.nad 50 m2, tl. 5 cm</t>
  </si>
  <si>
    <t>m2</t>
  </si>
  <si>
    <t>RTS II / 2025</t>
  </si>
  <si>
    <t>11_</t>
  </si>
  <si>
    <t>4</t>
  </si>
  <si>
    <t>113152112R00</t>
  </si>
  <si>
    <t>Odstranění podkladu z kameniva drceného</t>
  </si>
  <si>
    <t>m3</t>
  </si>
  <si>
    <t>5</t>
  </si>
  <si>
    <t>113201111R00</t>
  </si>
  <si>
    <t>Vytrhání obrubníků chodníkových a parkových</t>
  </si>
  <si>
    <t>m</t>
  </si>
  <si>
    <t>6</t>
  </si>
  <si>
    <t>979024441R00</t>
  </si>
  <si>
    <t>Očištění vybour. obrubníků všech loží a výplní</t>
  </si>
  <si>
    <t>12</t>
  </si>
  <si>
    <t>Odkopávky a prokopávky</t>
  </si>
  <si>
    <t>7</t>
  </si>
  <si>
    <t>122301101R00</t>
  </si>
  <si>
    <t>Odkopávky nezapažené v hor. 4 do 100 m3</t>
  </si>
  <si>
    <t>12_</t>
  </si>
  <si>
    <t>16</t>
  </si>
  <si>
    <t>Přemístění výkopku</t>
  </si>
  <si>
    <t>8</t>
  </si>
  <si>
    <t>167101101R00</t>
  </si>
  <si>
    <t>Nakládání výkopku z hor. 1 ÷ 4 v množství do 100 m3</t>
  </si>
  <si>
    <t>16_</t>
  </si>
  <si>
    <t>9</t>
  </si>
  <si>
    <t>162601101R00</t>
  </si>
  <si>
    <t>Vodorovné přemístění výkopku z hor.1-4 do 4000 m</t>
  </si>
  <si>
    <t>10</t>
  </si>
  <si>
    <t>979999973R00</t>
  </si>
  <si>
    <t>Poplatek za uložení, zemina a kamení, (skup.170504) (A kvalita)</t>
  </si>
  <si>
    <t>t</t>
  </si>
  <si>
    <t>18</t>
  </si>
  <si>
    <t>Povrchové úpravy terénu</t>
  </si>
  <si>
    <t>181301101R00</t>
  </si>
  <si>
    <t>Rozprostření ornice, rovina, tl. do 10 cm do 500m2</t>
  </si>
  <si>
    <t>18_</t>
  </si>
  <si>
    <t>180402111R00</t>
  </si>
  <si>
    <t>Založení trávníku parkového výsevem v rovině</t>
  </si>
  <si>
    <t>13</t>
  </si>
  <si>
    <t>10364200R</t>
  </si>
  <si>
    <t>Ornice pro pozemkové úpravy</t>
  </si>
  <si>
    <t>M</t>
  </si>
  <si>
    <t>14</t>
  </si>
  <si>
    <t>167103101R00</t>
  </si>
  <si>
    <t>Nakládání výkopku zeminy schopné zúrodnění</t>
  </si>
  <si>
    <t>15</t>
  </si>
  <si>
    <t>162606111R00</t>
  </si>
  <si>
    <t>Vodorovné přemístění zemin pro zúrodnění do 4000 m</t>
  </si>
  <si>
    <t>21</t>
  </si>
  <si>
    <t>Úprava podloží a základové spáry</t>
  </si>
  <si>
    <t>215901101R00</t>
  </si>
  <si>
    <t>Zhutnění podloží z hornin nesoudržných do 92% PS</t>
  </si>
  <si>
    <t>21_</t>
  </si>
  <si>
    <t>2_</t>
  </si>
  <si>
    <t>56</t>
  </si>
  <si>
    <t>Podkladní vrstvy komunikací, letišť a ploch</t>
  </si>
  <si>
    <t>17</t>
  </si>
  <si>
    <t>564831111R00</t>
  </si>
  <si>
    <t>Podklad ze štěrkodrti po zhutnění tloušťky 10 cm</t>
  </si>
  <si>
    <t>56_</t>
  </si>
  <si>
    <t>5_</t>
  </si>
  <si>
    <t>564751114R00</t>
  </si>
  <si>
    <t>Podklad z kameniva drceného vel.32-63 mm,tl. 18 cm</t>
  </si>
  <si>
    <t>19</t>
  </si>
  <si>
    <t>564751111R00</t>
  </si>
  <si>
    <t>Podklad z kameniva drceného vel.32-63 mm,tl. 15 cm</t>
  </si>
  <si>
    <t>20</t>
  </si>
  <si>
    <t>998222012R00</t>
  </si>
  <si>
    <t>Přesun hmot, zpevněné plochy, kryt z kameniva</t>
  </si>
  <si>
    <t>57</t>
  </si>
  <si>
    <t>Kryty pozemních komunikací, letišť a ploch z kameniva nebo živičné</t>
  </si>
  <si>
    <t>577131210R</t>
  </si>
  <si>
    <t>Beton asfalt. ACO 8,nebo ACO 11, do 3 m, tl. 3 cm</t>
  </si>
  <si>
    <t>57_</t>
  </si>
  <si>
    <t>22</t>
  </si>
  <si>
    <t>573211111R</t>
  </si>
  <si>
    <t>Postřik živičný spojovací z asfaltu, množství 0,5-0,7 kg/m2</t>
  </si>
  <si>
    <t>23</t>
  </si>
  <si>
    <t>565131110R</t>
  </si>
  <si>
    <t>Podklad z obal kamen. ACP 16+, š. do 3 m, tl. 4 cm</t>
  </si>
  <si>
    <t>24</t>
  </si>
  <si>
    <t>998225311R00</t>
  </si>
  <si>
    <t>Přesun hmot, oprava komunikací, kryt živič. a bet.</t>
  </si>
  <si>
    <t>91</t>
  </si>
  <si>
    <t>Doplňující konstrukce a práce na pozemních komunikacích a zpevněných plochách</t>
  </si>
  <si>
    <t>25</t>
  </si>
  <si>
    <t>917862111R00</t>
  </si>
  <si>
    <t>Osazení stojatého obrubníku betonového, s boční opěrou, do lože z betonu C 12/15</t>
  </si>
  <si>
    <t>91_</t>
  </si>
  <si>
    <t>9_</t>
  </si>
  <si>
    <t>26</t>
  </si>
  <si>
    <t>918101111R00</t>
  </si>
  <si>
    <t>Lože pod obrubníky nebo obruby dlažeb z C 12/15</t>
  </si>
  <si>
    <t>27</t>
  </si>
  <si>
    <t>592174230</t>
  </si>
  <si>
    <t>Obrubník chodníkový ABO 16-10 v. 250 x 80 x 1000 mm přírodní</t>
  </si>
  <si>
    <t>28</t>
  </si>
  <si>
    <t>91700.01R</t>
  </si>
  <si>
    <t xml:space="preserve">Řezání obrubníků	</t>
  </si>
  <si>
    <t>29</t>
  </si>
  <si>
    <t>998224111R00</t>
  </si>
  <si>
    <t>Přesun hmot, pozemní komunikace, kryt betonový</t>
  </si>
  <si>
    <t>S</t>
  </si>
  <si>
    <t>Přesuny sutí</t>
  </si>
  <si>
    <t>30</t>
  </si>
  <si>
    <t>979082111R00</t>
  </si>
  <si>
    <t>Vnitrostaveništní doprava suti do 10 m</t>
  </si>
  <si>
    <t>S_</t>
  </si>
  <si>
    <t>31</t>
  </si>
  <si>
    <t>979083115R00</t>
  </si>
  <si>
    <t>Vodorovné přemístění suti na skládku do 4000 m</t>
  </si>
  <si>
    <t>32</t>
  </si>
  <si>
    <t>979087212R00</t>
  </si>
  <si>
    <t>Nakládání suti na dopravní prostředky - komunikace</t>
  </si>
  <si>
    <t>33</t>
  </si>
  <si>
    <t>979999996R00</t>
  </si>
  <si>
    <t>Poplatek za recyklaci asfaltu, kusovost nad 1600 cm2 (skup.170302)</t>
  </si>
  <si>
    <t>34</t>
  </si>
  <si>
    <t>979999982R00</t>
  </si>
  <si>
    <t>Poplatek za recyklaci betonu kusovost nad 1600 cm2 (skup.170101)</t>
  </si>
  <si>
    <t>35</t>
  </si>
  <si>
    <t>Poplatek za uložení, zemina a kamení, (skup.170504)</t>
  </si>
  <si>
    <t>VORN</t>
  </si>
  <si>
    <t>Vedlejší a ostatní rozpočtové náklady</t>
  </si>
  <si>
    <t>01VRN</t>
  </si>
  <si>
    <t>Průzkumy, geodetické a projektové práce</t>
  </si>
  <si>
    <t>36</t>
  </si>
  <si>
    <t>011002VRN</t>
  </si>
  <si>
    <t>Rozbor vrstvy z litého asfaltu PAU dle vyhlášky č. 283/2023 Sb.</t>
  </si>
  <si>
    <t>Soubor</t>
  </si>
  <si>
    <t>99</t>
  </si>
  <si>
    <t>01VRN_</t>
  </si>
  <si>
    <t>Â _</t>
  </si>
  <si>
    <t>Celkem:</t>
  </si>
  <si>
    <t>Poznámka:</t>
  </si>
  <si>
    <t>Zařízení staveniště = 2% z ceny</t>
  </si>
  <si>
    <t>Výkaz výměr</t>
  </si>
  <si>
    <t>Objekt</t>
  </si>
  <si>
    <t>Potřebné množství</t>
  </si>
  <si>
    <t>33,1*16,51</t>
  </si>
  <si>
    <t>33,1*16,51*0,12</t>
  </si>
  <si>
    <t>33,3*2</t>
  </si>
  <si>
    <t>16,51*2</t>
  </si>
  <si>
    <t>99,62</t>
  </si>
  <si>
    <t>(33,3*0,2*0,35)*2</t>
  </si>
  <si>
    <t>výkop pro obruby z vně strany</t>
  </si>
  <si>
    <t>(16,71*0,2*0,35)*2</t>
  </si>
  <si>
    <t>(33,14*0,18*0,18)*2</t>
  </si>
  <si>
    <t>výkop pro obruby z vni strany</t>
  </si>
  <si>
    <t>(16,15*0,18*0,18)*2</t>
  </si>
  <si>
    <t>10,19539</t>
  </si>
  <si>
    <t>(33,3*0,3)*2</t>
  </si>
  <si>
    <t>(16,71*0,3)*2</t>
  </si>
  <si>
    <t>30,006</t>
  </si>
  <si>
    <t>30,006*0,1</t>
  </si>
  <si>
    <t>;ztratné 3%; 0,090018</t>
  </si>
  <si>
    <t>3,09062</t>
  </si>
  <si>
    <t>33,7*17,11</t>
  </si>
  <si>
    <t>33,14*16,55</t>
  </si>
  <si>
    <t>asf.plocha</t>
  </si>
  <si>
    <t>(33,3*0,2)*2</t>
  </si>
  <si>
    <t>obruby z vně</t>
  </si>
  <si>
    <t>(16,71*0,2)*2</t>
  </si>
  <si>
    <t>(33,14*0,12)*2</t>
  </si>
  <si>
    <t>(16,15*0,12)*2</t>
  </si>
  <si>
    <t>(33,3*0,12)*2</t>
  </si>
  <si>
    <t>(16,71*0,12)*2</t>
  </si>
  <si>
    <t>16,55*2</t>
  </si>
  <si>
    <t>99,7*0,24*0,1</t>
  </si>
  <si>
    <t>33+33+17+17</t>
  </si>
  <si>
    <t>60,1129</t>
  </si>
  <si>
    <t>asfalt</t>
  </si>
  <si>
    <t>21,9164</t>
  </si>
  <si>
    <t>beton</t>
  </si>
  <si>
    <t>124,5977</t>
  </si>
  <si>
    <t>kamenivo</t>
  </si>
  <si>
    <t>obruby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</si>
  <si>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</si>
  <si>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</si>
  <si>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</si>
  <si>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</si>
  <si>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</si>
  <si>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</si>
  <si>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</si>
  <si>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</si>
  <si>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</si>
  <si>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</si>
  <si>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</si>
  <si>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</si>
  <si>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</si>
  <si>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</si>
  <si>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</si>
  <si>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</si>
  <si>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</si>
  <si>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</si>
  <si>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</si>
  <si>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</si>
  <si>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</si>
  <si>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</si>
  <si>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</si>
  <si>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</si>
  <si>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</si>
  <si>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</si>
  <si>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</si>
  <si>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</si>
  <si>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</si>
  <si>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</si>
  <si>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</si>
  <si>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</si>
  <si>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</si>
  <si>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</si>
  <si>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</si>
  <si>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</si>
  <si>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</si>
  <si>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</si>
  <si>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</si>
  <si>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</si>
  <si>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</si>
  <si>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</si>
  <si>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</si>
  <si>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</si>
  <si>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 xml:space="preserve">Zařízení staveniště = 2% z ceny								
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</si>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</sst>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8"/>
      <color rgb="FF000000"/>
      <name val="Arial"/>
      <charset val="238"/>
    </font>
    <font>
      <i/>
      <sz val="9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CCFFFF"/>
        <bgColor rgb="FFCCFFFF"/>
      </patternFill>
    </fill>
  </fills>
  <borders count="8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 applyProtection="1">
      <alignment horizontal="left" vertical="center"/>
      <protection locked="0"/>
    </xf>
    <xf numFmtId="4" fontId="2" fillId="2" borderId="29" xfId="0" applyNumberFormat="1" applyFont="1" applyFill="1" applyBorder="1" applyAlignment="1">
      <alignment horizontal="right" vertical="center"/>
    </xf>
    <xf numFmtId="0" fontId="2" fillId="2" borderId="30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3" borderId="0" xfId="0" applyNumberFormat="1" applyFont="1" applyFill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3" fillId="0" borderId="32" xfId="0" applyNumberFormat="1" applyFont="1" applyBorder="1" applyAlignment="1">
      <alignment horizontal="right" vertical="center"/>
    </xf>
    <xf numFmtId="4" fontId="3" fillId="3" borderId="32" xfId="0" applyNumberFormat="1" applyFont="1" applyFill="1" applyBorder="1" applyAlignment="1" applyProtection="1">
      <alignment horizontal="right" vertical="center"/>
      <protection locked="0"/>
    </xf>
    <xf numFmtId="0" fontId="3" fillId="0" borderId="33" xfId="0" applyFont="1" applyBorder="1" applyAlignment="1">
      <alignment horizontal="right" vertical="center"/>
    </xf>
    <xf numFmtId="4" fontId="2" fillId="0" borderId="34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9" xfId="0" applyFont="1" applyBorder="1" applyAlignment="1">
      <alignment horizontal="right" vertical="center"/>
    </xf>
    <xf numFmtId="0" fontId="2" fillId="0" borderId="40" xfId="0" applyFont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0" fontId="0" fillId="0" borderId="6" xfId="0" applyBorder="1"/>
    <xf numFmtId="0" fontId="2" fillId="2" borderId="5" xfId="0" applyFont="1" applyFill="1" applyBorder="1" applyAlignment="1">
      <alignment horizontal="left" vertical="center"/>
    </xf>
    <xf numFmtId="0" fontId="0" fillId="0" borderId="31" xfId="0" applyBorder="1"/>
    <xf numFmtId="0" fontId="0" fillId="0" borderId="32" xfId="0" applyBorder="1"/>
    <xf numFmtId="0" fontId="5" fillId="0" borderId="32" xfId="0" applyFont="1" applyBorder="1" applyAlignment="1">
      <alignment horizontal="left" vertical="center"/>
    </xf>
    <xf numFmtId="4" fontId="5" fillId="0" borderId="32" xfId="0" applyNumberFormat="1" applyFont="1" applyBorder="1" applyAlignment="1">
      <alignment horizontal="right" vertical="center"/>
    </xf>
    <xf numFmtId="0" fontId="0" fillId="0" borderId="33" xfId="0" applyBorder="1"/>
    <xf numFmtId="0" fontId="7" fillId="2" borderId="42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4" fontId="10" fillId="0" borderId="47" xfId="0" applyNumberFormat="1" applyFont="1" applyBorder="1" applyAlignment="1">
      <alignment horizontal="right" vertical="center"/>
    </xf>
    <xf numFmtId="0" fontId="10" fillId="0" borderId="47" xfId="0" applyFont="1" applyBorder="1" applyAlignment="1">
      <alignment horizontal="right" vertical="center"/>
    </xf>
    <xf numFmtId="0" fontId="9" fillId="0" borderId="50" xfId="0" applyFont="1" applyBorder="1" applyAlignment="1">
      <alignment horizontal="left" vertical="center"/>
    </xf>
    <xf numFmtId="4" fontId="10" fillId="0" borderId="54" xfId="0" applyNumberFormat="1" applyFont="1" applyBorder="1" applyAlignment="1">
      <alignment horizontal="right" vertical="center"/>
    </xf>
    <xf numFmtId="0" fontId="10" fillId="0" borderId="54" xfId="0" applyFont="1" applyBorder="1" applyAlignment="1">
      <alignment horizontal="right" vertical="center"/>
    </xf>
    <xf numFmtId="4" fontId="10" fillId="0" borderId="45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9" fillId="2" borderId="44" xfId="0" applyNumberFormat="1" applyFont="1" applyFill="1" applyBorder="1" applyAlignment="1">
      <alignment horizontal="right" vertical="center"/>
    </xf>
    <xf numFmtId="4" fontId="9" fillId="2" borderId="49" xfId="0" applyNumberFormat="1" applyFont="1" applyFill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2" fillId="0" borderId="70" xfId="0" applyFont="1" applyBorder="1" applyAlignment="1">
      <alignment horizontal="right" vertical="center"/>
    </xf>
    <xf numFmtId="4" fontId="3" fillId="0" borderId="47" xfId="0" applyNumberFormat="1" applyFont="1" applyBorder="1" applyAlignment="1">
      <alignment horizontal="right" vertical="center"/>
    </xf>
    <xf numFmtId="0" fontId="3" fillId="0" borderId="47" xfId="0" applyFont="1" applyBorder="1" applyAlignment="1">
      <alignment horizontal="left" vertical="center"/>
    </xf>
    <xf numFmtId="4" fontId="3" fillId="0" borderId="74" xfId="0" applyNumberFormat="1" applyFont="1" applyBorder="1" applyAlignment="1">
      <alignment horizontal="right" vertical="center"/>
    </xf>
    <xf numFmtId="0" fontId="3" fillId="0" borderId="74" xfId="0" applyFont="1" applyBorder="1" applyAlignment="1">
      <alignment horizontal="left" vertical="center"/>
    </xf>
    <xf numFmtId="0" fontId="2" fillId="0" borderId="78" xfId="0" applyFont="1" applyBorder="1" applyAlignment="1">
      <alignment horizontal="left" vertical="center"/>
    </xf>
    <xf numFmtId="0" fontId="2" fillId="0" borderId="78" xfId="0" applyFont="1" applyBorder="1" applyAlignment="1">
      <alignment horizontal="right" vertical="center"/>
    </xf>
    <xf numFmtId="4" fontId="2" fillId="0" borderId="78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3" borderId="6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49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2" borderId="56" xfId="0" applyFont="1" applyFill="1" applyBorder="1" applyAlignment="1">
      <alignment horizontal="left" vertical="center"/>
    </xf>
    <xf numFmtId="0" fontId="9" fillId="2" borderId="57" xfId="0" applyFont="1" applyFill="1" applyBorder="1" applyAlignment="1">
      <alignment horizontal="left" vertical="center"/>
    </xf>
    <xf numFmtId="0" fontId="9" fillId="2" borderId="51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left" vertical="center"/>
    </xf>
    <xf numFmtId="0" fontId="9" fillId="2" borderId="48" xfId="0" applyFont="1" applyFill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65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71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6" xfId="0" applyFont="1" applyBorder="1" applyAlignment="1">
      <alignment horizontal="left" vertical="center"/>
    </xf>
    <xf numFmtId="0" fontId="2" fillId="0" borderId="77" xfId="0" applyFont="1" applyBorder="1" applyAlignment="1">
      <alignment horizontal="left" vertical="center"/>
    </xf>
    <xf numFmtId="0" fontId="9" fillId="0" borderId="75" xfId="0" applyFont="1" applyBorder="1" applyAlignment="1">
      <alignment horizontal="left" vertical="center"/>
    </xf>
    <xf numFmtId="0" fontId="9" fillId="0" borderId="76" xfId="0" applyFont="1" applyBorder="1" applyAlignment="1">
      <alignment horizontal="left" vertical="center"/>
    </xf>
    <xf numFmtId="0" fontId="9" fillId="0" borderId="77" xfId="0" applyFont="1" applyBorder="1" applyAlignment="1">
      <alignment horizontal="left" vertical="center"/>
    </xf>
    <xf numFmtId="4" fontId="9" fillId="0" borderId="79" xfId="0" applyNumberFormat="1" applyFont="1" applyBorder="1" applyAlignment="1">
      <alignment horizontal="right" vertical="center"/>
    </xf>
    <xf numFmtId="0" fontId="9" fillId="0" borderId="76" xfId="0" applyFont="1" applyBorder="1" applyAlignment="1">
      <alignment horizontal="right" vertical="center"/>
    </xf>
    <xf numFmtId="0" fontId="9" fillId="0" borderId="77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7"/>
  <sheetViews>
    <sheetView tabSelected="1" workbookViewId="0">
      <selection activeCell="A37" sqref="A37:I37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7.109375" customWidth="1"/>
    <col min="4" max="4" width="10" customWidth="1"/>
    <col min="5" max="5" width="14" customWidth="1"/>
    <col min="6" max="6" width="27.109375" customWidth="1"/>
    <col min="7" max="7" width="9.109375" customWidth="1"/>
    <col min="8" max="8" width="12.88671875" customWidth="1"/>
    <col min="9" max="9" width="27.109375" customWidth="1"/>
  </cols>
  <sheetData>
    <row r="1" spans="1:9" ht="54.75" customHeight="1" x14ac:dyDescent="0.3">
      <c r="A1" s="119" t="s">
        <v>246</v>
      </c>
      <c r="B1" s="80"/>
      <c r="C1" s="80"/>
      <c r="D1" s="80"/>
      <c r="E1" s="80"/>
      <c r="F1" s="80"/>
      <c r="G1" s="80"/>
      <c r="H1" s="80"/>
      <c r="I1" s="80"/>
    </row>
    <row r="2" spans="1:9" ht="14.4" x14ac:dyDescent="0.3">
      <c r="A2" s="81" t="s">
        <v>1</v>
      </c>
      <c r="B2" s="82"/>
      <c r="C2" s="90" t="str">
        <f>'Stavební rozpočet'!C2</f>
        <v>ZŠ Severovýchod - oprava asfaltového hřiště</v>
      </c>
      <c r="D2" s="91"/>
      <c r="E2" s="88" t="s">
        <v>5</v>
      </c>
      <c r="F2" s="88" t="str">
        <f>'Stavební rozpočet'!I2</f>
        <v> </v>
      </c>
      <c r="G2" s="82"/>
      <c r="H2" s="88" t="s">
        <v>247</v>
      </c>
      <c r="I2" s="96" t="s">
        <v>48</v>
      </c>
    </row>
    <row r="3" spans="1:9" ht="15" customHeight="1" x14ac:dyDescent="0.3">
      <c r="A3" s="83"/>
      <c r="B3" s="84"/>
      <c r="C3" s="92"/>
      <c r="D3" s="92"/>
      <c r="E3" s="84"/>
      <c r="F3" s="84"/>
      <c r="G3" s="84"/>
      <c r="H3" s="84"/>
      <c r="I3" s="97"/>
    </row>
    <row r="4" spans="1:9" ht="14.4" x14ac:dyDescent="0.3">
      <c r="A4" s="85" t="s">
        <v>7</v>
      </c>
      <c r="B4" s="84"/>
      <c r="C4" s="89" t="str">
        <f>'Stavební rozpočet'!C4</f>
        <v xml:space="preserve"> </v>
      </c>
      <c r="D4" s="84"/>
      <c r="E4" s="89" t="s">
        <v>10</v>
      </c>
      <c r="F4" s="89" t="str">
        <f>'Stavební rozpočet'!I4</f>
        <v> </v>
      </c>
      <c r="G4" s="84"/>
      <c r="H4" s="89" t="s">
        <v>247</v>
      </c>
      <c r="I4" s="97" t="s">
        <v>48</v>
      </c>
    </row>
    <row r="5" spans="1:9" ht="15" customHeight="1" x14ac:dyDescent="0.3">
      <c r="A5" s="83"/>
      <c r="B5" s="84"/>
      <c r="C5" s="84"/>
      <c r="D5" s="84"/>
      <c r="E5" s="84"/>
      <c r="F5" s="84"/>
      <c r="G5" s="84"/>
      <c r="H5" s="84"/>
      <c r="I5" s="97"/>
    </row>
    <row r="6" spans="1:9" ht="14.4" x14ac:dyDescent="0.3">
      <c r="A6" s="85" t="s">
        <v>11</v>
      </c>
      <c r="B6" s="84"/>
      <c r="C6" s="89" t="str">
        <f>'Stavební rozpočet'!C6</f>
        <v>Zábřeh</v>
      </c>
      <c r="D6" s="84"/>
      <c r="E6" s="89" t="s">
        <v>14</v>
      </c>
      <c r="F6" s="89" t="str">
        <f>'Stavební rozpočet'!I6</f>
        <v> </v>
      </c>
      <c r="G6" s="84"/>
      <c r="H6" s="89" t="s">
        <v>247</v>
      </c>
      <c r="I6" s="97" t="s">
        <v>48</v>
      </c>
    </row>
    <row r="7" spans="1:9" ht="15" customHeight="1" x14ac:dyDescent="0.3">
      <c r="A7" s="83"/>
      <c r="B7" s="84"/>
      <c r="C7" s="84"/>
      <c r="D7" s="84"/>
      <c r="E7" s="84"/>
      <c r="F7" s="84"/>
      <c r="G7" s="84"/>
      <c r="H7" s="84"/>
      <c r="I7" s="97"/>
    </row>
    <row r="8" spans="1:9" ht="14.4" x14ac:dyDescent="0.3">
      <c r="A8" s="85" t="s">
        <v>8</v>
      </c>
      <c r="B8" s="84"/>
      <c r="C8" s="89" t="str">
        <f>'Stavební rozpočet'!G4</f>
        <v>01.04.2026</v>
      </c>
      <c r="D8" s="84"/>
      <c r="E8" s="89" t="s">
        <v>13</v>
      </c>
      <c r="F8" s="89" t="str">
        <f>'Stavební rozpočet'!G6</f>
        <v xml:space="preserve"> </v>
      </c>
      <c r="G8" s="84"/>
      <c r="H8" s="84" t="s">
        <v>248</v>
      </c>
      <c r="I8" s="121">
        <v>36</v>
      </c>
    </row>
    <row r="9" spans="1:9" ht="14.4" x14ac:dyDescent="0.3">
      <c r="A9" s="83"/>
      <c r="B9" s="84"/>
      <c r="C9" s="84"/>
      <c r="D9" s="84"/>
      <c r="E9" s="84"/>
      <c r="F9" s="84"/>
      <c r="G9" s="84"/>
      <c r="H9" s="84"/>
      <c r="I9" s="97"/>
    </row>
    <row r="10" spans="1:9" ht="14.4" x14ac:dyDescent="0.3">
      <c r="A10" s="85" t="s">
        <v>15</v>
      </c>
      <c r="B10" s="84"/>
      <c r="C10" s="89" t="str">
        <f>'Stavební rozpočet'!C8</f>
        <v xml:space="preserve"> </v>
      </c>
      <c r="D10" s="84"/>
      <c r="E10" s="89" t="s">
        <v>18</v>
      </c>
      <c r="F10" s="89" t="str">
        <f>'Stavební rozpočet'!I8</f>
        <v> </v>
      </c>
      <c r="G10" s="84"/>
      <c r="H10" s="84" t="s">
        <v>249</v>
      </c>
      <c r="I10" s="122" t="str">
        <f>'Stavební rozpočet'!G8</f>
        <v>03.03.2026</v>
      </c>
    </row>
    <row r="11" spans="1:9" ht="14.4" x14ac:dyDescent="0.3">
      <c r="A11" s="120"/>
      <c r="B11" s="112"/>
      <c r="C11" s="112"/>
      <c r="D11" s="112"/>
      <c r="E11" s="112"/>
      <c r="F11" s="112"/>
      <c r="G11" s="112"/>
      <c r="H11" s="112"/>
      <c r="I11" s="123"/>
    </row>
    <row r="12" spans="1:9" ht="22.8" x14ac:dyDescent="0.3">
      <c r="A12" s="124" t="s">
        <v>250</v>
      </c>
      <c r="B12" s="124"/>
      <c r="C12" s="124"/>
      <c r="D12" s="124"/>
      <c r="E12" s="124"/>
      <c r="F12" s="124"/>
      <c r="G12" s="124"/>
      <c r="H12" s="124"/>
      <c r="I12" s="124"/>
    </row>
    <row r="13" spans="1:9" ht="26.25" customHeight="1" x14ac:dyDescent="0.3">
      <c r="A13" s="58" t="s">
        <v>251</v>
      </c>
      <c r="B13" s="125" t="s">
        <v>252</v>
      </c>
      <c r="C13" s="126"/>
      <c r="D13" s="59" t="s">
        <v>253</v>
      </c>
      <c r="E13" s="125" t="s">
        <v>254</v>
      </c>
      <c r="F13" s="126"/>
      <c r="G13" s="59" t="s">
        <v>255</v>
      </c>
      <c r="H13" s="125" t="s">
        <v>256</v>
      </c>
      <c r="I13" s="126"/>
    </row>
    <row r="14" spans="1:9" ht="15.6" x14ac:dyDescent="0.3">
      <c r="A14" s="60" t="s">
        <v>257</v>
      </c>
      <c r="B14" s="61" t="s">
        <v>258</v>
      </c>
      <c r="C14" s="62">
        <f>SUM('Stavební rozpočet'!AB12:AB118)</f>
        <v>0</v>
      </c>
      <c r="D14" s="133" t="s">
        <v>259</v>
      </c>
      <c r="E14" s="134"/>
      <c r="F14" s="62">
        <f>VORN!I15</f>
        <v>0</v>
      </c>
      <c r="G14" s="133" t="s">
        <v>260</v>
      </c>
      <c r="H14" s="134"/>
      <c r="I14" s="63">
        <f>VORN!I21</f>
        <v>0</v>
      </c>
    </row>
    <row r="15" spans="1:9" ht="15.6" x14ac:dyDescent="0.3">
      <c r="A15" s="64" t="s">
        <v>48</v>
      </c>
      <c r="B15" s="61" t="s">
        <v>33</v>
      </c>
      <c r="C15" s="62">
        <f>SUM('Stavební rozpočet'!AC12:AC118)</f>
        <v>0</v>
      </c>
      <c r="D15" s="133" t="s">
        <v>261</v>
      </c>
      <c r="E15" s="134"/>
      <c r="F15" s="62">
        <f>VORN!I16</f>
        <v>0</v>
      </c>
      <c r="G15" s="133" t="s">
        <v>262</v>
      </c>
      <c r="H15" s="134"/>
      <c r="I15" s="63">
        <f>VORN!I22</f>
        <v>0</v>
      </c>
    </row>
    <row r="16" spans="1:9" ht="15.6" x14ac:dyDescent="0.3">
      <c r="A16" s="60" t="s">
        <v>263</v>
      </c>
      <c r="B16" s="61" t="s">
        <v>258</v>
      </c>
      <c r="C16" s="62">
        <f>SUM('Stavební rozpočet'!AD12:AD118)</f>
        <v>0</v>
      </c>
      <c r="D16" s="133" t="s">
        <v>264</v>
      </c>
      <c r="E16" s="134"/>
      <c r="F16" s="62">
        <f>VORN!I17</f>
        <v>0</v>
      </c>
      <c r="G16" s="133" t="s">
        <v>265</v>
      </c>
      <c r="H16" s="134"/>
      <c r="I16" s="63">
        <f>VORN!I23</f>
        <v>0</v>
      </c>
    </row>
    <row r="17" spans="1:9" ht="15.6" x14ac:dyDescent="0.3">
      <c r="A17" s="64" t="s">
        <v>48</v>
      </c>
      <c r="B17" s="61" t="s">
        <v>33</v>
      </c>
      <c r="C17" s="62">
        <f>SUM('Stavební rozpočet'!AE12:AE118)</f>
        <v>0</v>
      </c>
      <c r="D17" s="133" t="s">
        <v>48</v>
      </c>
      <c r="E17" s="134"/>
      <c r="F17" s="63" t="s">
        <v>48</v>
      </c>
      <c r="G17" s="133" t="s">
        <v>266</v>
      </c>
      <c r="H17" s="134"/>
      <c r="I17" s="63">
        <f>VORN!I24</f>
        <v>0</v>
      </c>
    </row>
    <row r="18" spans="1:9" ht="15.6" x14ac:dyDescent="0.3">
      <c r="A18" s="60" t="s">
        <v>267</v>
      </c>
      <c r="B18" s="61" t="s">
        <v>258</v>
      </c>
      <c r="C18" s="62">
        <f>SUM('Stavební rozpočet'!AF12:AF118)</f>
        <v>0</v>
      </c>
      <c r="D18" s="133" t="s">
        <v>48</v>
      </c>
      <c r="E18" s="134"/>
      <c r="F18" s="63" t="s">
        <v>48</v>
      </c>
      <c r="G18" s="133" t="s">
        <v>268</v>
      </c>
      <c r="H18" s="134"/>
      <c r="I18" s="63">
        <f>VORN!I25</f>
        <v>0</v>
      </c>
    </row>
    <row r="19" spans="1:9" ht="15.6" x14ac:dyDescent="0.3">
      <c r="A19" s="64" t="s">
        <v>48</v>
      </c>
      <c r="B19" s="61" t="s">
        <v>33</v>
      </c>
      <c r="C19" s="62">
        <f>SUM('Stavební rozpočet'!AG12:AG118)</f>
        <v>0</v>
      </c>
      <c r="D19" s="133" t="s">
        <v>48</v>
      </c>
      <c r="E19" s="134"/>
      <c r="F19" s="63" t="s">
        <v>48</v>
      </c>
      <c r="G19" s="133" t="s">
        <v>269</v>
      </c>
      <c r="H19" s="134"/>
      <c r="I19" s="63">
        <f>VORN!I26</f>
        <v>0</v>
      </c>
    </row>
    <row r="20" spans="1:9" ht="15.6" x14ac:dyDescent="0.3">
      <c r="A20" s="127" t="s">
        <v>270</v>
      </c>
      <c r="B20" s="128"/>
      <c r="C20" s="62">
        <f>SUM('Stavební rozpočet'!AH12:AH118)</f>
        <v>0</v>
      </c>
      <c r="D20" s="133" t="s">
        <v>48</v>
      </c>
      <c r="E20" s="134"/>
      <c r="F20" s="63" t="s">
        <v>48</v>
      </c>
      <c r="G20" s="133" t="s">
        <v>48</v>
      </c>
      <c r="H20" s="134"/>
      <c r="I20" s="63" t="s">
        <v>48</v>
      </c>
    </row>
    <row r="21" spans="1:9" ht="15.6" x14ac:dyDescent="0.3">
      <c r="A21" s="129" t="s">
        <v>271</v>
      </c>
      <c r="B21" s="130"/>
      <c r="C21" s="65">
        <f>SUM('Stavební rozpočet'!Z12:Z118)</f>
        <v>0</v>
      </c>
      <c r="D21" s="135" t="s">
        <v>48</v>
      </c>
      <c r="E21" s="136"/>
      <c r="F21" s="66" t="s">
        <v>48</v>
      </c>
      <c r="G21" s="135" t="s">
        <v>48</v>
      </c>
      <c r="H21" s="136"/>
      <c r="I21" s="66" t="s">
        <v>48</v>
      </c>
    </row>
    <row r="22" spans="1:9" ht="16.5" customHeight="1" x14ac:dyDescent="0.3">
      <c r="A22" s="131" t="s">
        <v>272</v>
      </c>
      <c r="B22" s="132"/>
      <c r="C22" s="67">
        <f>ROUND(SUM(C14:C21),2)</f>
        <v>0</v>
      </c>
      <c r="D22" s="137" t="s">
        <v>273</v>
      </c>
      <c r="E22" s="132"/>
      <c r="F22" s="67">
        <f>SUM(F14:F21)</f>
        <v>0</v>
      </c>
      <c r="G22" s="137" t="s">
        <v>274</v>
      </c>
      <c r="H22" s="132"/>
      <c r="I22" s="67">
        <f>SUM(I14:I21)</f>
        <v>0</v>
      </c>
    </row>
    <row r="23" spans="1:9" ht="15.6" x14ac:dyDescent="0.3">
      <c r="D23" s="127" t="s">
        <v>275</v>
      </c>
      <c r="E23" s="128"/>
      <c r="F23" s="68">
        <v>0</v>
      </c>
      <c r="G23" s="138" t="s">
        <v>276</v>
      </c>
      <c r="H23" s="128"/>
      <c r="I23" s="62">
        <v>0</v>
      </c>
    </row>
    <row r="24" spans="1:9" ht="15.6" x14ac:dyDescent="0.3">
      <c r="G24" s="127" t="s">
        <v>277</v>
      </c>
      <c r="H24" s="128"/>
      <c r="I24" s="65">
        <f>vorn_sum</f>
        <v>0</v>
      </c>
    </row>
    <row r="25" spans="1:9" ht="15.6" x14ac:dyDescent="0.3">
      <c r="G25" s="127" t="s">
        <v>278</v>
      </c>
      <c r="H25" s="128"/>
      <c r="I25" s="67">
        <v>0</v>
      </c>
    </row>
    <row r="27" spans="1:9" ht="15.6" x14ac:dyDescent="0.3">
      <c r="A27" s="139" t="s">
        <v>279</v>
      </c>
      <c r="B27" s="140"/>
      <c r="C27" s="69">
        <f>ROUND(SUM('Stavební rozpočet'!AJ12:AJ118),2)</f>
        <v>0</v>
      </c>
    </row>
    <row r="28" spans="1:9" ht="15.6" x14ac:dyDescent="0.3">
      <c r="A28" s="141" t="s">
        <v>280</v>
      </c>
      <c r="B28" s="142"/>
      <c r="C28" s="70">
        <f>ROUND(SUM('Stavební rozpočet'!AK12:AK118),2)</f>
        <v>0</v>
      </c>
      <c r="D28" s="143" t="s">
        <v>281</v>
      </c>
      <c r="E28" s="140"/>
      <c r="F28" s="69">
        <f>ROUND(C28*(12/100),2)</f>
        <v>0</v>
      </c>
      <c r="G28" s="143" t="s">
        <v>282</v>
      </c>
      <c r="H28" s="140"/>
      <c r="I28" s="69">
        <f>ROUND(SUM(C27:C29),2)</f>
        <v>0</v>
      </c>
    </row>
    <row r="29" spans="1:9" ht="15.6" x14ac:dyDescent="0.3">
      <c r="A29" s="141" t="s">
        <v>283</v>
      </c>
      <c r="B29" s="142"/>
      <c r="C29" s="70">
        <f>ROUND(SUM('Stavební rozpočet'!AL12:AL118),2)</f>
        <v>0</v>
      </c>
      <c r="D29" s="144" t="s">
        <v>284</v>
      </c>
      <c r="E29" s="142"/>
      <c r="F29" s="70">
        <f>ROUND(C29*(21/100),2)</f>
        <v>0</v>
      </c>
      <c r="G29" s="144" t="s">
        <v>285</v>
      </c>
      <c r="H29" s="142"/>
      <c r="I29" s="70">
        <f>ROUND(SUM(F28:F29)+I28,2)</f>
        <v>0</v>
      </c>
    </row>
    <row r="31" spans="1:9" x14ac:dyDescent="0.3">
      <c r="A31" s="145" t="s">
        <v>286</v>
      </c>
      <c r="B31" s="146"/>
      <c r="C31" s="147"/>
      <c r="D31" s="154" t="s">
        <v>287</v>
      </c>
      <c r="E31" s="146"/>
      <c r="F31" s="147"/>
      <c r="G31" s="154" t="s">
        <v>288</v>
      </c>
      <c r="H31" s="146"/>
      <c r="I31" s="147"/>
    </row>
    <row r="32" spans="1:9" x14ac:dyDescent="0.3">
      <c r="A32" s="148" t="s">
        <v>48</v>
      </c>
      <c r="B32" s="149"/>
      <c r="C32" s="150"/>
      <c r="D32" s="155" t="s">
        <v>48</v>
      </c>
      <c r="E32" s="149"/>
      <c r="F32" s="150"/>
      <c r="G32" s="155" t="s">
        <v>48</v>
      </c>
      <c r="H32" s="149"/>
      <c r="I32" s="150"/>
    </row>
    <row r="33" spans="1:9" x14ac:dyDescent="0.3">
      <c r="A33" s="148" t="s">
        <v>48</v>
      </c>
      <c r="B33" s="149"/>
      <c r="C33" s="150"/>
      <c r="D33" s="155" t="s">
        <v>48</v>
      </c>
      <c r="E33" s="149"/>
      <c r="F33" s="150"/>
      <c r="G33" s="155" t="s">
        <v>48</v>
      </c>
      <c r="H33" s="149"/>
      <c r="I33" s="150"/>
    </row>
    <row r="34" spans="1:9" x14ac:dyDescent="0.3">
      <c r="A34" s="148" t="s">
        <v>48</v>
      </c>
      <c r="B34" s="149"/>
      <c r="C34" s="150"/>
      <c r="D34" s="155" t="s">
        <v>48</v>
      </c>
      <c r="E34" s="149"/>
      <c r="F34" s="150"/>
      <c r="G34" s="155" t="s">
        <v>48</v>
      </c>
      <c r="H34" s="149"/>
      <c r="I34" s="150"/>
    </row>
    <row r="35" spans="1:9" x14ac:dyDescent="0.3">
      <c r="A35" s="151" t="s">
        <v>289</v>
      </c>
      <c r="B35" s="152"/>
      <c r="C35" s="153"/>
      <c r="D35" s="156" t="s">
        <v>289</v>
      </c>
      <c r="E35" s="152"/>
      <c r="F35" s="153"/>
      <c r="G35" s="156" t="s">
        <v>289</v>
      </c>
      <c r="H35" s="152"/>
      <c r="I35" s="153"/>
    </row>
    <row r="36" spans="1:9" ht="14.4" x14ac:dyDescent="0.3">
      <c r="A36" s="71" t="s">
        <v>203</v>
      </c>
    </row>
    <row r="37" spans="1:9" ht="13.5" customHeight="1" x14ac:dyDescent="0.3">
      <c r="A37" s="89" t="s">
        <v>290</v>
      </c>
      <c r="B37" s="84"/>
      <c r="C37" s="84"/>
      <c r="D37" s="84"/>
      <c r="E37" s="84"/>
      <c r="F37" s="84"/>
      <c r="G37" s="84"/>
      <c r="H37" s="84"/>
      <c r="I37" s="84"/>
    </row>
  </sheetData>
  <sheetProtection password="DDAD" sheet="1"/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2"/>
  <sheetViews>
    <sheetView workbookViewId="0">
      <pane ySplit="11" topLeftCell="A12" activePane="bottomLeft" state="frozen"/>
      <selection pane="bottomLeft" activeCell="A62" sqref="A62:K62"/>
    </sheetView>
  </sheetViews>
  <sheetFormatPr defaultColWidth="12.109375" defaultRowHeight="15" customHeight="1" x14ac:dyDescent="0.3"/>
  <cols>
    <col min="1" max="1" width="4" customWidth="1"/>
    <col min="2" max="2" width="17.88671875" customWidth="1"/>
    <col min="3" max="3" width="42.88671875" customWidth="1"/>
    <col min="4" max="4" width="35.6640625" customWidth="1"/>
    <col min="5" max="5" width="8.44140625" customWidth="1"/>
    <col min="6" max="6" width="12.88671875" customWidth="1"/>
    <col min="7" max="7" width="12" customWidth="1"/>
    <col min="8" max="10" width="15.6640625" customWidth="1"/>
    <col min="11" max="11" width="14.6640625" customWidth="1"/>
    <col min="25" max="75" width="12.109375" hidden="1"/>
    <col min="76" max="76" width="78.5546875" hidden="1" customWidth="1"/>
    <col min="77" max="78" width="12.109375" hidden="1"/>
  </cols>
  <sheetData>
    <row r="1" spans="1:76" ht="54.75" customHeight="1" x14ac:dyDescent="0.3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ht="14.4" x14ac:dyDescent="0.3">
      <c r="A2" s="81" t="s">
        <v>1</v>
      </c>
      <c r="B2" s="82"/>
      <c r="C2" s="90" t="s">
        <v>2</v>
      </c>
      <c r="D2" s="91"/>
      <c r="E2" s="82" t="s">
        <v>3</v>
      </c>
      <c r="F2" s="82"/>
      <c r="G2" s="93" t="s">
        <v>4</v>
      </c>
      <c r="H2" s="88" t="s">
        <v>5</v>
      </c>
      <c r="I2" s="82" t="s">
        <v>6</v>
      </c>
      <c r="J2" s="82"/>
      <c r="K2" s="96"/>
    </row>
    <row r="3" spans="1:76" ht="14.4" x14ac:dyDescent="0.3">
      <c r="A3" s="83"/>
      <c r="B3" s="84"/>
      <c r="C3" s="92"/>
      <c r="D3" s="92"/>
      <c r="E3" s="84"/>
      <c r="F3" s="84"/>
      <c r="G3" s="94"/>
      <c r="H3" s="84"/>
      <c r="I3" s="84"/>
      <c r="J3" s="84"/>
      <c r="K3" s="97"/>
    </row>
    <row r="4" spans="1:76" ht="14.4" x14ac:dyDescent="0.3">
      <c r="A4" s="85" t="s">
        <v>7</v>
      </c>
      <c r="B4" s="84"/>
      <c r="C4" s="89" t="s">
        <v>4</v>
      </c>
      <c r="D4" s="84"/>
      <c r="E4" s="84" t="s">
        <v>8</v>
      </c>
      <c r="F4" s="84"/>
      <c r="G4" s="94" t="s">
        <v>9</v>
      </c>
      <c r="H4" s="89" t="s">
        <v>10</v>
      </c>
      <c r="I4" s="84" t="s">
        <v>6</v>
      </c>
      <c r="J4" s="84"/>
      <c r="K4" s="97"/>
    </row>
    <row r="5" spans="1:76" ht="14.4" x14ac:dyDescent="0.3">
      <c r="A5" s="83"/>
      <c r="B5" s="84"/>
      <c r="C5" s="84"/>
      <c r="D5" s="84"/>
      <c r="E5" s="84"/>
      <c r="F5" s="84"/>
      <c r="G5" s="94"/>
      <c r="H5" s="84"/>
      <c r="I5" s="84"/>
      <c r="J5" s="84"/>
      <c r="K5" s="97"/>
    </row>
    <row r="6" spans="1:76" ht="14.4" x14ac:dyDescent="0.3">
      <c r="A6" s="85" t="s">
        <v>11</v>
      </c>
      <c r="B6" s="84"/>
      <c r="C6" s="89" t="s">
        <v>12</v>
      </c>
      <c r="D6" s="84"/>
      <c r="E6" s="84" t="s">
        <v>13</v>
      </c>
      <c r="F6" s="84"/>
      <c r="G6" s="94" t="s">
        <v>4</v>
      </c>
      <c r="H6" s="89" t="s">
        <v>14</v>
      </c>
      <c r="I6" s="94" t="s">
        <v>6</v>
      </c>
      <c r="J6" s="94"/>
      <c r="K6" s="98"/>
    </row>
    <row r="7" spans="1:76" ht="14.4" x14ac:dyDescent="0.3">
      <c r="A7" s="83"/>
      <c r="B7" s="84"/>
      <c r="C7" s="84"/>
      <c r="D7" s="84"/>
      <c r="E7" s="84"/>
      <c r="F7" s="84"/>
      <c r="G7" s="94"/>
      <c r="H7" s="84"/>
      <c r="I7" s="94"/>
      <c r="J7" s="94"/>
      <c r="K7" s="98"/>
    </row>
    <row r="8" spans="1:76" ht="14.4" x14ac:dyDescent="0.3">
      <c r="A8" s="85" t="s">
        <v>15</v>
      </c>
      <c r="B8" s="84"/>
      <c r="C8" s="89" t="s">
        <v>4</v>
      </c>
      <c r="D8" s="84"/>
      <c r="E8" s="84" t="s">
        <v>16</v>
      </c>
      <c r="F8" s="84"/>
      <c r="G8" s="94" t="s">
        <v>17</v>
      </c>
      <c r="H8" s="89" t="s">
        <v>18</v>
      </c>
      <c r="I8" s="94" t="s">
        <v>6</v>
      </c>
      <c r="J8" s="94"/>
      <c r="K8" s="98"/>
    </row>
    <row r="9" spans="1:76" ht="14.4" x14ac:dyDescent="0.3">
      <c r="A9" s="86"/>
      <c r="B9" s="87"/>
      <c r="C9" s="87"/>
      <c r="D9" s="87"/>
      <c r="E9" s="87"/>
      <c r="F9" s="87"/>
      <c r="G9" s="95"/>
      <c r="H9" s="87"/>
      <c r="I9" s="95"/>
      <c r="J9" s="95"/>
      <c r="K9" s="99"/>
    </row>
    <row r="10" spans="1:76" ht="14.4" x14ac:dyDescent="0.3">
      <c r="A10" s="5" t="s">
        <v>19</v>
      </c>
      <c r="B10" s="6" t="s">
        <v>20</v>
      </c>
      <c r="C10" s="100" t="s">
        <v>21</v>
      </c>
      <c r="D10" s="101"/>
      <c r="E10" s="6" t="s">
        <v>22</v>
      </c>
      <c r="F10" s="7" t="s">
        <v>23</v>
      </c>
      <c r="G10" s="8" t="s">
        <v>24</v>
      </c>
      <c r="H10" s="104" t="s">
        <v>25</v>
      </c>
      <c r="I10" s="105"/>
      <c r="J10" s="106"/>
      <c r="K10" s="9" t="s">
        <v>26</v>
      </c>
      <c r="BK10" s="10" t="s">
        <v>27</v>
      </c>
      <c r="BL10" s="11" t="s">
        <v>28</v>
      </c>
      <c r="BW10" s="11" t="s">
        <v>29</v>
      </c>
    </row>
    <row r="11" spans="1:76" ht="14.4" x14ac:dyDescent="0.3">
      <c r="A11" s="12" t="s">
        <v>4</v>
      </c>
      <c r="B11" s="13" t="s">
        <v>4</v>
      </c>
      <c r="C11" s="102" t="s">
        <v>30</v>
      </c>
      <c r="D11" s="103"/>
      <c r="E11" s="13" t="s">
        <v>4</v>
      </c>
      <c r="F11" s="13" t="s">
        <v>4</v>
      </c>
      <c r="G11" s="14" t="s">
        <v>31</v>
      </c>
      <c r="H11" s="15" t="s">
        <v>32</v>
      </c>
      <c r="I11" s="16" t="s">
        <v>33</v>
      </c>
      <c r="J11" s="17" t="s">
        <v>34</v>
      </c>
      <c r="K11" s="18" t="s">
        <v>35</v>
      </c>
      <c r="Z11" s="10" t="s">
        <v>36</v>
      </c>
      <c r="AA11" s="10" t="s">
        <v>37</v>
      </c>
      <c r="AB11" s="10" t="s">
        <v>38</v>
      </c>
      <c r="AC11" s="10" t="s">
        <v>39</v>
      </c>
      <c r="AD11" s="10" t="s">
        <v>40</v>
      </c>
      <c r="AE11" s="10" t="s">
        <v>41</v>
      </c>
      <c r="AF11" s="10" t="s">
        <v>42</v>
      </c>
      <c r="AG11" s="10" t="s">
        <v>43</v>
      </c>
      <c r="AH11" s="10" t="s">
        <v>44</v>
      </c>
      <c r="BH11" s="10" t="s">
        <v>45</v>
      </c>
      <c r="BI11" s="10" t="s">
        <v>46</v>
      </c>
      <c r="BJ11" s="10" t="s">
        <v>47</v>
      </c>
    </row>
    <row r="12" spans="1:76" ht="14.4" x14ac:dyDescent="0.3">
      <c r="A12" s="19" t="s">
        <v>48</v>
      </c>
      <c r="B12" s="20" t="s">
        <v>49</v>
      </c>
      <c r="C12" s="107" t="s">
        <v>50</v>
      </c>
      <c r="D12" s="108"/>
      <c r="E12" s="21" t="s">
        <v>4</v>
      </c>
      <c r="F12" s="21" t="s">
        <v>4</v>
      </c>
      <c r="G12" s="22" t="s">
        <v>4</v>
      </c>
      <c r="H12" s="23">
        <f>ROUND(SUM(H13:H14),2)</f>
        <v>0</v>
      </c>
      <c r="I12" s="23">
        <f>ROUND(SUM(I13:I14),2)</f>
        <v>0</v>
      </c>
      <c r="J12" s="23">
        <f>ROUND(SUM(J13:J14),2)</f>
        <v>0</v>
      </c>
      <c r="K12" s="24" t="s">
        <v>48</v>
      </c>
      <c r="AI12" s="10" t="s">
        <v>48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ht="14.4" x14ac:dyDescent="0.3">
      <c r="A13" s="2" t="s">
        <v>49</v>
      </c>
      <c r="B13" s="3" t="s">
        <v>51</v>
      </c>
      <c r="C13" s="89" t="s">
        <v>52</v>
      </c>
      <c r="D13" s="84"/>
      <c r="E13" s="3" t="s">
        <v>53</v>
      </c>
      <c r="F13" s="25">
        <v>1</v>
      </c>
      <c r="G13" s="26">
        <v>0</v>
      </c>
      <c r="H13" s="25">
        <f>ROUND(F13*AO13,2)</f>
        <v>0</v>
      </c>
      <c r="I13" s="25">
        <f>ROUND(F13*AP13,2)</f>
        <v>0</v>
      </c>
      <c r="J13" s="25">
        <f>ROUND(F13*G13,2)</f>
        <v>0</v>
      </c>
      <c r="K13" s="27" t="s">
        <v>54</v>
      </c>
      <c r="Z13" s="25">
        <f>ROUND(IF(AQ13="5",BJ13,0),2)</f>
        <v>0</v>
      </c>
      <c r="AB13" s="25">
        <f>ROUND(IF(AQ13="1",BH13,0),2)</f>
        <v>0</v>
      </c>
      <c r="AC13" s="25">
        <f>ROUND(IF(AQ13="1",BI13,0),2)</f>
        <v>0</v>
      </c>
      <c r="AD13" s="25">
        <f>ROUND(IF(AQ13="7",BH13,0),2)</f>
        <v>0</v>
      </c>
      <c r="AE13" s="25">
        <f>ROUND(IF(AQ13="7",BI13,0),2)</f>
        <v>0</v>
      </c>
      <c r="AF13" s="25">
        <f>ROUND(IF(AQ13="2",BH13,0),2)</f>
        <v>0</v>
      </c>
      <c r="AG13" s="25">
        <f>ROUND(IF(AQ13="2",BI13,0),2)</f>
        <v>0</v>
      </c>
      <c r="AH13" s="25">
        <f>ROUND(IF(AQ13="0",BJ13,0),2)</f>
        <v>0</v>
      </c>
      <c r="AI13" s="10" t="s">
        <v>48</v>
      </c>
      <c r="AJ13" s="25">
        <f>IF(AN13=0,J13,0)</f>
        <v>0</v>
      </c>
      <c r="AK13" s="25">
        <f>IF(AN13=12,J13,0)</f>
        <v>0</v>
      </c>
      <c r="AL13" s="25">
        <f>IF(AN13=21,J13,0)</f>
        <v>0</v>
      </c>
      <c r="AN13" s="25">
        <v>21</v>
      </c>
      <c r="AO13" s="25">
        <f>G13*0.079713333</f>
        <v>0</v>
      </c>
      <c r="AP13" s="25">
        <f>G13*(1-0.079713333)</f>
        <v>0</v>
      </c>
      <c r="AQ13" s="28" t="s">
        <v>49</v>
      </c>
      <c r="AV13" s="25">
        <f>ROUND(AW13+AX13,2)</f>
        <v>0</v>
      </c>
      <c r="AW13" s="25">
        <f>ROUND(F13*AO13,2)</f>
        <v>0</v>
      </c>
      <c r="AX13" s="25">
        <f>ROUND(F13*AP13,2)</f>
        <v>0</v>
      </c>
      <c r="AY13" s="28" t="s">
        <v>55</v>
      </c>
      <c r="AZ13" s="28" t="s">
        <v>55</v>
      </c>
      <c r="BA13" s="10" t="s">
        <v>56</v>
      </c>
      <c r="BC13" s="25">
        <f>AW13+AX13</f>
        <v>0</v>
      </c>
      <c r="BD13" s="25">
        <f>G13/(100-BE13)*100</f>
        <v>0</v>
      </c>
      <c r="BE13" s="25">
        <v>0</v>
      </c>
      <c r="BF13" s="25">
        <f>13</f>
        <v>13</v>
      </c>
      <c r="BH13" s="25">
        <f>F13*AO13</f>
        <v>0</v>
      </c>
      <c r="BI13" s="25">
        <f>F13*AP13</f>
        <v>0</v>
      </c>
      <c r="BJ13" s="25">
        <f>F13*G13</f>
        <v>0</v>
      </c>
      <c r="BK13" s="28" t="s">
        <v>57</v>
      </c>
      <c r="BL13" s="25">
        <v>1</v>
      </c>
      <c r="BW13" s="25">
        <v>21</v>
      </c>
      <c r="BX13" s="4" t="s">
        <v>52</v>
      </c>
    </row>
    <row r="14" spans="1:76" ht="14.4" x14ac:dyDescent="0.3">
      <c r="A14" s="2" t="s">
        <v>58</v>
      </c>
      <c r="B14" s="3" t="s">
        <v>59</v>
      </c>
      <c r="C14" s="89" t="s">
        <v>60</v>
      </c>
      <c r="D14" s="84"/>
      <c r="E14" s="3" t="s">
        <v>61</v>
      </c>
      <c r="F14" s="25">
        <v>1</v>
      </c>
      <c r="G14" s="26">
        <v>0</v>
      </c>
      <c r="H14" s="25">
        <f>ROUND(F14*AO14,2)</f>
        <v>0</v>
      </c>
      <c r="I14" s="25">
        <f>ROUND(F14*AP14,2)</f>
        <v>0</v>
      </c>
      <c r="J14" s="25">
        <f>ROUND(F14*G14,2)</f>
        <v>0</v>
      </c>
      <c r="K14" s="27" t="s">
        <v>54</v>
      </c>
      <c r="Z14" s="25">
        <f>ROUND(IF(AQ14="5",BJ14,0),2)</f>
        <v>0</v>
      </c>
      <c r="AB14" s="25">
        <f>ROUND(IF(AQ14="1",BH14,0),2)</f>
        <v>0</v>
      </c>
      <c r="AC14" s="25">
        <f>ROUND(IF(AQ14="1",BI14,0),2)</f>
        <v>0</v>
      </c>
      <c r="AD14" s="25">
        <f>ROUND(IF(AQ14="7",BH14,0),2)</f>
        <v>0</v>
      </c>
      <c r="AE14" s="25">
        <f>ROUND(IF(AQ14="7",BI14,0),2)</f>
        <v>0</v>
      </c>
      <c r="AF14" s="25">
        <f>ROUND(IF(AQ14="2",BH14,0),2)</f>
        <v>0</v>
      </c>
      <c r="AG14" s="25">
        <f>ROUND(IF(AQ14="2",BI14,0),2)</f>
        <v>0</v>
      </c>
      <c r="AH14" s="25">
        <f>ROUND(IF(AQ14="0",BJ14,0),2)</f>
        <v>0</v>
      </c>
      <c r="AI14" s="10" t="s">
        <v>48</v>
      </c>
      <c r="AJ14" s="25">
        <f>IF(AN14=0,J14,0)</f>
        <v>0</v>
      </c>
      <c r="AK14" s="25">
        <f>IF(AN14=12,J14,0)</f>
        <v>0</v>
      </c>
      <c r="AL14" s="25">
        <f>IF(AN14=21,J14,0)</f>
        <v>0</v>
      </c>
      <c r="AN14" s="25">
        <v>21</v>
      </c>
      <c r="AO14" s="25">
        <f>G14*0</f>
        <v>0</v>
      </c>
      <c r="AP14" s="25">
        <f>G14*(1-0)</f>
        <v>0</v>
      </c>
      <c r="AQ14" s="28" t="s">
        <v>49</v>
      </c>
      <c r="AV14" s="25">
        <f>ROUND(AW14+AX14,2)</f>
        <v>0</v>
      </c>
      <c r="AW14" s="25">
        <f>ROUND(F14*AO14,2)</f>
        <v>0</v>
      </c>
      <c r="AX14" s="25">
        <f>ROUND(F14*AP14,2)</f>
        <v>0</v>
      </c>
      <c r="AY14" s="28" t="s">
        <v>55</v>
      </c>
      <c r="AZ14" s="28" t="s">
        <v>55</v>
      </c>
      <c r="BA14" s="10" t="s">
        <v>56</v>
      </c>
      <c r="BC14" s="25">
        <f>AW14+AX14</f>
        <v>0</v>
      </c>
      <c r="BD14" s="25">
        <f>G14/(100-BE14)*100</f>
        <v>0</v>
      </c>
      <c r="BE14" s="25">
        <v>0</v>
      </c>
      <c r="BF14" s="25">
        <f>14</f>
        <v>14</v>
      </c>
      <c r="BH14" s="25">
        <f>F14*AO14</f>
        <v>0</v>
      </c>
      <c r="BI14" s="25">
        <f>F14*AP14</f>
        <v>0</v>
      </c>
      <c r="BJ14" s="25">
        <f>F14*G14</f>
        <v>0</v>
      </c>
      <c r="BK14" s="28" t="s">
        <v>57</v>
      </c>
      <c r="BL14" s="25">
        <v>1</v>
      </c>
      <c r="BW14" s="25">
        <v>21</v>
      </c>
      <c r="BX14" s="4" t="s">
        <v>60</v>
      </c>
    </row>
    <row r="15" spans="1:76" ht="14.4" x14ac:dyDescent="0.3">
      <c r="A15" s="29" t="s">
        <v>48</v>
      </c>
      <c r="B15" s="30" t="s">
        <v>62</v>
      </c>
      <c r="C15" s="109" t="s">
        <v>63</v>
      </c>
      <c r="D15" s="110"/>
      <c r="E15" s="31" t="s">
        <v>4</v>
      </c>
      <c r="F15" s="31" t="s">
        <v>4</v>
      </c>
      <c r="G15" s="32" t="s">
        <v>4</v>
      </c>
      <c r="H15" s="1">
        <f>ROUND(SUM(H16:H19),2)</f>
        <v>0</v>
      </c>
      <c r="I15" s="1">
        <f>ROUND(SUM(I16:I19),2)</f>
        <v>0</v>
      </c>
      <c r="J15" s="1">
        <f>ROUND(SUM(J16:J19),2)</f>
        <v>0</v>
      </c>
      <c r="K15" s="33" t="s">
        <v>48</v>
      </c>
      <c r="AI15" s="10" t="s">
        <v>48</v>
      </c>
      <c r="AS15" s="1">
        <f>SUM(AJ16:AJ19)</f>
        <v>0</v>
      </c>
      <c r="AT15" s="1">
        <f>SUM(AK16:AK19)</f>
        <v>0</v>
      </c>
      <c r="AU15" s="1">
        <f>SUM(AL16:AL19)</f>
        <v>0</v>
      </c>
    </row>
    <row r="16" spans="1:76" ht="14.4" x14ac:dyDescent="0.3">
      <c r="A16" s="2" t="s">
        <v>64</v>
      </c>
      <c r="B16" s="3" t="s">
        <v>65</v>
      </c>
      <c r="C16" s="89" t="s">
        <v>66</v>
      </c>
      <c r="D16" s="84"/>
      <c r="E16" s="3" t="s">
        <v>67</v>
      </c>
      <c r="F16" s="25">
        <v>546.48099999999999</v>
      </c>
      <c r="G16" s="26">
        <v>0</v>
      </c>
      <c r="H16" s="25">
        <f>ROUND(F16*AO16,2)</f>
        <v>0</v>
      </c>
      <c r="I16" s="25">
        <f>ROUND(F16*AP16,2)</f>
        <v>0</v>
      </c>
      <c r="J16" s="25">
        <f>ROUND(F16*G16,2)</f>
        <v>0</v>
      </c>
      <c r="K16" s="27" t="s">
        <v>68</v>
      </c>
      <c r="Z16" s="25">
        <f>ROUND(IF(AQ16="5",BJ16,0),2)</f>
        <v>0</v>
      </c>
      <c r="AB16" s="25">
        <f>ROUND(IF(AQ16="1",BH16,0),2)</f>
        <v>0</v>
      </c>
      <c r="AC16" s="25">
        <f>ROUND(IF(AQ16="1",BI16,0),2)</f>
        <v>0</v>
      </c>
      <c r="AD16" s="25">
        <f>ROUND(IF(AQ16="7",BH16,0),2)</f>
        <v>0</v>
      </c>
      <c r="AE16" s="25">
        <f>ROUND(IF(AQ16="7",BI16,0),2)</f>
        <v>0</v>
      </c>
      <c r="AF16" s="25">
        <f>ROUND(IF(AQ16="2",BH16,0),2)</f>
        <v>0</v>
      </c>
      <c r="AG16" s="25">
        <f>ROUND(IF(AQ16="2",BI16,0),2)</f>
        <v>0</v>
      </c>
      <c r="AH16" s="25">
        <f>ROUND(IF(AQ16="0",BJ16,0),2)</f>
        <v>0</v>
      </c>
      <c r="AI16" s="10" t="s">
        <v>48</v>
      </c>
      <c r="AJ16" s="25">
        <f>IF(AN16=0,J16,0)</f>
        <v>0</v>
      </c>
      <c r="AK16" s="25">
        <f>IF(AN16=12,J16,0)</f>
        <v>0</v>
      </c>
      <c r="AL16" s="25">
        <f>IF(AN16=21,J16,0)</f>
        <v>0</v>
      </c>
      <c r="AN16" s="25">
        <v>21</v>
      </c>
      <c r="AO16" s="25">
        <f>G16*0</f>
        <v>0</v>
      </c>
      <c r="AP16" s="25">
        <f>G16*(1-0)</f>
        <v>0</v>
      </c>
      <c r="AQ16" s="28" t="s">
        <v>49</v>
      </c>
      <c r="AV16" s="25">
        <f>ROUND(AW16+AX16,2)</f>
        <v>0</v>
      </c>
      <c r="AW16" s="25">
        <f>ROUND(F16*AO16,2)</f>
        <v>0</v>
      </c>
      <c r="AX16" s="25">
        <f>ROUND(F16*AP16,2)</f>
        <v>0</v>
      </c>
      <c r="AY16" s="28" t="s">
        <v>69</v>
      </c>
      <c r="AZ16" s="28" t="s">
        <v>55</v>
      </c>
      <c r="BA16" s="10" t="s">
        <v>56</v>
      </c>
      <c r="BC16" s="25">
        <f>AW16+AX16</f>
        <v>0</v>
      </c>
      <c r="BD16" s="25">
        <f>G16/(100-BE16)*100</f>
        <v>0</v>
      </c>
      <c r="BE16" s="25">
        <v>0</v>
      </c>
      <c r="BF16" s="25">
        <f>16</f>
        <v>16</v>
      </c>
      <c r="BH16" s="25">
        <f>F16*AO16</f>
        <v>0</v>
      </c>
      <c r="BI16" s="25">
        <f>F16*AP16</f>
        <v>0</v>
      </c>
      <c r="BJ16" s="25">
        <f>F16*G16</f>
        <v>0</v>
      </c>
      <c r="BK16" s="28" t="s">
        <v>57</v>
      </c>
      <c r="BL16" s="25">
        <v>11</v>
      </c>
      <c r="BW16" s="25">
        <v>21</v>
      </c>
      <c r="BX16" s="4" t="s">
        <v>66</v>
      </c>
    </row>
    <row r="17" spans="1:76" ht="14.4" x14ac:dyDescent="0.3">
      <c r="A17" s="2" t="s">
        <v>70</v>
      </c>
      <c r="B17" s="3" t="s">
        <v>71</v>
      </c>
      <c r="C17" s="89" t="s">
        <v>72</v>
      </c>
      <c r="D17" s="84"/>
      <c r="E17" s="3" t="s">
        <v>73</v>
      </c>
      <c r="F17" s="25">
        <v>65.577719999999999</v>
      </c>
      <c r="G17" s="26">
        <v>0</v>
      </c>
      <c r="H17" s="25">
        <f>ROUND(F17*AO17,2)</f>
        <v>0</v>
      </c>
      <c r="I17" s="25">
        <f>ROUND(F17*AP17,2)</f>
        <v>0</v>
      </c>
      <c r="J17" s="25">
        <f>ROUND(F17*G17,2)</f>
        <v>0</v>
      </c>
      <c r="K17" s="27" t="s">
        <v>68</v>
      </c>
      <c r="Z17" s="25">
        <f>ROUND(IF(AQ17="5",BJ17,0),2)</f>
        <v>0</v>
      </c>
      <c r="AB17" s="25">
        <f>ROUND(IF(AQ17="1",BH17,0),2)</f>
        <v>0</v>
      </c>
      <c r="AC17" s="25">
        <f>ROUND(IF(AQ17="1",BI17,0),2)</f>
        <v>0</v>
      </c>
      <c r="AD17" s="25">
        <f>ROUND(IF(AQ17="7",BH17,0),2)</f>
        <v>0</v>
      </c>
      <c r="AE17" s="25">
        <f>ROUND(IF(AQ17="7",BI17,0),2)</f>
        <v>0</v>
      </c>
      <c r="AF17" s="25">
        <f>ROUND(IF(AQ17="2",BH17,0),2)</f>
        <v>0</v>
      </c>
      <c r="AG17" s="25">
        <f>ROUND(IF(AQ17="2",BI17,0),2)</f>
        <v>0</v>
      </c>
      <c r="AH17" s="25">
        <f>ROUND(IF(AQ17="0",BJ17,0),2)</f>
        <v>0</v>
      </c>
      <c r="AI17" s="10" t="s">
        <v>48</v>
      </c>
      <c r="AJ17" s="25">
        <f>IF(AN17=0,J17,0)</f>
        <v>0</v>
      </c>
      <c r="AK17" s="25">
        <f>IF(AN17=12,J17,0)</f>
        <v>0</v>
      </c>
      <c r="AL17" s="25">
        <f>IF(AN17=21,J17,0)</f>
        <v>0</v>
      </c>
      <c r="AN17" s="25">
        <v>21</v>
      </c>
      <c r="AO17" s="25">
        <f>G17*0</f>
        <v>0</v>
      </c>
      <c r="AP17" s="25">
        <f>G17*(1-0)</f>
        <v>0</v>
      </c>
      <c r="AQ17" s="28" t="s">
        <v>49</v>
      </c>
      <c r="AV17" s="25">
        <f>ROUND(AW17+AX17,2)</f>
        <v>0</v>
      </c>
      <c r="AW17" s="25">
        <f>ROUND(F17*AO17,2)</f>
        <v>0</v>
      </c>
      <c r="AX17" s="25">
        <f>ROUND(F17*AP17,2)</f>
        <v>0</v>
      </c>
      <c r="AY17" s="28" t="s">
        <v>69</v>
      </c>
      <c r="AZ17" s="28" t="s">
        <v>55</v>
      </c>
      <c r="BA17" s="10" t="s">
        <v>56</v>
      </c>
      <c r="BC17" s="25">
        <f>AW17+AX17</f>
        <v>0</v>
      </c>
      <c r="BD17" s="25">
        <f>G17/(100-BE17)*100</f>
        <v>0</v>
      </c>
      <c r="BE17" s="25">
        <v>0</v>
      </c>
      <c r="BF17" s="25">
        <f>17</f>
        <v>17</v>
      </c>
      <c r="BH17" s="25">
        <f>F17*AO17</f>
        <v>0</v>
      </c>
      <c r="BI17" s="25">
        <f>F17*AP17</f>
        <v>0</v>
      </c>
      <c r="BJ17" s="25">
        <f>F17*G17</f>
        <v>0</v>
      </c>
      <c r="BK17" s="28" t="s">
        <v>57</v>
      </c>
      <c r="BL17" s="25">
        <v>11</v>
      </c>
      <c r="BW17" s="25">
        <v>21</v>
      </c>
      <c r="BX17" s="4" t="s">
        <v>72</v>
      </c>
    </row>
    <row r="18" spans="1:76" ht="14.4" x14ac:dyDescent="0.3">
      <c r="A18" s="2" t="s">
        <v>74</v>
      </c>
      <c r="B18" s="3" t="s">
        <v>75</v>
      </c>
      <c r="C18" s="89" t="s">
        <v>76</v>
      </c>
      <c r="D18" s="84"/>
      <c r="E18" s="3" t="s">
        <v>77</v>
      </c>
      <c r="F18" s="25">
        <v>99.62</v>
      </c>
      <c r="G18" s="26">
        <v>0</v>
      </c>
      <c r="H18" s="25">
        <f>ROUND(F18*AO18,2)</f>
        <v>0</v>
      </c>
      <c r="I18" s="25">
        <f>ROUND(F18*AP18,2)</f>
        <v>0</v>
      </c>
      <c r="J18" s="25">
        <f>ROUND(F18*G18,2)</f>
        <v>0</v>
      </c>
      <c r="K18" s="27" t="s">
        <v>68</v>
      </c>
      <c r="Z18" s="25">
        <f>ROUND(IF(AQ18="5",BJ18,0),2)</f>
        <v>0</v>
      </c>
      <c r="AB18" s="25">
        <f>ROUND(IF(AQ18="1",BH18,0),2)</f>
        <v>0</v>
      </c>
      <c r="AC18" s="25">
        <f>ROUND(IF(AQ18="1",BI18,0),2)</f>
        <v>0</v>
      </c>
      <c r="AD18" s="25">
        <f>ROUND(IF(AQ18="7",BH18,0),2)</f>
        <v>0</v>
      </c>
      <c r="AE18" s="25">
        <f>ROUND(IF(AQ18="7",BI18,0),2)</f>
        <v>0</v>
      </c>
      <c r="AF18" s="25">
        <f>ROUND(IF(AQ18="2",BH18,0),2)</f>
        <v>0</v>
      </c>
      <c r="AG18" s="25">
        <f>ROUND(IF(AQ18="2",BI18,0),2)</f>
        <v>0</v>
      </c>
      <c r="AH18" s="25">
        <f>ROUND(IF(AQ18="0",BJ18,0),2)</f>
        <v>0</v>
      </c>
      <c r="AI18" s="10" t="s">
        <v>48</v>
      </c>
      <c r="AJ18" s="25">
        <f>IF(AN18=0,J18,0)</f>
        <v>0</v>
      </c>
      <c r="AK18" s="25">
        <f>IF(AN18=12,J18,0)</f>
        <v>0</v>
      </c>
      <c r="AL18" s="25">
        <f>IF(AN18=21,J18,0)</f>
        <v>0</v>
      </c>
      <c r="AN18" s="25">
        <v>21</v>
      </c>
      <c r="AO18" s="25">
        <f>G18*0</f>
        <v>0</v>
      </c>
      <c r="AP18" s="25">
        <f>G18*(1-0)</f>
        <v>0</v>
      </c>
      <c r="AQ18" s="28" t="s">
        <v>49</v>
      </c>
      <c r="AV18" s="25">
        <f>ROUND(AW18+AX18,2)</f>
        <v>0</v>
      </c>
      <c r="AW18" s="25">
        <f>ROUND(F18*AO18,2)</f>
        <v>0</v>
      </c>
      <c r="AX18" s="25">
        <f>ROUND(F18*AP18,2)</f>
        <v>0</v>
      </c>
      <c r="AY18" s="28" t="s">
        <v>69</v>
      </c>
      <c r="AZ18" s="28" t="s">
        <v>55</v>
      </c>
      <c r="BA18" s="10" t="s">
        <v>56</v>
      </c>
      <c r="BC18" s="25">
        <f>AW18+AX18</f>
        <v>0</v>
      </c>
      <c r="BD18" s="25">
        <f>G18/(100-BE18)*100</f>
        <v>0</v>
      </c>
      <c r="BE18" s="25">
        <v>0</v>
      </c>
      <c r="BF18" s="25">
        <f>18</f>
        <v>18</v>
      </c>
      <c r="BH18" s="25">
        <f>F18*AO18</f>
        <v>0</v>
      </c>
      <c r="BI18" s="25">
        <f>F18*AP18</f>
        <v>0</v>
      </c>
      <c r="BJ18" s="25">
        <f>F18*G18</f>
        <v>0</v>
      </c>
      <c r="BK18" s="28" t="s">
        <v>57</v>
      </c>
      <c r="BL18" s="25">
        <v>11</v>
      </c>
      <c r="BW18" s="25">
        <v>21</v>
      </c>
      <c r="BX18" s="4" t="s">
        <v>76</v>
      </c>
    </row>
    <row r="19" spans="1:76" ht="14.4" x14ac:dyDescent="0.3">
      <c r="A19" s="2" t="s">
        <v>78</v>
      </c>
      <c r="B19" s="3" t="s">
        <v>79</v>
      </c>
      <c r="C19" s="89" t="s">
        <v>80</v>
      </c>
      <c r="D19" s="84"/>
      <c r="E19" s="3" t="s">
        <v>77</v>
      </c>
      <c r="F19" s="25">
        <v>99.62</v>
      </c>
      <c r="G19" s="26">
        <v>0</v>
      </c>
      <c r="H19" s="25">
        <f>ROUND(F19*AO19,2)</f>
        <v>0</v>
      </c>
      <c r="I19" s="25">
        <f>ROUND(F19*AP19,2)</f>
        <v>0</v>
      </c>
      <c r="J19" s="25">
        <f>ROUND(F19*G19,2)</f>
        <v>0</v>
      </c>
      <c r="K19" s="27" t="s">
        <v>68</v>
      </c>
      <c r="Z19" s="25">
        <f>ROUND(IF(AQ19="5",BJ19,0),2)</f>
        <v>0</v>
      </c>
      <c r="AB19" s="25">
        <f>ROUND(IF(AQ19="1",BH19,0),2)</f>
        <v>0</v>
      </c>
      <c r="AC19" s="25">
        <f>ROUND(IF(AQ19="1",BI19,0),2)</f>
        <v>0</v>
      </c>
      <c r="AD19" s="25">
        <f>ROUND(IF(AQ19="7",BH19,0),2)</f>
        <v>0</v>
      </c>
      <c r="AE19" s="25">
        <f>ROUND(IF(AQ19="7",BI19,0),2)</f>
        <v>0</v>
      </c>
      <c r="AF19" s="25">
        <f>ROUND(IF(AQ19="2",BH19,0),2)</f>
        <v>0</v>
      </c>
      <c r="AG19" s="25">
        <f>ROUND(IF(AQ19="2",BI19,0),2)</f>
        <v>0</v>
      </c>
      <c r="AH19" s="25">
        <f>ROUND(IF(AQ19="0",BJ19,0),2)</f>
        <v>0</v>
      </c>
      <c r="AI19" s="10" t="s">
        <v>48</v>
      </c>
      <c r="AJ19" s="25">
        <f>IF(AN19=0,J19,0)</f>
        <v>0</v>
      </c>
      <c r="AK19" s="25">
        <f>IF(AN19=12,J19,0)</f>
        <v>0</v>
      </c>
      <c r="AL19" s="25">
        <f>IF(AN19=21,J19,0)</f>
        <v>0</v>
      </c>
      <c r="AN19" s="25">
        <v>21</v>
      </c>
      <c r="AO19" s="25">
        <f>G19*0</f>
        <v>0</v>
      </c>
      <c r="AP19" s="25">
        <f>G19*(1-0)</f>
        <v>0</v>
      </c>
      <c r="AQ19" s="28" t="s">
        <v>49</v>
      </c>
      <c r="AV19" s="25">
        <f>ROUND(AW19+AX19,2)</f>
        <v>0</v>
      </c>
      <c r="AW19" s="25">
        <f>ROUND(F19*AO19,2)</f>
        <v>0</v>
      </c>
      <c r="AX19" s="25">
        <f>ROUND(F19*AP19,2)</f>
        <v>0</v>
      </c>
      <c r="AY19" s="28" t="s">
        <v>69</v>
      </c>
      <c r="AZ19" s="28" t="s">
        <v>55</v>
      </c>
      <c r="BA19" s="10" t="s">
        <v>56</v>
      </c>
      <c r="BC19" s="25">
        <f>AW19+AX19</f>
        <v>0</v>
      </c>
      <c r="BD19" s="25">
        <f>G19/(100-BE19)*100</f>
        <v>0</v>
      </c>
      <c r="BE19" s="25">
        <v>0</v>
      </c>
      <c r="BF19" s="25">
        <f>19</f>
        <v>19</v>
      </c>
      <c r="BH19" s="25">
        <f>F19*AO19</f>
        <v>0</v>
      </c>
      <c r="BI19" s="25">
        <f>F19*AP19</f>
        <v>0</v>
      </c>
      <c r="BJ19" s="25">
        <f>F19*G19</f>
        <v>0</v>
      </c>
      <c r="BK19" s="28" t="s">
        <v>57</v>
      </c>
      <c r="BL19" s="25">
        <v>11</v>
      </c>
      <c r="BW19" s="25">
        <v>21</v>
      </c>
      <c r="BX19" s="4" t="s">
        <v>80</v>
      </c>
    </row>
    <row r="20" spans="1:76" ht="14.4" x14ac:dyDescent="0.3">
      <c r="A20" s="29" t="s">
        <v>48</v>
      </c>
      <c r="B20" s="30" t="s">
        <v>81</v>
      </c>
      <c r="C20" s="109" t="s">
        <v>82</v>
      </c>
      <c r="D20" s="110"/>
      <c r="E20" s="31" t="s">
        <v>4</v>
      </c>
      <c r="F20" s="31" t="s">
        <v>4</v>
      </c>
      <c r="G20" s="32" t="s">
        <v>4</v>
      </c>
      <c r="H20" s="1">
        <f>ROUND(SUM(H21:H21),2)</f>
        <v>0</v>
      </c>
      <c r="I20" s="1">
        <f>ROUND(SUM(I21:I21),2)</f>
        <v>0</v>
      </c>
      <c r="J20" s="1">
        <f>ROUND(SUM(J21:J21),2)</f>
        <v>0</v>
      </c>
      <c r="K20" s="33" t="s">
        <v>48</v>
      </c>
      <c r="AI20" s="10" t="s">
        <v>48</v>
      </c>
      <c r="AS20" s="1">
        <f>SUM(AJ21:AJ21)</f>
        <v>0</v>
      </c>
      <c r="AT20" s="1">
        <f>SUM(AK21:AK21)</f>
        <v>0</v>
      </c>
      <c r="AU20" s="1">
        <f>SUM(AL21:AL21)</f>
        <v>0</v>
      </c>
    </row>
    <row r="21" spans="1:76" ht="14.4" x14ac:dyDescent="0.3">
      <c r="A21" s="2" t="s">
        <v>83</v>
      </c>
      <c r="B21" s="3" t="s">
        <v>84</v>
      </c>
      <c r="C21" s="89" t="s">
        <v>85</v>
      </c>
      <c r="D21" s="84"/>
      <c r="E21" s="3" t="s">
        <v>73</v>
      </c>
      <c r="F21" s="25">
        <v>10.19539</v>
      </c>
      <c r="G21" s="26">
        <v>0</v>
      </c>
      <c r="H21" s="25">
        <f>ROUND(F21*AO21,2)</f>
        <v>0</v>
      </c>
      <c r="I21" s="25">
        <f>ROUND(F21*AP21,2)</f>
        <v>0</v>
      </c>
      <c r="J21" s="25">
        <f>ROUND(F21*G21,2)</f>
        <v>0</v>
      </c>
      <c r="K21" s="27" t="s">
        <v>68</v>
      </c>
      <c r="Z21" s="25">
        <f>ROUND(IF(AQ21="5",BJ21,0),2)</f>
        <v>0</v>
      </c>
      <c r="AB21" s="25">
        <f>ROUND(IF(AQ21="1",BH21,0),2)</f>
        <v>0</v>
      </c>
      <c r="AC21" s="25">
        <f>ROUND(IF(AQ21="1",BI21,0),2)</f>
        <v>0</v>
      </c>
      <c r="AD21" s="25">
        <f>ROUND(IF(AQ21="7",BH21,0),2)</f>
        <v>0</v>
      </c>
      <c r="AE21" s="25">
        <f>ROUND(IF(AQ21="7",BI21,0),2)</f>
        <v>0</v>
      </c>
      <c r="AF21" s="25">
        <f>ROUND(IF(AQ21="2",BH21,0),2)</f>
        <v>0</v>
      </c>
      <c r="AG21" s="25">
        <f>ROUND(IF(AQ21="2",BI21,0),2)</f>
        <v>0</v>
      </c>
      <c r="AH21" s="25">
        <f>ROUND(IF(AQ21="0",BJ21,0),2)</f>
        <v>0</v>
      </c>
      <c r="AI21" s="10" t="s">
        <v>48</v>
      </c>
      <c r="AJ21" s="25">
        <f>IF(AN21=0,J21,0)</f>
        <v>0</v>
      </c>
      <c r="AK21" s="25">
        <f>IF(AN21=12,J21,0)</f>
        <v>0</v>
      </c>
      <c r="AL21" s="25">
        <f>IF(AN21=21,J21,0)</f>
        <v>0</v>
      </c>
      <c r="AN21" s="25">
        <v>21</v>
      </c>
      <c r="AO21" s="25">
        <f>G21*0</f>
        <v>0</v>
      </c>
      <c r="AP21" s="25">
        <f>G21*(1-0)</f>
        <v>0</v>
      </c>
      <c r="AQ21" s="28" t="s">
        <v>49</v>
      </c>
      <c r="AV21" s="25">
        <f>ROUND(AW21+AX21,2)</f>
        <v>0</v>
      </c>
      <c r="AW21" s="25">
        <f>ROUND(F21*AO21,2)</f>
        <v>0</v>
      </c>
      <c r="AX21" s="25">
        <f>ROUND(F21*AP21,2)</f>
        <v>0</v>
      </c>
      <c r="AY21" s="28" t="s">
        <v>86</v>
      </c>
      <c r="AZ21" s="28" t="s">
        <v>55</v>
      </c>
      <c r="BA21" s="10" t="s">
        <v>56</v>
      </c>
      <c r="BC21" s="25">
        <f>AW21+AX21</f>
        <v>0</v>
      </c>
      <c r="BD21" s="25">
        <f>G21/(100-BE21)*100</f>
        <v>0</v>
      </c>
      <c r="BE21" s="25">
        <v>0</v>
      </c>
      <c r="BF21" s="25">
        <f>21</f>
        <v>21</v>
      </c>
      <c r="BH21" s="25">
        <f>F21*AO21</f>
        <v>0</v>
      </c>
      <c r="BI21" s="25">
        <f>F21*AP21</f>
        <v>0</v>
      </c>
      <c r="BJ21" s="25">
        <f>F21*G21</f>
        <v>0</v>
      </c>
      <c r="BK21" s="28" t="s">
        <v>57</v>
      </c>
      <c r="BL21" s="25">
        <v>12</v>
      </c>
      <c r="BW21" s="25">
        <v>21</v>
      </c>
      <c r="BX21" s="4" t="s">
        <v>85</v>
      </c>
    </row>
    <row r="22" spans="1:76" ht="14.4" x14ac:dyDescent="0.3">
      <c r="A22" s="29" t="s">
        <v>48</v>
      </c>
      <c r="B22" s="30" t="s">
        <v>87</v>
      </c>
      <c r="C22" s="109" t="s">
        <v>88</v>
      </c>
      <c r="D22" s="110"/>
      <c r="E22" s="31" t="s">
        <v>4</v>
      </c>
      <c r="F22" s="31" t="s">
        <v>4</v>
      </c>
      <c r="G22" s="32" t="s">
        <v>4</v>
      </c>
      <c r="H22" s="1">
        <f>ROUND(SUM(H23:H25),2)</f>
        <v>0</v>
      </c>
      <c r="I22" s="1">
        <f>ROUND(SUM(I23:I25),2)</f>
        <v>0</v>
      </c>
      <c r="J22" s="1">
        <f>ROUND(SUM(J23:J25),2)</f>
        <v>0</v>
      </c>
      <c r="K22" s="33" t="s">
        <v>48</v>
      </c>
      <c r="AI22" s="10" t="s">
        <v>48</v>
      </c>
      <c r="AS22" s="1">
        <f>SUM(AJ23:AJ25)</f>
        <v>0</v>
      </c>
      <c r="AT22" s="1">
        <f>SUM(AK23:AK25)</f>
        <v>0</v>
      </c>
      <c r="AU22" s="1">
        <f>SUM(AL23:AL25)</f>
        <v>0</v>
      </c>
    </row>
    <row r="23" spans="1:76" ht="14.4" x14ac:dyDescent="0.3">
      <c r="A23" s="2" t="s">
        <v>89</v>
      </c>
      <c r="B23" s="3" t="s">
        <v>90</v>
      </c>
      <c r="C23" s="89" t="s">
        <v>91</v>
      </c>
      <c r="D23" s="84"/>
      <c r="E23" s="3" t="s">
        <v>73</v>
      </c>
      <c r="F23" s="25">
        <v>10.19539</v>
      </c>
      <c r="G23" s="26">
        <v>0</v>
      </c>
      <c r="H23" s="25">
        <f>ROUND(F23*AO23,2)</f>
        <v>0</v>
      </c>
      <c r="I23" s="25">
        <f>ROUND(F23*AP23,2)</f>
        <v>0</v>
      </c>
      <c r="J23" s="25">
        <f>ROUND(F23*G23,2)</f>
        <v>0</v>
      </c>
      <c r="K23" s="27" t="s">
        <v>68</v>
      </c>
      <c r="Z23" s="25">
        <f>ROUND(IF(AQ23="5",BJ23,0),2)</f>
        <v>0</v>
      </c>
      <c r="AB23" s="25">
        <f>ROUND(IF(AQ23="1",BH23,0),2)</f>
        <v>0</v>
      </c>
      <c r="AC23" s="25">
        <f>ROUND(IF(AQ23="1",BI23,0),2)</f>
        <v>0</v>
      </c>
      <c r="AD23" s="25">
        <f>ROUND(IF(AQ23="7",BH23,0),2)</f>
        <v>0</v>
      </c>
      <c r="AE23" s="25">
        <f>ROUND(IF(AQ23="7",BI23,0),2)</f>
        <v>0</v>
      </c>
      <c r="AF23" s="25">
        <f>ROUND(IF(AQ23="2",BH23,0),2)</f>
        <v>0</v>
      </c>
      <c r="AG23" s="25">
        <f>ROUND(IF(AQ23="2",BI23,0),2)</f>
        <v>0</v>
      </c>
      <c r="AH23" s="25">
        <f>ROUND(IF(AQ23="0",BJ23,0),2)</f>
        <v>0</v>
      </c>
      <c r="AI23" s="10" t="s">
        <v>48</v>
      </c>
      <c r="AJ23" s="25">
        <f>IF(AN23=0,J23,0)</f>
        <v>0</v>
      </c>
      <c r="AK23" s="25">
        <f>IF(AN23=12,J23,0)</f>
        <v>0</v>
      </c>
      <c r="AL23" s="25">
        <f>IF(AN23=21,J23,0)</f>
        <v>0</v>
      </c>
      <c r="AN23" s="25">
        <v>21</v>
      </c>
      <c r="AO23" s="25">
        <f>G23*0</f>
        <v>0</v>
      </c>
      <c r="AP23" s="25">
        <f>G23*(1-0)</f>
        <v>0</v>
      </c>
      <c r="AQ23" s="28" t="s">
        <v>49</v>
      </c>
      <c r="AV23" s="25">
        <f>ROUND(AW23+AX23,2)</f>
        <v>0</v>
      </c>
      <c r="AW23" s="25">
        <f>ROUND(F23*AO23,2)</f>
        <v>0</v>
      </c>
      <c r="AX23" s="25">
        <f>ROUND(F23*AP23,2)</f>
        <v>0</v>
      </c>
      <c r="AY23" s="28" t="s">
        <v>92</v>
      </c>
      <c r="AZ23" s="28" t="s">
        <v>55</v>
      </c>
      <c r="BA23" s="10" t="s">
        <v>56</v>
      </c>
      <c r="BC23" s="25">
        <f>AW23+AX23</f>
        <v>0</v>
      </c>
      <c r="BD23" s="25">
        <f>G23/(100-BE23)*100</f>
        <v>0</v>
      </c>
      <c r="BE23" s="25">
        <v>0</v>
      </c>
      <c r="BF23" s="25">
        <f>23</f>
        <v>23</v>
      </c>
      <c r="BH23" s="25">
        <f>F23*AO23</f>
        <v>0</v>
      </c>
      <c r="BI23" s="25">
        <f>F23*AP23</f>
        <v>0</v>
      </c>
      <c r="BJ23" s="25">
        <f>F23*G23</f>
        <v>0</v>
      </c>
      <c r="BK23" s="28" t="s">
        <v>57</v>
      </c>
      <c r="BL23" s="25">
        <v>16</v>
      </c>
      <c r="BW23" s="25">
        <v>21</v>
      </c>
      <c r="BX23" s="4" t="s">
        <v>91</v>
      </c>
    </row>
    <row r="24" spans="1:76" ht="14.4" x14ac:dyDescent="0.3">
      <c r="A24" s="2" t="s">
        <v>93</v>
      </c>
      <c r="B24" s="3" t="s">
        <v>94</v>
      </c>
      <c r="C24" s="89" t="s">
        <v>95</v>
      </c>
      <c r="D24" s="84"/>
      <c r="E24" s="3" t="s">
        <v>73</v>
      </c>
      <c r="F24" s="25">
        <v>10.19539</v>
      </c>
      <c r="G24" s="26">
        <v>0</v>
      </c>
      <c r="H24" s="25">
        <f>ROUND(F24*AO24,2)</f>
        <v>0</v>
      </c>
      <c r="I24" s="25">
        <f>ROUND(F24*AP24,2)</f>
        <v>0</v>
      </c>
      <c r="J24" s="25">
        <f>ROUND(F24*G24,2)</f>
        <v>0</v>
      </c>
      <c r="K24" s="27" t="s">
        <v>68</v>
      </c>
      <c r="Z24" s="25">
        <f>ROUND(IF(AQ24="5",BJ24,0),2)</f>
        <v>0</v>
      </c>
      <c r="AB24" s="25">
        <f>ROUND(IF(AQ24="1",BH24,0),2)</f>
        <v>0</v>
      </c>
      <c r="AC24" s="25">
        <f>ROUND(IF(AQ24="1",BI24,0),2)</f>
        <v>0</v>
      </c>
      <c r="AD24" s="25">
        <f>ROUND(IF(AQ24="7",BH24,0),2)</f>
        <v>0</v>
      </c>
      <c r="AE24" s="25">
        <f>ROUND(IF(AQ24="7",BI24,0),2)</f>
        <v>0</v>
      </c>
      <c r="AF24" s="25">
        <f>ROUND(IF(AQ24="2",BH24,0),2)</f>
        <v>0</v>
      </c>
      <c r="AG24" s="25">
        <f>ROUND(IF(AQ24="2",BI24,0),2)</f>
        <v>0</v>
      </c>
      <c r="AH24" s="25">
        <f>ROUND(IF(AQ24="0",BJ24,0),2)</f>
        <v>0</v>
      </c>
      <c r="AI24" s="10" t="s">
        <v>48</v>
      </c>
      <c r="AJ24" s="25">
        <f>IF(AN24=0,J24,0)</f>
        <v>0</v>
      </c>
      <c r="AK24" s="25">
        <f>IF(AN24=12,J24,0)</f>
        <v>0</v>
      </c>
      <c r="AL24" s="25">
        <f>IF(AN24=21,J24,0)</f>
        <v>0</v>
      </c>
      <c r="AN24" s="25">
        <v>21</v>
      </c>
      <c r="AO24" s="25">
        <f>G24*0</f>
        <v>0</v>
      </c>
      <c r="AP24" s="25">
        <f>G24*(1-0)</f>
        <v>0</v>
      </c>
      <c r="AQ24" s="28" t="s">
        <v>49</v>
      </c>
      <c r="AV24" s="25">
        <f>ROUND(AW24+AX24,2)</f>
        <v>0</v>
      </c>
      <c r="AW24" s="25">
        <f>ROUND(F24*AO24,2)</f>
        <v>0</v>
      </c>
      <c r="AX24" s="25">
        <f>ROUND(F24*AP24,2)</f>
        <v>0</v>
      </c>
      <c r="AY24" s="28" t="s">
        <v>92</v>
      </c>
      <c r="AZ24" s="28" t="s">
        <v>55</v>
      </c>
      <c r="BA24" s="10" t="s">
        <v>56</v>
      </c>
      <c r="BC24" s="25">
        <f>AW24+AX24</f>
        <v>0</v>
      </c>
      <c r="BD24" s="25">
        <f>G24/(100-BE24)*100</f>
        <v>0</v>
      </c>
      <c r="BE24" s="25">
        <v>0</v>
      </c>
      <c r="BF24" s="25">
        <f>24</f>
        <v>24</v>
      </c>
      <c r="BH24" s="25">
        <f>F24*AO24</f>
        <v>0</v>
      </c>
      <c r="BI24" s="25">
        <f>F24*AP24</f>
        <v>0</v>
      </c>
      <c r="BJ24" s="25">
        <f>F24*G24</f>
        <v>0</v>
      </c>
      <c r="BK24" s="28" t="s">
        <v>57</v>
      </c>
      <c r="BL24" s="25">
        <v>16</v>
      </c>
      <c r="BW24" s="25">
        <v>21</v>
      </c>
      <c r="BX24" s="4" t="s">
        <v>95</v>
      </c>
    </row>
    <row r="25" spans="1:76" ht="14.4" x14ac:dyDescent="0.3">
      <c r="A25" s="2" t="s">
        <v>96</v>
      </c>
      <c r="B25" s="3" t="s">
        <v>97</v>
      </c>
      <c r="C25" s="89" t="s">
        <v>98</v>
      </c>
      <c r="D25" s="84"/>
      <c r="E25" s="3" t="s">
        <v>99</v>
      </c>
      <c r="F25" s="25">
        <v>10.19539</v>
      </c>
      <c r="G25" s="26">
        <v>0</v>
      </c>
      <c r="H25" s="25">
        <f>ROUND(F25*AO25,2)</f>
        <v>0</v>
      </c>
      <c r="I25" s="25">
        <f>ROUND(F25*AP25,2)</f>
        <v>0</v>
      </c>
      <c r="J25" s="25">
        <f>ROUND(F25*G25,2)</f>
        <v>0</v>
      </c>
      <c r="K25" s="27" t="s">
        <v>68</v>
      </c>
      <c r="Z25" s="25">
        <f>ROUND(IF(AQ25="5",BJ25,0),2)</f>
        <v>0</v>
      </c>
      <c r="AB25" s="25">
        <f>ROUND(IF(AQ25="1",BH25,0),2)</f>
        <v>0</v>
      </c>
      <c r="AC25" s="25">
        <f>ROUND(IF(AQ25="1",BI25,0),2)</f>
        <v>0</v>
      </c>
      <c r="AD25" s="25">
        <f>ROUND(IF(AQ25="7",BH25,0),2)</f>
        <v>0</v>
      </c>
      <c r="AE25" s="25">
        <f>ROUND(IF(AQ25="7",BI25,0),2)</f>
        <v>0</v>
      </c>
      <c r="AF25" s="25">
        <f>ROUND(IF(AQ25="2",BH25,0),2)</f>
        <v>0</v>
      </c>
      <c r="AG25" s="25">
        <f>ROUND(IF(AQ25="2",BI25,0),2)</f>
        <v>0</v>
      </c>
      <c r="AH25" s="25">
        <f>ROUND(IF(AQ25="0",BJ25,0),2)</f>
        <v>0</v>
      </c>
      <c r="AI25" s="10" t="s">
        <v>48</v>
      </c>
      <c r="AJ25" s="25">
        <f>IF(AN25=0,J25,0)</f>
        <v>0</v>
      </c>
      <c r="AK25" s="25">
        <f>IF(AN25=12,J25,0)</f>
        <v>0</v>
      </c>
      <c r="AL25" s="25">
        <f>IF(AN25=21,J25,0)</f>
        <v>0</v>
      </c>
      <c r="AN25" s="25">
        <v>21</v>
      </c>
      <c r="AO25" s="25">
        <f>G25*0</f>
        <v>0</v>
      </c>
      <c r="AP25" s="25">
        <f>G25*(1-0)</f>
        <v>0</v>
      </c>
      <c r="AQ25" s="28" t="s">
        <v>74</v>
      </c>
      <c r="AV25" s="25">
        <f>ROUND(AW25+AX25,2)</f>
        <v>0</v>
      </c>
      <c r="AW25" s="25">
        <f>ROUND(F25*AO25,2)</f>
        <v>0</v>
      </c>
      <c r="AX25" s="25">
        <f>ROUND(F25*AP25,2)</f>
        <v>0</v>
      </c>
      <c r="AY25" s="28" t="s">
        <v>92</v>
      </c>
      <c r="AZ25" s="28" t="s">
        <v>55</v>
      </c>
      <c r="BA25" s="10" t="s">
        <v>56</v>
      </c>
      <c r="BC25" s="25">
        <f>AW25+AX25</f>
        <v>0</v>
      </c>
      <c r="BD25" s="25">
        <f>G25/(100-BE25)*100</f>
        <v>0</v>
      </c>
      <c r="BE25" s="25">
        <v>0</v>
      </c>
      <c r="BF25" s="25">
        <f>25</f>
        <v>25</v>
      </c>
      <c r="BH25" s="25">
        <f>F25*AO25</f>
        <v>0</v>
      </c>
      <c r="BI25" s="25">
        <f>F25*AP25</f>
        <v>0</v>
      </c>
      <c r="BJ25" s="25">
        <f>F25*G25</f>
        <v>0</v>
      </c>
      <c r="BK25" s="28" t="s">
        <v>57</v>
      </c>
      <c r="BL25" s="25">
        <v>16</v>
      </c>
      <c r="BW25" s="25">
        <v>21</v>
      </c>
      <c r="BX25" s="4" t="s">
        <v>98</v>
      </c>
    </row>
    <row r="26" spans="1:76" ht="14.4" x14ac:dyDescent="0.3">
      <c r="A26" s="29" t="s">
        <v>48</v>
      </c>
      <c r="B26" s="30" t="s">
        <v>100</v>
      </c>
      <c r="C26" s="109" t="s">
        <v>101</v>
      </c>
      <c r="D26" s="110"/>
      <c r="E26" s="31" t="s">
        <v>4</v>
      </c>
      <c r="F26" s="31" t="s">
        <v>4</v>
      </c>
      <c r="G26" s="32" t="s">
        <v>4</v>
      </c>
      <c r="H26" s="1">
        <f>ROUND(SUM(H27:H31),2)</f>
        <v>0</v>
      </c>
      <c r="I26" s="1">
        <f>ROUND(SUM(I27:I31),2)</f>
        <v>0</v>
      </c>
      <c r="J26" s="1">
        <f>ROUND(SUM(J27:J31),2)</f>
        <v>0</v>
      </c>
      <c r="K26" s="33" t="s">
        <v>48</v>
      </c>
      <c r="AI26" s="10" t="s">
        <v>48</v>
      </c>
      <c r="AS26" s="1">
        <f>SUM(AJ27:AJ31)</f>
        <v>0</v>
      </c>
      <c r="AT26" s="1">
        <f>SUM(AK27:AK31)</f>
        <v>0</v>
      </c>
      <c r="AU26" s="1">
        <f>SUM(AL27:AL31)</f>
        <v>0</v>
      </c>
    </row>
    <row r="27" spans="1:76" ht="14.4" x14ac:dyDescent="0.3">
      <c r="A27" s="2" t="s">
        <v>62</v>
      </c>
      <c r="B27" s="3" t="s">
        <v>102</v>
      </c>
      <c r="C27" s="89" t="s">
        <v>103</v>
      </c>
      <c r="D27" s="84"/>
      <c r="E27" s="3" t="s">
        <v>67</v>
      </c>
      <c r="F27" s="25">
        <v>30.006</v>
      </c>
      <c r="G27" s="26">
        <v>0</v>
      </c>
      <c r="H27" s="25">
        <f>ROUND(F27*AO27,2)</f>
        <v>0</v>
      </c>
      <c r="I27" s="25">
        <f>ROUND(F27*AP27,2)</f>
        <v>0</v>
      </c>
      <c r="J27" s="25">
        <f>ROUND(F27*G27,2)</f>
        <v>0</v>
      </c>
      <c r="K27" s="27" t="s">
        <v>68</v>
      </c>
      <c r="Z27" s="25">
        <f>ROUND(IF(AQ27="5",BJ27,0),2)</f>
        <v>0</v>
      </c>
      <c r="AB27" s="25">
        <f>ROUND(IF(AQ27="1",BH27,0),2)</f>
        <v>0</v>
      </c>
      <c r="AC27" s="25">
        <f>ROUND(IF(AQ27="1",BI27,0),2)</f>
        <v>0</v>
      </c>
      <c r="AD27" s="25">
        <f>ROUND(IF(AQ27="7",BH27,0),2)</f>
        <v>0</v>
      </c>
      <c r="AE27" s="25">
        <f>ROUND(IF(AQ27="7",BI27,0),2)</f>
        <v>0</v>
      </c>
      <c r="AF27" s="25">
        <f>ROUND(IF(AQ27="2",BH27,0),2)</f>
        <v>0</v>
      </c>
      <c r="AG27" s="25">
        <f>ROUND(IF(AQ27="2",BI27,0),2)</f>
        <v>0</v>
      </c>
      <c r="AH27" s="25">
        <f>ROUND(IF(AQ27="0",BJ27,0),2)</f>
        <v>0</v>
      </c>
      <c r="AI27" s="10" t="s">
        <v>48</v>
      </c>
      <c r="AJ27" s="25">
        <f>IF(AN27=0,J27,0)</f>
        <v>0</v>
      </c>
      <c r="AK27" s="25">
        <f>IF(AN27=12,J27,0)</f>
        <v>0</v>
      </c>
      <c r="AL27" s="25">
        <f>IF(AN27=21,J27,0)</f>
        <v>0</v>
      </c>
      <c r="AN27" s="25">
        <v>21</v>
      </c>
      <c r="AO27" s="25">
        <f>G27*0</f>
        <v>0</v>
      </c>
      <c r="AP27" s="25">
        <f>G27*(1-0)</f>
        <v>0</v>
      </c>
      <c r="AQ27" s="28" t="s">
        <v>49</v>
      </c>
      <c r="AV27" s="25">
        <f>ROUND(AW27+AX27,2)</f>
        <v>0</v>
      </c>
      <c r="AW27" s="25">
        <f>ROUND(F27*AO27,2)</f>
        <v>0</v>
      </c>
      <c r="AX27" s="25">
        <f>ROUND(F27*AP27,2)</f>
        <v>0</v>
      </c>
      <c r="AY27" s="28" t="s">
        <v>104</v>
      </c>
      <c r="AZ27" s="28" t="s">
        <v>55</v>
      </c>
      <c r="BA27" s="10" t="s">
        <v>56</v>
      </c>
      <c r="BC27" s="25">
        <f>AW27+AX27</f>
        <v>0</v>
      </c>
      <c r="BD27" s="25">
        <f>G27/(100-BE27)*100</f>
        <v>0</v>
      </c>
      <c r="BE27" s="25">
        <v>0</v>
      </c>
      <c r="BF27" s="25">
        <f>27</f>
        <v>27</v>
      </c>
      <c r="BH27" s="25">
        <f>F27*AO27</f>
        <v>0</v>
      </c>
      <c r="BI27" s="25">
        <f>F27*AP27</f>
        <v>0</v>
      </c>
      <c r="BJ27" s="25">
        <f>F27*G27</f>
        <v>0</v>
      </c>
      <c r="BK27" s="28" t="s">
        <v>57</v>
      </c>
      <c r="BL27" s="25">
        <v>18</v>
      </c>
      <c r="BW27" s="25">
        <v>21</v>
      </c>
      <c r="BX27" s="4" t="s">
        <v>103</v>
      </c>
    </row>
    <row r="28" spans="1:76" ht="14.4" x14ac:dyDescent="0.3">
      <c r="A28" s="2" t="s">
        <v>81</v>
      </c>
      <c r="B28" s="3" t="s">
        <v>105</v>
      </c>
      <c r="C28" s="89" t="s">
        <v>106</v>
      </c>
      <c r="D28" s="84"/>
      <c r="E28" s="3" t="s">
        <v>67</v>
      </c>
      <c r="F28" s="25">
        <v>30.006</v>
      </c>
      <c r="G28" s="26">
        <v>0</v>
      </c>
      <c r="H28" s="25">
        <f>ROUND(F28*AO28,2)</f>
        <v>0</v>
      </c>
      <c r="I28" s="25">
        <f>ROUND(F28*AP28,2)</f>
        <v>0</v>
      </c>
      <c r="J28" s="25">
        <f>ROUND(F28*G28,2)</f>
        <v>0</v>
      </c>
      <c r="K28" s="27" t="s">
        <v>68</v>
      </c>
      <c r="Z28" s="25">
        <f>ROUND(IF(AQ28="5",BJ28,0),2)</f>
        <v>0</v>
      </c>
      <c r="AB28" s="25">
        <f>ROUND(IF(AQ28="1",BH28,0),2)</f>
        <v>0</v>
      </c>
      <c r="AC28" s="25">
        <f>ROUND(IF(AQ28="1",BI28,0),2)</f>
        <v>0</v>
      </c>
      <c r="AD28" s="25">
        <f>ROUND(IF(AQ28="7",BH28,0),2)</f>
        <v>0</v>
      </c>
      <c r="AE28" s="25">
        <f>ROUND(IF(AQ28="7",BI28,0),2)</f>
        <v>0</v>
      </c>
      <c r="AF28" s="25">
        <f>ROUND(IF(AQ28="2",BH28,0),2)</f>
        <v>0</v>
      </c>
      <c r="AG28" s="25">
        <f>ROUND(IF(AQ28="2",BI28,0),2)</f>
        <v>0</v>
      </c>
      <c r="AH28" s="25">
        <f>ROUND(IF(AQ28="0",BJ28,0),2)</f>
        <v>0</v>
      </c>
      <c r="AI28" s="10" t="s">
        <v>48</v>
      </c>
      <c r="AJ28" s="25">
        <f>IF(AN28=0,J28,0)</f>
        <v>0</v>
      </c>
      <c r="AK28" s="25">
        <f>IF(AN28=12,J28,0)</f>
        <v>0</v>
      </c>
      <c r="AL28" s="25">
        <f>IF(AN28=21,J28,0)</f>
        <v>0</v>
      </c>
      <c r="AN28" s="25">
        <v>21</v>
      </c>
      <c r="AO28" s="25">
        <f>G28*0.066863332</f>
        <v>0</v>
      </c>
      <c r="AP28" s="25">
        <f>G28*(1-0.066863332)</f>
        <v>0</v>
      </c>
      <c r="AQ28" s="28" t="s">
        <v>49</v>
      </c>
      <c r="AV28" s="25">
        <f>ROUND(AW28+AX28,2)</f>
        <v>0</v>
      </c>
      <c r="AW28" s="25">
        <f>ROUND(F28*AO28,2)</f>
        <v>0</v>
      </c>
      <c r="AX28" s="25">
        <f>ROUND(F28*AP28,2)</f>
        <v>0</v>
      </c>
      <c r="AY28" s="28" t="s">
        <v>104</v>
      </c>
      <c r="AZ28" s="28" t="s">
        <v>55</v>
      </c>
      <c r="BA28" s="10" t="s">
        <v>56</v>
      </c>
      <c r="BC28" s="25">
        <f>AW28+AX28</f>
        <v>0</v>
      </c>
      <c r="BD28" s="25">
        <f>G28/(100-BE28)*100</f>
        <v>0</v>
      </c>
      <c r="BE28" s="25">
        <v>0</v>
      </c>
      <c r="BF28" s="25">
        <f>28</f>
        <v>28</v>
      </c>
      <c r="BH28" s="25">
        <f>F28*AO28</f>
        <v>0</v>
      </c>
      <c r="BI28" s="25">
        <f>F28*AP28</f>
        <v>0</v>
      </c>
      <c r="BJ28" s="25">
        <f>F28*G28</f>
        <v>0</v>
      </c>
      <c r="BK28" s="28" t="s">
        <v>57</v>
      </c>
      <c r="BL28" s="25">
        <v>18</v>
      </c>
      <c r="BW28" s="25">
        <v>21</v>
      </c>
      <c r="BX28" s="4" t="s">
        <v>106</v>
      </c>
    </row>
    <row r="29" spans="1:76" ht="14.4" x14ac:dyDescent="0.3">
      <c r="A29" s="2" t="s">
        <v>107</v>
      </c>
      <c r="B29" s="3" t="s">
        <v>108</v>
      </c>
      <c r="C29" s="89" t="s">
        <v>109</v>
      </c>
      <c r="D29" s="84"/>
      <c r="E29" s="3" t="s">
        <v>73</v>
      </c>
      <c r="F29" s="25">
        <v>3.0906199999999999</v>
      </c>
      <c r="G29" s="26">
        <v>0</v>
      </c>
      <c r="H29" s="25">
        <f>ROUND(F29*AO29,2)</f>
        <v>0</v>
      </c>
      <c r="I29" s="25">
        <f>ROUND(F29*AP29,2)</f>
        <v>0</v>
      </c>
      <c r="J29" s="25">
        <f>ROUND(F29*G29,2)</f>
        <v>0</v>
      </c>
      <c r="K29" s="27" t="s">
        <v>68</v>
      </c>
      <c r="Z29" s="25">
        <f>ROUND(IF(AQ29="5",BJ29,0),2)</f>
        <v>0</v>
      </c>
      <c r="AB29" s="25">
        <f>ROUND(IF(AQ29="1",BH29,0),2)</f>
        <v>0</v>
      </c>
      <c r="AC29" s="25">
        <f>ROUND(IF(AQ29="1",BI29,0),2)</f>
        <v>0</v>
      </c>
      <c r="AD29" s="25">
        <f>ROUND(IF(AQ29="7",BH29,0),2)</f>
        <v>0</v>
      </c>
      <c r="AE29" s="25">
        <f>ROUND(IF(AQ29="7",BI29,0),2)</f>
        <v>0</v>
      </c>
      <c r="AF29" s="25">
        <f>ROUND(IF(AQ29="2",BH29,0),2)</f>
        <v>0</v>
      </c>
      <c r="AG29" s="25">
        <f>ROUND(IF(AQ29="2",BI29,0),2)</f>
        <v>0</v>
      </c>
      <c r="AH29" s="25">
        <f>ROUND(IF(AQ29="0",BJ29,0),2)</f>
        <v>0</v>
      </c>
      <c r="AI29" s="10" t="s">
        <v>48</v>
      </c>
      <c r="AJ29" s="25">
        <f>IF(AN29=0,J29,0)</f>
        <v>0</v>
      </c>
      <c r="AK29" s="25">
        <f>IF(AN29=12,J29,0)</f>
        <v>0</v>
      </c>
      <c r="AL29" s="25">
        <f>IF(AN29=21,J29,0)</f>
        <v>0</v>
      </c>
      <c r="AN29" s="25">
        <v>21</v>
      </c>
      <c r="AO29" s="25">
        <f>G29*1</f>
        <v>0</v>
      </c>
      <c r="AP29" s="25">
        <f>G29*(1-1)</f>
        <v>0</v>
      </c>
      <c r="AQ29" s="28" t="s">
        <v>49</v>
      </c>
      <c r="AV29" s="25">
        <f>ROUND(AW29+AX29,2)</f>
        <v>0</v>
      </c>
      <c r="AW29" s="25">
        <f>ROUND(F29*AO29,2)</f>
        <v>0</v>
      </c>
      <c r="AX29" s="25">
        <f>ROUND(F29*AP29,2)</f>
        <v>0</v>
      </c>
      <c r="AY29" s="28" t="s">
        <v>104</v>
      </c>
      <c r="AZ29" s="28" t="s">
        <v>55</v>
      </c>
      <c r="BA29" s="10" t="s">
        <v>56</v>
      </c>
      <c r="BC29" s="25">
        <f>AW29+AX29</f>
        <v>0</v>
      </c>
      <c r="BD29" s="25">
        <f>G29/(100-BE29)*100</f>
        <v>0</v>
      </c>
      <c r="BE29" s="25">
        <v>0</v>
      </c>
      <c r="BF29" s="25">
        <f>29</f>
        <v>29</v>
      </c>
      <c r="BH29" s="25">
        <f>F29*AO29</f>
        <v>0</v>
      </c>
      <c r="BI29" s="25">
        <f>F29*AP29</f>
        <v>0</v>
      </c>
      <c r="BJ29" s="25">
        <f>F29*G29</f>
        <v>0</v>
      </c>
      <c r="BK29" s="28" t="s">
        <v>110</v>
      </c>
      <c r="BL29" s="25">
        <v>18</v>
      </c>
      <c r="BW29" s="25">
        <v>21</v>
      </c>
      <c r="BX29" s="4" t="s">
        <v>109</v>
      </c>
    </row>
    <row r="30" spans="1:76" ht="14.4" x14ac:dyDescent="0.3">
      <c r="A30" s="2" t="s">
        <v>111</v>
      </c>
      <c r="B30" s="3" t="s">
        <v>112</v>
      </c>
      <c r="C30" s="89" t="s">
        <v>113</v>
      </c>
      <c r="D30" s="84"/>
      <c r="E30" s="3" t="s">
        <v>73</v>
      </c>
      <c r="F30" s="25">
        <v>3.0906199999999999</v>
      </c>
      <c r="G30" s="26">
        <v>0</v>
      </c>
      <c r="H30" s="25">
        <f>ROUND(F30*AO30,2)</f>
        <v>0</v>
      </c>
      <c r="I30" s="25">
        <f>ROUND(F30*AP30,2)</f>
        <v>0</v>
      </c>
      <c r="J30" s="25">
        <f>ROUND(F30*G30,2)</f>
        <v>0</v>
      </c>
      <c r="K30" s="27" t="s">
        <v>68</v>
      </c>
      <c r="Z30" s="25">
        <f>ROUND(IF(AQ30="5",BJ30,0),2)</f>
        <v>0</v>
      </c>
      <c r="AB30" s="25">
        <f>ROUND(IF(AQ30="1",BH30,0),2)</f>
        <v>0</v>
      </c>
      <c r="AC30" s="25">
        <f>ROUND(IF(AQ30="1",BI30,0),2)</f>
        <v>0</v>
      </c>
      <c r="AD30" s="25">
        <f>ROUND(IF(AQ30="7",BH30,0),2)</f>
        <v>0</v>
      </c>
      <c r="AE30" s="25">
        <f>ROUND(IF(AQ30="7",BI30,0),2)</f>
        <v>0</v>
      </c>
      <c r="AF30" s="25">
        <f>ROUND(IF(AQ30="2",BH30,0),2)</f>
        <v>0</v>
      </c>
      <c r="AG30" s="25">
        <f>ROUND(IF(AQ30="2",BI30,0),2)</f>
        <v>0</v>
      </c>
      <c r="AH30" s="25">
        <f>ROUND(IF(AQ30="0",BJ30,0),2)</f>
        <v>0</v>
      </c>
      <c r="AI30" s="10" t="s">
        <v>48</v>
      </c>
      <c r="AJ30" s="25">
        <f>IF(AN30=0,J30,0)</f>
        <v>0</v>
      </c>
      <c r="AK30" s="25">
        <f>IF(AN30=12,J30,0)</f>
        <v>0</v>
      </c>
      <c r="AL30" s="25">
        <f>IF(AN30=21,J30,0)</f>
        <v>0</v>
      </c>
      <c r="AN30" s="25">
        <v>21</v>
      </c>
      <c r="AO30" s="25">
        <f>G30*0</f>
        <v>0</v>
      </c>
      <c r="AP30" s="25">
        <f>G30*(1-0)</f>
        <v>0</v>
      </c>
      <c r="AQ30" s="28" t="s">
        <v>49</v>
      </c>
      <c r="AV30" s="25">
        <f>ROUND(AW30+AX30,2)</f>
        <v>0</v>
      </c>
      <c r="AW30" s="25">
        <f>ROUND(F30*AO30,2)</f>
        <v>0</v>
      </c>
      <c r="AX30" s="25">
        <f>ROUND(F30*AP30,2)</f>
        <v>0</v>
      </c>
      <c r="AY30" s="28" t="s">
        <v>104</v>
      </c>
      <c r="AZ30" s="28" t="s">
        <v>55</v>
      </c>
      <c r="BA30" s="10" t="s">
        <v>56</v>
      </c>
      <c r="BC30" s="25">
        <f>AW30+AX30</f>
        <v>0</v>
      </c>
      <c r="BD30" s="25">
        <f>G30/(100-BE30)*100</f>
        <v>0</v>
      </c>
      <c r="BE30" s="25">
        <v>0</v>
      </c>
      <c r="BF30" s="25">
        <f>30</f>
        <v>30</v>
      </c>
      <c r="BH30" s="25">
        <f>F30*AO30</f>
        <v>0</v>
      </c>
      <c r="BI30" s="25">
        <f>F30*AP30</f>
        <v>0</v>
      </c>
      <c r="BJ30" s="25">
        <f>F30*G30</f>
        <v>0</v>
      </c>
      <c r="BK30" s="28" t="s">
        <v>57</v>
      </c>
      <c r="BL30" s="25">
        <v>18</v>
      </c>
      <c r="BW30" s="25">
        <v>21</v>
      </c>
      <c r="BX30" s="4" t="s">
        <v>113</v>
      </c>
    </row>
    <row r="31" spans="1:76" ht="14.4" x14ac:dyDescent="0.3">
      <c r="A31" s="2" t="s">
        <v>114</v>
      </c>
      <c r="B31" s="3" t="s">
        <v>115</v>
      </c>
      <c r="C31" s="89" t="s">
        <v>116</v>
      </c>
      <c r="D31" s="84"/>
      <c r="E31" s="3" t="s">
        <v>73</v>
      </c>
      <c r="F31" s="25">
        <v>3.0906199999999999</v>
      </c>
      <c r="G31" s="26">
        <v>0</v>
      </c>
      <c r="H31" s="25">
        <f>ROUND(F31*AO31,2)</f>
        <v>0</v>
      </c>
      <c r="I31" s="25">
        <f>ROUND(F31*AP31,2)</f>
        <v>0</v>
      </c>
      <c r="J31" s="25">
        <f>ROUND(F31*G31,2)</f>
        <v>0</v>
      </c>
      <c r="K31" s="27" t="s">
        <v>68</v>
      </c>
      <c r="Z31" s="25">
        <f>ROUND(IF(AQ31="5",BJ31,0),2)</f>
        <v>0</v>
      </c>
      <c r="AB31" s="25">
        <f>ROUND(IF(AQ31="1",BH31,0),2)</f>
        <v>0</v>
      </c>
      <c r="AC31" s="25">
        <f>ROUND(IF(AQ31="1",BI31,0),2)</f>
        <v>0</v>
      </c>
      <c r="AD31" s="25">
        <f>ROUND(IF(AQ31="7",BH31,0),2)</f>
        <v>0</v>
      </c>
      <c r="AE31" s="25">
        <f>ROUND(IF(AQ31="7",BI31,0),2)</f>
        <v>0</v>
      </c>
      <c r="AF31" s="25">
        <f>ROUND(IF(AQ31="2",BH31,0),2)</f>
        <v>0</v>
      </c>
      <c r="AG31" s="25">
        <f>ROUND(IF(AQ31="2",BI31,0),2)</f>
        <v>0</v>
      </c>
      <c r="AH31" s="25">
        <f>ROUND(IF(AQ31="0",BJ31,0),2)</f>
        <v>0</v>
      </c>
      <c r="AI31" s="10" t="s">
        <v>48</v>
      </c>
      <c r="AJ31" s="25">
        <f>IF(AN31=0,J31,0)</f>
        <v>0</v>
      </c>
      <c r="AK31" s="25">
        <f>IF(AN31=12,J31,0)</f>
        <v>0</v>
      </c>
      <c r="AL31" s="25">
        <f>IF(AN31=21,J31,0)</f>
        <v>0</v>
      </c>
      <c r="AN31" s="25">
        <v>21</v>
      </c>
      <c r="AO31" s="25">
        <f>G31*0</f>
        <v>0</v>
      </c>
      <c r="AP31" s="25">
        <f>G31*(1-0)</f>
        <v>0</v>
      </c>
      <c r="AQ31" s="28" t="s">
        <v>49</v>
      </c>
      <c r="AV31" s="25">
        <f>ROUND(AW31+AX31,2)</f>
        <v>0</v>
      </c>
      <c r="AW31" s="25">
        <f>ROUND(F31*AO31,2)</f>
        <v>0</v>
      </c>
      <c r="AX31" s="25">
        <f>ROUND(F31*AP31,2)</f>
        <v>0</v>
      </c>
      <c r="AY31" s="28" t="s">
        <v>104</v>
      </c>
      <c r="AZ31" s="28" t="s">
        <v>55</v>
      </c>
      <c r="BA31" s="10" t="s">
        <v>56</v>
      </c>
      <c r="BC31" s="25">
        <f>AW31+AX31</f>
        <v>0</v>
      </c>
      <c r="BD31" s="25">
        <f>G31/(100-BE31)*100</f>
        <v>0</v>
      </c>
      <c r="BE31" s="25">
        <v>0</v>
      </c>
      <c r="BF31" s="25">
        <f>31</f>
        <v>31</v>
      </c>
      <c r="BH31" s="25">
        <f>F31*AO31</f>
        <v>0</v>
      </c>
      <c r="BI31" s="25">
        <f>F31*AP31</f>
        <v>0</v>
      </c>
      <c r="BJ31" s="25">
        <f>F31*G31</f>
        <v>0</v>
      </c>
      <c r="BK31" s="28" t="s">
        <v>57</v>
      </c>
      <c r="BL31" s="25">
        <v>18</v>
      </c>
      <c r="BW31" s="25">
        <v>21</v>
      </c>
      <c r="BX31" s="4" t="s">
        <v>116</v>
      </c>
    </row>
    <row r="32" spans="1:76" ht="14.4" x14ac:dyDescent="0.3">
      <c r="A32" s="29" t="s">
        <v>48</v>
      </c>
      <c r="B32" s="30" t="s">
        <v>117</v>
      </c>
      <c r="C32" s="109" t="s">
        <v>118</v>
      </c>
      <c r="D32" s="110"/>
      <c r="E32" s="31" t="s">
        <v>4</v>
      </c>
      <c r="F32" s="31" t="s">
        <v>4</v>
      </c>
      <c r="G32" s="32" t="s">
        <v>4</v>
      </c>
      <c r="H32" s="1">
        <f>ROUND(SUM(H33:H33),2)</f>
        <v>0</v>
      </c>
      <c r="I32" s="1">
        <f>ROUND(SUM(I33:I33),2)</f>
        <v>0</v>
      </c>
      <c r="J32" s="1">
        <f>ROUND(SUM(J33:J33),2)</f>
        <v>0</v>
      </c>
      <c r="K32" s="33" t="s">
        <v>48</v>
      </c>
      <c r="AI32" s="10" t="s">
        <v>48</v>
      </c>
      <c r="AS32" s="1">
        <f>SUM(AJ33:AJ33)</f>
        <v>0</v>
      </c>
      <c r="AT32" s="1">
        <f>SUM(AK33:AK33)</f>
        <v>0</v>
      </c>
      <c r="AU32" s="1">
        <f>SUM(AL33:AL33)</f>
        <v>0</v>
      </c>
    </row>
    <row r="33" spans="1:76" ht="14.4" x14ac:dyDescent="0.3">
      <c r="A33" s="2" t="s">
        <v>87</v>
      </c>
      <c r="B33" s="3" t="s">
        <v>119</v>
      </c>
      <c r="C33" s="89" t="s">
        <v>120</v>
      </c>
      <c r="D33" s="84"/>
      <c r="E33" s="3" t="s">
        <v>67</v>
      </c>
      <c r="F33" s="25">
        <v>576.60699999999997</v>
      </c>
      <c r="G33" s="26">
        <v>0</v>
      </c>
      <c r="H33" s="25">
        <f>ROUND(F33*AO33,2)</f>
        <v>0</v>
      </c>
      <c r="I33" s="25">
        <f>ROUND(F33*AP33,2)</f>
        <v>0</v>
      </c>
      <c r="J33" s="25">
        <f>ROUND(F33*G33,2)</f>
        <v>0</v>
      </c>
      <c r="K33" s="27" t="s">
        <v>68</v>
      </c>
      <c r="Z33" s="25">
        <f>ROUND(IF(AQ33="5",BJ33,0),2)</f>
        <v>0</v>
      </c>
      <c r="AB33" s="25">
        <f>ROUND(IF(AQ33="1",BH33,0),2)</f>
        <v>0</v>
      </c>
      <c r="AC33" s="25">
        <f>ROUND(IF(AQ33="1",BI33,0),2)</f>
        <v>0</v>
      </c>
      <c r="AD33" s="25">
        <f>ROUND(IF(AQ33="7",BH33,0),2)</f>
        <v>0</v>
      </c>
      <c r="AE33" s="25">
        <f>ROUND(IF(AQ33="7",BI33,0),2)</f>
        <v>0</v>
      </c>
      <c r="AF33" s="25">
        <f>ROUND(IF(AQ33="2",BH33,0),2)</f>
        <v>0</v>
      </c>
      <c r="AG33" s="25">
        <f>ROUND(IF(AQ33="2",BI33,0),2)</f>
        <v>0</v>
      </c>
      <c r="AH33" s="25">
        <f>ROUND(IF(AQ33="0",BJ33,0),2)</f>
        <v>0</v>
      </c>
      <c r="AI33" s="10" t="s">
        <v>48</v>
      </c>
      <c r="AJ33" s="25">
        <f>IF(AN33=0,J33,0)</f>
        <v>0</v>
      </c>
      <c r="AK33" s="25">
        <f>IF(AN33=12,J33,0)</f>
        <v>0</v>
      </c>
      <c r="AL33" s="25">
        <f>IF(AN33=21,J33,0)</f>
        <v>0</v>
      </c>
      <c r="AN33" s="25">
        <v>21</v>
      </c>
      <c r="AO33" s="25">
        <f>G33*0</f>
        <v>0</v>
      </c>
      <c r="AP33" s="25">
        <f>G33*(1-0)</f>
        <v>0</v>
      </c>
      <c r="AQ33" s="28" t="s">
        <v>49</v>
      </c>
      <c r="AV33" s="25">
        <f>ROUND(AW33+AX33,2)</f>
        <v>0</v>
      </c>
      <c r="AW33" s="25">
        <f>ROUND(F33*AO33,2)</f>
        <v>0</v>
      </c>
      <c r="AX33" s="25">
        <f>ROUND(F33*AP33,2)</f>
        <v>0</v>
      </c>
      <c r="AY33" s="28" t="s">
        <v>121</v>
      </c>
      <c r="AZ33" s="28" t="s">
        <v>122</v>
      </c>
      <c r="BA33" s="10" t="s">
        <v>56</v>
      </c>
      <c r="BC33" s="25">
        <f>AW33+AX33</f>
        <v>0</v>
      </c>
      <c r="BD33" s="25">
        <f>G33/(100-BE33)*100</f>
        <v>0</v>
      </c>
      <c r="BE33" s="25">
        <v>0</v>
      </c>
      <c r="BF33" s="25">
        <f>33</f>
        <v>33</v>
      </c>
      <c r="BH33" s="25">
        <f>F33*AO33</f>
        <v>0</v>
      </c>
      <c r="BI33" s="25">
        <f>F33*AP33</f>
        <v>0</v>
      </c>
      <c r="BJ33" s="25">
        <f>F33*G33</f>
        <v>0</v>
      </c>
      <c r="BK33" s="28" t="s">
        <v>57</v>
      </c>
      <c r="BL33" s="25">
        <v>21</v>
      </c>
      <c r="BW33" s="25">
        <v>21</v>
      </c>
      <c r="BX33" s="4" t="s">
        <v>120</v>
      </c>
    </row>
    <row r="34" spans="1:76" ht="14.4" x14ac:dyDescent="0.3">
      <c r="A34" s="29" t="s">
        <v>48</v>
      </c>
      <c r="B34" s="30" t="s">
        <v>123</v>
      </c>
      <c r="C34" s="109" t="s">
        <v>124</v>
      </c>
      <c r="D34" s="110"/>
      <c r="E34" s="31" t="s">
        <v>4</v>
      </c>
      <c r="F34" s="31" t="s">
        <v>4</v>
      </c>
      <c r="G34" s="32" t="s">
        <v>4</v>
      </c>
      <c r="H34" s="1">
        <f>ROUND(SUM(H35:H38),2)</f>
        <v>0</v>
      </c>
      <c r="I34" s="1">
        <f>ROUND(SUM(I35:I38),2)</f>
        <v>0</v>
      </c>
      <c r="J34" s="1">
        <f>ROUND(SUM(J35:J38),2)</f>
        <v>0</v>
      </c>
      <c r="K34" s="33" t="s">
        <v>48</v>
      </c>
      <c r="AI34" s="10" t="s">
        <v>48</v>
      </c>
      <c r="AS34" s="1">
        <f>SUM(AJ35:AJ38)</f>
        <v>0</v>
      </c>
      <c r="AT34" s="1">
        <f>SUM(AK35:AK38)</f>
        <v>0</v>
      </c>
      <c r="AU34" s="1">
        <f>SUM(AL35:AL38)</f>
        <v>0</v>
      </c>
    </row>
    <row r="35" spans="1:76" ht="14.4" x14ac:dyDescent="0.3">
      <c r="A35" s="2" t="s">
        <v>125</v>
      </c>
      <c r="B35" s="3" t="s">
        <v>126</v>
      </c>
      <c r="C35" s="89" t="s">
        <v>127</v>
      </c>
      <c r="D35" s="84"/>
      <c r="E35" s="3" t="s">
        <v>67</v>
      </c>
      <c r="F35" s="25">
        <v>568.471</v>
      </c>
      <c r="G35" s="26">
        <v>0</v>
      </c>
      <c r="H35" s="25">
        <f>ROUND(F35*AO35,2)</f>
        <v>0</v>
      </c>
      <c r="I35" s="25">
        <f>ROUND(F35*AP35,2)</f>
        <v>0</v>
      </c>
      <c r="J35" s="25">
        <f>ROUND(F35*G35,2)</f>
        <v>0</v>
      </c>
      <c r="K35" s="27" t="s">
        <v>68</v>
      </c>
      <c r="Z35" s="25">
        <f>ROUND(IF(AQ35="5",BJ35,0),2)</f>
        <v>0</v>
      </c>
      <c r="AB35" s="25">
        <f>ROUND(IF(AQ35="1",BH35,0),2)</f>
        <v>0</v>
      </c>
      <c r="AC35" s="25">
        <f>ROUND(IF(AQ35="1",BI35,0),2)</f>
        <v>0</v>
      </c>
      <c r="AD35" s="25">
        <f>ROUND(IF(AQ35="7",BH35,0),2)</f>
        <v>0</v>
      </c>
      <c r="AE35" s="25">
        <f>ROUND(IF(AQ35="7",BI35,0),2)</f>
        <v>0</v>
      </c>
      <c r="AF35" s="25">
        <f>ROUND(IF(AQ35="2",BH35,0),2)</f>
        <v>0</v>
      </c>
      <c r="AG35" s="25">
        <f>ROUND(IF(AQ35="2",BI35,0),2)</f>
        <v>0</v>
      </c>
      <c r="AH35" s="25">
        <f>ROUND(IF(AQ35="0",BJ35,0),2)</f>
        <v>0</v>
      </c>
      <c r="AI35" s="10" t="s">
        <v>48</v>
      </c>
      <c r="AJ35" s="25">
        <f>IF(AN35=0,J35,0)</f>
        <v>0</v>
      </c>
      <c r="AK35" s="25">
        <f>IF(AN35=12,J35,0)</f>
        <v>0</v>
      </c>
      <c r="AL35" s="25">
        <f>IF(AN35=21,J35,0)</f>
        <v>0</v>
      </c>
      <c r="AN35" s="25">
        <v>21</v>
      </c>
      <c r="AO35" s="25">
        <f>G35*0.784140332</f>
        <v>0</v>
      </c>
      <c r="AP35" s="25">
        <f>G35*(1-0.784140332)</f>
        <v>0</v>
      </c>
      <c r="AQ35" s="28" t="s">
        <v>49</v>
      </c>
      <c r="AV35" s="25">
        <f>ROUND(AW35+AX35,2)</f>
        <v>0</v>
      </c>
      <c r="AW35" s="25">
        <f>ROUND(F35*AO35,2)</f>
        <v>0</v>
      </c>
      <c r="AX35" s="25">
        <f>ROUND(F35*AP35,2)</f>
        <v>0</v>
      </c>
      <c r="AY35" s="28" t="s">
        <v>128</v>
      </c>
      <c r="AZ35" s="28" t="s">
        <v>129</v>
      </c>
      <c r="BA35" s="10" t="s">
        <v>56</v>
      </c>
      <c r="BC35" s="25">
        <f>AW35+AX35</f>
        <v>0</v>
      </c>
      <c r="BD35" s="25">
        <f>G35/(100-BE35)*100</f>
        <v>0</v>
      </c>
      <c r="BE35" s="25">
        <v>0</v>
      </c>
      <c r="BF35" s="25">
        <f>35</f>
        <v>35</v>
      </c>
      <c r="BH35" s="25">
        <f>F35*AO35</f>
        <v>0</v>
      </c>
      <c r="BI35" s="25">
        <f>F35*AP35</f>
        <v>0</v>
      </c>
      <c r="BJ35" s="25">
        <f>F35*G35</f>
        <v>0</v>
      </c>
      <c r="BK35" s="28" t="s">
        <v>57</v>
      </c>
      <c r="BL35" s="25">
        <v>56</v>
      </c>
      <c r="BW35" s="25">
        <v>21</v>
      </c>
      <c r="BX35" s="4" t="s">
        <v>127</v>
      </c>
    </row>
    <row r="36" spans="1:76" ht="14.4" x14ac:dyDescent="0.3">
      <c r="A36" s="2" t="s">
        <v>100</v>
      </c>
      <c r="B36" s="3" t="s">
        <v>130</v>
      </c>
      <c r="C36" s="89" t="s">
        <v>131</v>
      </c>
      <c r="D36" s="84"/>
      <c r="E36" s="3" t="s">
        <v>67</v>
      </c>
      <c r="F36" s="25">
        <v>11.829599999999999</v>
      </c>
      <c r="G36" s="26">
        <v>0</v>
      </c>
      <c r="H36" s="25">
        <f>ROUND(F36*AO36,2)</f>
        <v>0</v>
      </c>
      <c r="I36" s="25">
        <f>ROUND(F36*AP36,2)</f>
        <v>0</v>
      </c>
      <c r="J36" s="25">
        <f>ROUND(F36*G36,2)</f>
        <v>0</v>
      </c>
      <c r="K36" s="27" t="s">
        <v>68</v>
      </c>
      <c r="Z36" s="25">
        <f>ROUND(IF(AQ36="5",BJ36,0),2)</f>
        <v>0</v>
      </c>
      <c r="AB36" s="25">
        <f>ROUND(IF(AQ36="1",BH36,0),2)</f>
        <v>0</v>
      </c>
      <c r="AC36" s="25">
        <f>ROUND(IF(AQ36="1",BI36,0),2)</f>
        <v>0</v>
      </c>
      <c r="AD36" s="25">
        <f>ROUND(IF(AQ36="7",BH36,0),2)</f>
        <v>0</v>
      </c>
      <c r="AE36" s="25">
        <f>ROUND(IF(AQ36="7",BI36,0),2)</f>
        <v>0</v>
      </c>
      <c r="AF36" s="25">
        <f>ROUND(IF(AQ36="2",BH36,0),2)</f>
        <v>0</v>
      </c>
      <c r="AG36" s="25">
        <f>ROUND(IF(AQ36="2",BI36,0),2)</f>
        <v>0</v>
      </c>
      <c r="AH36" s="25">
        <f>ROUND(IF(AQ36="0",BJ36,0),2)</f>
        <v>0</v>
      </c>
      <c r="AI36" s="10" t="s">
        <v>48</v>
      </c>
      <c r="AJ36" s="25">
        <f>IF(AN36=0,J36,0)</f>
        <v>0</v>
      </c>
      <c r="AK36" s="25">
        <f>IF(AN36=12,J36,0)</f>
        <v>0</v>
      </c>
      <c r="AL36" s="25">
        <f>IF(AN36=21,J36,0)</f>
        <v>0</v>
      </c>
      <c r="AN36" s="25">
        <v>21</v>
      </c>
      <c r="AO36" s="25">
        <f>G36*0.861841245</f>
        <v>0</v>
      </c>
      <c r="AP36" s="25">
        <f>G36*(1-0.861841245)</f>
        <v>0</v>
      </c>
      <c r="AQ36" s="28" t="s">
        <v>49</v>
      </c>
      <c r="AV36" s="25">
        <f>ROUND(AW36+AX36,2)</f>
        <v>0</v>
      </c>
      <c r="AW36" s="25">
        <f>ROUND(F36*AO36,2)</f>
        <v>0</v>
      </c>
      <c r="AX36" s="25">
        <f>ROUND(F36*AP36,2)</f>
        <v>0</v>
      </c>
      <c r="AY36" s="28" t="s">
        <v>128</v>
      </c>
      <c r="AZ36" s="28" t="s">
        <v>129</v>
      </c>
      <c r="BA36" s="10" t="s">
        <v>56</v>
      </c>
      <c r="BC36" s="25">
        <f>AW36+AX36</f>
        <v>0</v>
      </c>
      <c r="BD36" s="25">
        <f>G36/(100-BE36)*100</f>
        <v>0</v>
      </c>
      <c r="BE36" s="25">
        <v>0</v>
      </c>
      <c r="BF36" s="25">
        <f>36</f>
        <v>36</v>
      </c>
      <c r="BH36" s="25">
        <f>F36*AO36</f>
        <v>0</v>
      </c>
      <c r="BI36" s="25">
        <f>F36*AP36</f>
        <v>0</v>
      </c>
      <c r="BJ36" s="25">
        <f>F36*G36</f>
        <v>0</v>
      </c>
      <c r="BK36" s="28" t="s">
        <v>57</v>
      </c>
      <c r="BL36" s="25">
        <v>56</v>
      </c>
      <c r="BW36" s="25">
        <v>21</v>
      </c>
      <c r="BX36" s="4" t="s">
        <v>131</v>
      </c>
    </row>
    <row r="37" spans="1:76" ht="14.4" x14ac:dyDescent="0.3">
      <c r="A37" s="2" t="s">
        <v>132</v>
      </c>
      <c r="B37" s="3" t="s">
        <v>133</v>
      </c>
      <c r="C37" s="89" t="s">
        <v>134</v>
      </c>
      <c r="D37" s="84"/>
      <c r="E37" s="3" t="s">
        <v>67</v>
      </c>
      <c r="F37" s="25">
        <v>12.0024</v>
      </c>
      <c r="G37" s="26">
        <v>0</v>
      </c>
      <c r="H37" s="25">
        <f>ROUND(F37*AO37,2)</f>
        <v>0</v>
      </c>
      <c r="I37" s="25">
        <f>ROUND(F37*AP37,2)</f>
        <v>0</v>
      </c>
      <c r="J37" s="25">
        <f>ROUND(F37*G37,2)</f>
        <v>0</v>
      </c>
      <c r="K37" s="27" t="s">
        <v>68</v>
      </c>
      <c r="Z37" s="25">
        <f>ROUND(IF(AQ37="5",BJ37,0),2)</f>
        <v>0</v>
      </c>
      <c r="AB37" s="25">
        <f>ROUND(IF(AQ37="1",BH37,0),2)</f>
        <v>0</v>
      </c>
      <c r="AC37" s="25">
        <f>ROUND(IF(AQ37="1",BI37,0),2)</f>
        <v>0</v>
      </c>
      <c r="AD37" s="25">
        <f>ROUND(IF(AQ37="7",BH37,0),2)</f>
        <v>0</v>
      </c>
      <c r="AE37" s="25">
        <f>ROUND(IF(AQ37="7",BI37,0),2)</f>
        <v>0</v>
      </c>
      <c r="AF37" s="25">
        <f>ROUND(IF(AQ37="2",BH37,0),2)</f>
        <v>0</v>
      </c>
      <c r="AG37" s="25">
        <f>ROUND(IF(AQ37="2",BI37,0),2)</f>
        <v>0</v>
      </c>
      <c r="AH37" s="25">
        <f>ROUND(IF(AQ37="0",BJ37,0),2)</f>
        <v>0</v>
      </c>
      <c r="AI37" s="10" t="s">
        <v>48</v>
      </c>
      <c r="AJ37" s="25">
        <f>IF(AN37=0,J37,0)</f>
        <v>0</v>
      </c>
      <c r="AK37" s="25">
        <f>IF(AN37=12,J37,0)</f>
        <v>0</v>
      </c>
      <c r="AL37" s="25">
        <f>IF(AN37=21,J37,0)</f>
        <v>0</v>
      </c>
      <c r="AN37" s="25">
        <v>21</v>
      </c>
      <c r="AO37" s="25">
        <f>G37*0.846951381</f>
        <v>0</v>
      </c>
      <c r="AP37" s="25">
        <f>G37*(1-0.846951381)</f>
        <v>0</v>
      </c>
      <c r="AQ37" s="28" t="s">
        <v>49</v>
      </c>
      <c r="AV37" s="25">
        <f>ROUND(AW37+AX37,2)</f>
        <v>0</v>
      </c>
      <c r="AW37" s="25">
        <f>ROUND(F37*AO37,2)</f>
        <v>0</v>
      </c>
      <c r="AX37" s="25">
        <f>ROUND(F37*AP37,2)</f>
        <v>0</v>
      </c>
      <c r="AY37" s="28" t="s">
        <v>128</v>
      </c>
      <c r="AZ37" s="28" t="s">
        <v>129</v>
      </c>
      <c r="BA37" s="10" t="s">
        <v>56</v>
      </c>
      <c r="BC37" s="25">
        <f>AW37+AX37</f>
        <v>0</v>
      </c>
      <c r="BD37" s="25">
        <f>G37/(100-BE37)*100</f>
        <v>0</v>
      </c>
      <c r="BE37" s="25">
        <v>0</v>
      </c>
      <c r="BF37" s="25">
        <f>37</f>
        <v>37</v>
      </c>
      <c r="BH37" s="25">
        <f>F37*AO37</f>
        <v>0</v>
      </c>
      <c r="BI37" s="25">
        <f>F37*AP37</f>
        <v>0</v>
      </c>
      <c r="BJ37" s="25">
        <f>F37*G37</f>
        <v>0</v>
      </c>
      <c r="BK37" s="28" t="s">
        <v>57</v>
      </c>
      <c r="BL37" s="25">
        <v>56</v>
      </c>
      <c r="BW37" s="25">
        <v>21</v>
      </c>
      <c r="BX37" s="4" t="s">
        <v>134</v>
      </c>
    </row>
    <row r="38" spans="1:76" ht="14.4" x14ac:dyDescent="0.3">
      <c r="A38" s="2" t="s">
        <v>135</v>
      </c>
      <c r="B38" s="3" t="s">
        <v>136</v>
      </c>
      <c r="C38" s="89" t="s">
        <v>137</v>
      </c>
      <c r="D38" s="84"/>
      <c r="E38" s="3" t="s">
        <v>99</v>
      </c>
      <c r="F38" s="25">
        <v>139.19716</v>
      </c>
      <c r="G38" s="26">
        <v>0</v>
      </c>
      <c r="H38" s="25">
        <f>ROUND(F38*AO38,2)</f>
        <v>0</v>
      </c>
      <c r="I38" s="25">
        <f>ROUND(F38*AP38,2)</f>
        <v>0</v>
      </c>
      <c r="J38" s="25">
        <f>ROUND(F38*G38,2)</f>
        <v>0</v>
      </c>
      <c r="K38" s="27" t="s">
        <v>68</v>
      </c>
      <c r="Z38" s="25">
        <f>ROUND(IF(AQ38="5",BJ38,0),2)</f>
        <v>0</v>
      </c>
      <c r="AB38" s="25">
        <f>ROUND(IF(AQ38="1",BH38,0),2)</f>
        <v>0</v>
      </c>
      <c r="AC38" s="25">
        <f>ROUND(IF(AQ38="1",BI38,0),2)</f>
        <v>0</v>
      </c>
      <c r="AD38" s="25">
        <f>ROUND(IF(AQ38="7",BH38,0),2)</f>
        <v>0</v>
      </c>
      <c r="AE38" s="25">
        <f>ROUND(IF(AQ38="7",BI38,0),2)</f>
        <v>0</v>
      </c>
      <c r="AF38" s="25">
        <f>ROUND(IF(AQ38="2",BH38,0),2)</f>
        <v>0</v>
      </c>
      <c r="AG38" s="25">
        <f>ROUND(IF(AQ38="2",BI38,0),2)</f>
        <v>0</v>
      </c>
      <c r="AH38" s="25">
        <f>ROUND(IF(AQ38="0",BJ38,0),2)</f>
        <v>0</v>
      </c>
      <c r="AI38" s="10" t="s">
        <v>48</v>
      </c>
      <c r="AJ38" s="25">
        <f>IF(AN38=0,J38,0)</f>
        <v>0</v>
      </c>
      <c r="AK38" s="25">
        <f>IF(AN38=12,J38,0)</f>
        <v>0</v>
      </c>
      <c r="AL38" s="25">
        <f>IF(AN38=21,J38,0)</f>
        <v>0</v>
      </c>
      <c r="AN38" s="25">
        <v>21</v>
      </c>
      <c r="AO38" s="25">
        <f>G38*0</f>
        <v>0</v>
      </c>
      <c r="AP38" s="25">
        <f>G38*(1-0)</f>
        <v>0</v>
      </c>
      <c r="AQ38" s="28" t="s">
        <v>74</v>
      </c>
      <c r="AV38" s="25">
        <f>ROUND(AW38+AX38,2)</f>
        <v>0</v>
      </c>
      <c r="AW38" s="25">
        <f>ROUND(F38*AO38,2)</f>
        <v>0</v>
      </c>
      <c r="AX38" s="25">
        <f>ROUND(F38*AP38,2)</f>
        <v>0</v>
      </c>
      <c r="AY38" s="28" t="s">
        <v>128</v>
      </c>
      <c r="AZ38" s="28" t="s">
        <v>129</v>
      </c>
      <c r="BA38" s="10" t="s">
        <v>56</v>
      </c>
      <c r="BC38" s="25">
        <f>AW38+AX38</f>
        <v>0</v>
      </c>
      <c r="BD38" s="25">
        <f>G38/(100-BE38)*100</f>
        <v>0</v>
      </c>
      <c r="BE38" s="25">
        <v>0</v>
      </c>
      <c r="BF38" s="25">
        <f>38</f>
        <v>38</v>
      </c>
      <c r="BH38" s="25">
        <f>F38*AO38</f>
        <v>0</v>
      </c>
      <c r="BI38" s="25">
        <f>F38*AP38</f>
        <v>0</v>
      </c>
      <c r="BJ38" s="25">
        <f>F38*G38</f>
        <v>0</v>
      </c>
      <c r="BK38" s="28" t="s">
        <v>57</v>
      </c>
      <c r="BL38" s="25">
        <v>56</v>
      </c>
      <c r="BW38" s="25">
        <v>21</v>
      </c>
      <c r="BX38" s="4" t="s">
        <v>137</v>
      </c>
    </row>
    <row r="39" spans="1:76" ht="14.4" x14ac:dyDescent="0.3">
      <c r="A39" s="29" t="s">
        <v>48</v>
      </c>
      <c r="B39" s="30" t="s">
        <v>138</v>
      </c>
      <c r="C39" s="109" t="s">
        <v>139</v>
      </c>
      <c r="D39" s="110"/>
      <c r="E39" s="31" t="s">
        <v>4</v>
      </c>
      <c r="F39" s="31" t="s">
        <v>4</v>
      </c>
      <c r="G39" s="32" t="s">
        <v>4</v>
      </c>
      <c r="H39" s="1">
        <f>ROUND(SUM(H40:H43),2)</f>
        <v>0</v>
      </c>
      <c r="I39" s="1">
        <f>ROUND(SUM(I40:I43),2)</f>
        <v>0</v>
      </c>
      <c r="J39" s="1">
        <f>ROUND(SUM(J40:J43),2)</f>
        <v>0</v>
      </c>
      <c r="K39" s="33" t="s">
        <v>48</v>
      </c>
      <c r="AI39" s="10" t="s">
        <v>48</v>
      </c>
      <c r="AS39" s="1">
        <f>SUM(AJ40:AJ43)</f>
        <v>0</v>
      </c>
      <c r="AT39" s="1">
        <f>SUM(AK40:AK43)</f>
        <v>0</v>
      </c>
      <c r="AU39" s="1">
        <f>SUM(AL40:AL43)</f>
        <v>0</v>
      </c>
    </row>
    <row r="40" spans="1:76" ht="14.4" x14ac:dyDescent="0.3">
      <c r="A40" s="2" t="s">
        <v>117</v>
      </c>
      <c r="B40" s="3" t="s">
        <v>140</v>
      </c>
      <c r="C40" s="89" t="s">
        <v>141</v>
      </c>
      <c r="D40" s="84"/>
      <c r="E40" s="3" t="s">
        <v>67</v>
      </c>
      <c r="F40" s="25">
        <v>548.46699999999998</v>
      </c>
      <c r="G40" s="26">
        <v>0</v>
      </c>
      <c r="H40" s="25">
        <f>ROUND(F40*AO40,2)</f>
        <v>0</v>
      </c>
      <c r="I40" s="25">
        <f>ROUND(F40*AP40,2)</f>
        <v>0</v>
      </c>
      <c r="J40" s="25">
        <f>ROUND(F40*G40,2)</f>
        <v>0</v>
      </c>
      <c r="K40" s="27" t="s">
        <v>54</v>
      </c>
      <c r="Z40" s="25">
        <f>ROUND(IF(AQ40="5",BJ40,0),2)</f>
        <v>0</v>
      </c>
      <c r="AB40" s="25">
        <f>ROUND(IF(AQ40="1",BH40,0),2)</f>
        <v>0</v>
      </c>
      <c r="AC40" s="25">
        <f>ROUND(IF(AQ40="1",BI40,0),2)</f>
        <v>0</v>
      </c>
      <c r="AD40" s="25">
        <f>ROUND(IF(AQ40="7",BH40,0),2)</f>
        <v>0</v>
      </c>
      <c r="AE40" s="25">
        <f>ROUND(IF(AQ40="7",BI40,0),2)</f>
        <v>0</v>
      </c>
      <c r="AF40" s="25">
        <f>ROUND(IF(AQ40="2",BH40,0),2)</f>
        <v>0</v>
      </c>
      <c r="AG40" s="25">
        <f>ROUND(IF(AQ40="2",BI40,0),2)</f>
        <v>0</v>
      </c>
      <c r="AH40" s="25">
        <f>ROUND(IF(AQ40="0",BJ40,0),2)</f>
        <v>0</v>
      </c>
      <c r="AI40" s="10" t="s">
        <v>48</v>
      </c>
      <c r="AJ40" s="25">
        <f>IF(AN40=0,J40,0)</f>
        <v>0</v>
      </c>
      <c r="AK40" s="25">
        <f>IF(AN40=12,J40,0)</f>
        <v>0</v>
      </c>
      <c r="AL40" s="25">
        <f>IF(AN40=21,J40,0)</f>
        <v>0</v>
      </c>
      <c r="AN40" s="25">
        <v>21</v>
      </c>
      <c r="AO40" s="25">
        <f>G40*0.598986072</f>
        <v>0</v>
      </c>
      <c r="AP40" s="25">
        <f>G40*(1-0.598986072)</f>
        <v>0</v>
      </c>
      <c r="AQ40" s="28" t="s">
        <v>49</v>
      </c>
      <c r="AV40" s="25">
        <f>ROUND(AW40+AX40,2)</f>
        <v>0</v>
      </c>
      <c r="AW40" s="25">
        <f>ROUND(F40*AO40,2)</f>
        <v>0</v>
      </c>
      <c r="AX40" s="25">
        <f>ROUND(F40*AP40,2)</f>
        <v>0</v>
      </c>
      <c r="AY40" s="28" t="s">
        <v>142</v>
      </c>
      <c r="AZ40" s="28" t="s">
        <v>129</v>
      </c>
      <c r="BA40" s="10" t="s">
        <v>56</v>
      </c>
      <c r="BC40" s="25">
        <f>AW40+AX40</f>
        <v>0</v>
      </c>
      <c r="BD40" s="25">
        <f>G40/(100-BE40)*100</f>
        <v>0</v>
      </c>
      <c r="BE40" s="25">
        <v>0</v>
      </c>
      <c r="BF40" s="25">
        <f>40</f>
        <v>40</v>
      </c>
      <c r="BH40" s="25">
        <f>F40*AO40</f>
        <v>0</v>
      </c>
      <c r="BI40" s="25">
        <f>F40*AP40</f>
        <v>0</v>
      </c>
      <c r="BJ40" s="25">
        <f>F40*G40</f>
        <v>0</v>
      </c>
      <c r="BK40" s="28" t="s">
        <v>57</v>
      </c>
      <c r="BL40" s="25">
        <v>57</v>
      </c>
      <c r="BW40" s="25">
        <v>21</v>
      </c>
      <c r="BX40" s="4" t="s">
        <v>141</v>
      </c>
    </row>
    <row r="41" spans="1:76" ht="14.4" x14ac:dyDescent="0.3">
      <c r="A41" s="2" t="s">
        <v>143</v>
      </c>
      <c r="B41" s="3" t="s">
        <v>144</v>
      </c>
      <c r="C41" s="89" t="s">
        <v>145</v>
      </c>
      <c r="D41" s="84"/>
      <c r="E41" s="3" t="s">
        <v>67</v>
      </c>
      <c r="F41" s="25">
        <v>548.46699999999998</v>
      </c>
      <c r="G41" s="26">
        <v>0</v>
      </c>
      <c r="H41" s="25">
        <f>ROUND(F41*AO41,2)</f>
        <v>0</v>
      </c>
      <c r="I41" s="25">
        <f>ROUND(F41*AP41,2)</f>
        <v>0</v>
      </c>
      <c r="J41" s="25">
        <f>ROUND(F41*G41,2)</f>
        <v>0</v>
      </c>
      <c r="K41" s="27" t="s">
        <v>54</v>
      </c>
      <c r="Z41" s="25">
        <f>ROUND(IF(AQ41="5",BJ41,0),2)</f>
        <v>0</v>
      </c>
      <c r="AB41" s="25">
        <f>ROUND(IF(AQ41="1",BH41,0),2)</f>
        <v>0</v>
      </c>
      <c r="AC41" s="25">
        <f>ROUND(IF(AQ41="1",BI41,0),2)</f>
        <v>0</v>
      </c>
      <c r="AD41" s="25">
        <f>ROUND(IF(AQ41="7",BH41,0),2)</f>
        <v>0</v>
      </c>
      <c r="AE41" s="25">
        <f>ROUND(IF(AQ41="7",BI41,0),2)</f>
        <v>0</v>
      </c>
      <c r="AF41" s="25">
        <f>ROUND(IF(AQ41="2",BH41,0),2)</f>
        <v>0</v>
      </c>
      <c r="AG41" s="25">
        <f>ROUND(IF(AQ41="2",BI41,0),2)</f>
        <v>0</v>
      </c>
      <c r="AH41" s="25">
        <f>ROUND(IF(AQ41="0",BJ41,0),2)</f>
        <v>0</v>
      </c>
      <c r="AI41" s="10" t="s">
        <v>48</v>
      </c>
      <c r="AJ41" s="25">
        <f>IF(AN41=0,J41,0)</f>
        <v>0</v>
      </c>
      <c r="AK41" s="25">
        <f>IF(AN41=12,J41,0)</f>
        <v>0</v>
      </c>
      <c r="AL41" s="25">
        <f>IF(AN41=21,J41,0)</f>
        <v>0</v>
      </c>
      <c r="AN41" s="25">
        <v>21</v>
      </c>
      <c r="AO41" s="25">
        <f>G41*0.642674407</f>
        <v>0</v>
      </c>
      <c r="AP41" s="25">
        <f>G41*(1-0.642674407)</f>
        <v>0</v>
      </c>
      <c r="AQ41" s="28" t="s">
        <v>49</v>
      </c>
      <c r="AV41" s="25">
        <f>ROUND(AW41+AX41,2)</f>
        <v>0</v>
      </c>
      <c r="AW41" s="25">
        <f>ROUND(F41*AO41,2)</f>
        <v>0</v>
      </c>
      <c r="AX41" s="25">
        <f>ROUND(F41*AP41,2)</f>
        <v>0</v>
      </c>
      <c r="AY41" s="28" t="s">
        <v>142</v>
      </c>
      <c r="AZ41" s="28" t="s">
        <v>129</v>
      </c>
      <c r="BA41" s="10" t="s">
        <v>56</v>
      </c>
      <c r="BC41" s="25">
        <f>AW41+AX41</f>
        <v>0</v>
      </c>
      <c r="BD41" s="25">
        <f>G41/(100-BE41)*100</f>
        <v>0</v>
      </c>
      <c r="BE41" s="25">
        <v>0</v>
      </c>
      <c r="BF41" s="25">
        <f>41</f>
        <v>41</v>
      </c>
      <c r="BH41" s="25">
        <f>F41*AO41</f>
        <v>0</v>
      </c>
      <c r="BI41" s="25">
        <f>F41*AP41</f>
        <v>0</v>
      </c>
      <c r="BJ41" s="25">
        <f>F41*G41</f>
        <v>0</v>
      </c>
      <c r="BK41" s="28" t="s">
        <v>57</v>
      </c>
      <c r="BL41" s="25">
        <v>57</v>
      </c>
      <c r="BW41" s="25">
        <v>21</v>
      </c>
      <c r="BX41" s="4" t="s">
        <v>145</v>
      </c>
    </row>
    <row r="42" spans="1:76" ht="14.4" x14ac:dyDescent="0.3">
      <c r="A42" s="2" t="s">
        <v>146</v>
      </c>
      <c r="B42" s="3" t="s">
        <v>147</v>
      </c>
      <c r="C42" s="89" t="s">
        <v>148</v>
      </c>
      <c r="D42" s="84"/>
      <c r="E42" s="3" t="s">
        <v>67</v>
      </c>
      <c r="F42" s="25">
        <v>548.46699999999998</v>
      </c>
      <c r="G42" s="26">
        <v>0</v>
      </c>
      <c r="H42" s="25">
        <f>ROUND(F42*AO42,2)</f>
        <v>0</v>
      </c>
      <c r="I42" s="25">
        <f>ROUND(F42*AP42,2)</f>
        <v>0</v>
      </c>
      <c r="J42" s="25">
        <f>ROUND(F42*G42,2)</f>
        <v>0</v>
      </c>
      <c r="K42" s="27" t="s">
        <v>54</v>
      </c>
      <c r="Z42" s="25">
        <f>ROUND(IF(AQ42="5",BJ42,0),2)</f>
        <v>0</v>
      </c>
      <c r="AB42" s="25">
        <f>ROUND(IF(AQ42="1",BH42,0),2)</f>
        <v>0</v>
      </c>
      <c r="AC42" s="25">
        <f>ROUND(IF(AQ42="1",BI42,0),2)</f>
        <v>0</v>
      </c>
      <c r="AD42" s="25">
        <f>ROUND(IF(AQ42="7",BH42,0),2)</f>
        <v>0</v>
      </c>
      <c r="AE42" s="25">
        <f>ROUND(IF(AQ42="7",BI42,0),2)</f>
        <v>0</v>
      </c>
      <c r="AF42" s="25">
        <f>ROUND(IF(AQ42="2",BH42,0),2)</f>
        <v>0</v>
      </c>
      <c r="AG42" s="25">
        <f>ROUND(IF(AQ42="2",BI42,0),2)</f>
        <v>0</v>
      </c>
      <c r="AH42" s="25">
        <f>ROUND(IF(AQ42="0",BJ42,0),2)</f>
        <v>0</v>
      </c>
      <c r="AI42" s="10" t="s">
        <v>48</v>
      </c>
      <c r="AJ42" s="25">
        <f>IF(AN42=0,J42,0)</f>
        <v>0</v>
      </c>
      <c r="AK42" s="25">
        <f>IF(AN42=12,J42,0)</f>
        <v>0</v>
      </c>
      <c r="AL42" s="25">
        <f>IF(AN42=21,J42,0)</f>
        <v>0</v>
      </c>
      <c r="AN42" s="25">
        <v>21</v>
      </c>
      <c r="AO42" s="25">
        <f>G42*0.600388534</f>
        <v>0</v>
      </c>
      <c r="AP42" s="25">
        <f>G42*(1-0.600388534)</f>
        <v>0</v>
      </c>
      <c r="AQ42" s="28" t="s">
        <v>49</v>
      </c>
      <c r="AV42" s="25">
        <f>ROUND(AW42+AX42,2)</f>
        <v>0</v>
      </c>
      <c r="AW42" s="25">
        <f>ROUND(F42*AO42,2)</f>
        <v>0</v>
      </c>
      <c r="AX42" s="25">
        <f>ROUND(F42*AP42,2)</f>
        <v>0</v>
      </c>
      <c r="AY42" s="28" t="s">
        <v>142</v>
      </c>
      <c r="AZ42" s="28" t="s">
        <v>129</v>
      </c>
      <c r="BA42" s="10" t="s">
        <v>56</v>
      </c>
      <c r="BC42" s="25">
        <f>AW42+AX42</f>
        <v>0</v>
      </c>
      <c r="BD42" s="25">
        <f>G42/(100-BE42)*100</f>
        <v>0</v>
      </c>
      <c r="BE42" s="25">
        <v>0</v>
      </c>
      <c r="BF42" s="25">
        <f>42</f>
        <v>42</v>
      </c>
      <c r="BH42" s="25">
        <f>F42*AO42</f>
        <v>0</v>
      </c>
      <c r="BI42" s="25">
        <f>F42*AP42</f>
        <v>0</v>
      </c>
      <c r="BJ42" s="25">
        <f>F42*G42</f>
        <v>0</v>
      </c>
      <c r="BK42" s="28" t="s">
        <v>57</v>
      </c>
      <c r="BL42" s="25">
        <v>57</v>
      </c>
      <c r="BW42" s="25">
        <v>21</v>
      </c>
      <c r="BX42" s="4" t="s">
        <v>148</v>
      </c>
    </row>
    <row r="43" spans="1:76" ht="14.4" x14ac:dyDescent="0.3">
      <c r="A43" s="2" t="s">
        <v>149</v>
      </c>
      <c r="B43" s="3" t="s">
        <v>150</v>
      </c>
      <c r="C43" s="89" t="s">
        <v>151</v>
      </c>
      <c r="D43" s="84"/>
      <c r="E43" s="3" t="s">
        <v>99</v>
      </c>
      <c r="F43" s="25">
        <v>128.00671</v>
      </c>
      <c r="G43" s="26">
        <v>0</v>
      </c>
      <c r="H43" s="25">
        <f>ROUND(F43*AO43,2)</f>
        <v>0</v>
      </c>
      <c r="I43" s="25">
        <f>ROUND(F43*AP43,2)</f>
        <v>0</v>
      </c>
      <c r="J43" s="25">
        <f>ROUND(F43*G43,2)</f>
        <v>0</v>
      </c>
      <c r="K43" s="27" t="s">
        <v>68</v>
      </c>
      <c r="Z43" s="25">
        <f>ROUND(IF(AQ43="5",BJ43,0),2)</f>
        <v>0</v>
      </c>
      <c r="AB43" s="25">
        <f>ROUND(IF(AQ43="1",BH43,0),2)</f>
        <v>0</v>
      </c>
      <c r="AC43" s="25">
        <f>ROUND(IF(AQ43="1",BI43,0),2)</f>
        <v>0</v>
      </c>
      <c r="AD43" s="25">
        <f>ROUND(IF(AQ43="7",BH43,0),2)</f>
        <v>0</v>
      </c>
      <c r="AE43" s="25">
        <f>ROUND(IF(AQ43="7",BI43,0),2)</f>
        <v>0</v>
      </c>
      <c r="AF43" s="25">
        <f>ROUND(IF(AQ43="2",BH43,0),2)</f>
        <v>0</v>
      </c>
      <c r="AG43" s="25">
        <f>ROUND(IF(AQ43="2",BI43,0),2)</f>
        <v>0</v>
      </c>
      <c r="AH43" s="25">
        <f>ROUND(IF(AQ43="0",BJ43,0),2)</f>
        <v>0</v>
      </c>
      <c r="AI43" s="10" t="s">
        <v>48</v>
      </c>
      <c r="AJ43" s="25">
        <f>IF(AN43=0,J43,0)</f>
        <v>0</v>
      </c>
      <c r="AK43" s="25">
        <f>IF(AN43=12,J43,0)</f>
        <v>0</v>
      </c>
      <c r="AL43" s="25">
        <f>IF(AN43=21,J43,0)</f>
        <v>0</v>
      </c>
      <c r="AN43" s="25">
        <v>21</v>
      </c>
      <c r="AO43" s="25">
        <f>G43*0</f>
        <v>0</v>
      </c>
      <c r="AP43" s="25">
        <f>G43*(1-0)</f>
        <v>0</v>
      </c>
      <c r="AQ43" s="28" t="s">
        <v>74</v>
      </c>
      <c r="AV43" s="25">
        <f>ROUND(AW43+AX43,2)</f>
        <v>0</v>
      </c>
      <c r="AW43" s="25">
        <f>ROUND(F43*AO43,2)</f>
        <v>0</v>
      </c>
      <c r="AX43" s="25">
        <f>ROUND(F43*AP43,2)</f>
        <v>0</v>
      </c>
      <c r="AY43" s="28" t="s">
        <v>142</v>
      </c>
      <c r="AZ43" s="28" t="s">
        <v>129</v>
      </c>
      <c r="BA43" s="10" t="s">
        <v>56</v>
      </c>
      <c r="BC43" s="25">
        <f>AW43+AX43</f>
        <v>0</v>
      </c>
      <c r="BD43" s="25">
        <f>G43/(100-BE43)*100</f>
        <v>0</v>
      </c>
      <c r="BE43" s="25">
        <v>0</v>
      </c>
      <c r="BF43" s="25">
        <f>43</f>
        <v>43</v>
      </c>
      <c r="BH43" s="25">
        <f>F43*AO43</f>
        <v>0</v>
      </c>
      <c r="BI43" s="25">
        <f>F43*AP43</f>
        <v>0</v>
      </c>
      <c r="BJ43" s="25">
        <f>F43*G43</f>
        <v>0</v>
      </c>
      <c r="BK43" s="28" t="s">
        <v>57</v>
      </c>
      <c r="BL43" s="25">
        <v>57</v>
      </c>
      <c r="BW43" s="25">
        <v>21</v>
      </c>
      <c r="BX43" s="4" t="s">
        <v>151</v>
      </c>
    </row>
    <row r="44" spans="1:76" ht="14.4" x14ac:dyDescent="0.3">
      <c r="A44" s="29" t="s">
        <v>48</v>
      </c>
      <c r="B44" s="30" t="s">
        <v>152</v>
      </c>
      <c r="C44" s="109" t="s">
        <v>153</v>
      </c>
      <c r="D44" s="110"/>
      <c r="E44" s="31" t="s">
        <v>4</v>
      </c>
      <c r="F44" s="31" t="s">
        <v>4</v>
      </c>
      <c r="G44" s="32" t="s">
        <v>4</v>
      </c>
      <c r="H44" s="1">
        <f>ROUND(SUM(H45:H49),2)</f>
        <v>0</v>
      </c>
      <c r="I44" s="1">
        <f>ROUND(SUM(I45:I49),2)</f>
        <v>0</v>
      </c>
      <c r="J44" s="1">
        <f>ROUND(SUM(J45:J49),2)</f>
        <v>0</v>
      </c>
      <c r="K44" s="33" t="s">
        <v>48</v>
      </c>
      <c r="AI44" s="10" t="s">
        <v>48</v>
      </c>
      <c r="AS44" s="1">
        <f>SUM(AJ45:AJ49)</f>
        <v>0</v>
      </c>
      <c r="AT44" s="1">
        <f>SUM(AK45:AK49)</f>
        <v>0</v>
      </c>
      <c r="AU44" s="1">
        <f>SUM(AL45:AL49)</f>
        <v>0</v>
      </c>
    </row>
    <row r="45" spans="1:76" ht="14.4" x14ac:dyDescent="0.3">
      <c r="A45" s="2" t="s">
        <v>154</v>
      </c>
      <c r="B45" s="3" t="s">
        <v>155</v>
      </c>
      <c r="C45" s="89" t="s">
        <v>156</v>
      </c>
      <c r="D45" s="84"/>
      <c r="E45" s="3" t="s">
        <v>77</v>
      </c>
      <c r="F45" s="25">
        <v>99.7</v>
      </c>
      <c r="G45" s="26">
        <v>0</v>
      </c>
      <c r="H45" s="25">
        <f>ROUND(F45*AO45,2)</f>
        <v>0</v>
      </c>
      <c r="I45" s="25">
        <f>ROUND(F45*AP45,2)</f>
        <v>0</v>
      </c>
      <c r="J45" s="25">
        <f>ROUND(F45*G45,2)</f>
        <v>0</v>
      </c>
      <c r="K45" s="27" t="s">
        <v>68</v>
      </c>
      <c r="Z45" s="25">
        <f>ROUND(IF(AQ45="5",BJ45,0),2)</f>
        <v>0</v>
      </c>
      <c r="AB45" s="25">
        <f>ROUND(IF(AQ45="1",BH45,0),2)</f>
        <v>0</v>
      </c>
      <c r="AC45" s="25">
        <f>ROUND(IF(AQ45="1",BI45,0),2)</f>
        <v>0</v>
      </c>
      <c r="AD45" s="25">
        <f>ROUND(IF(AQ45="7",BH45,0),2)</f>
        <v>0</v>
      </c>
      <c r="AE45" s="25">
        <f>ROUND(IF(AQ45="7",BI45,0),2)</f>
        <v>0</v>
      </c>
      <c r="AF45" s="25">
        <f>ROUND(IF(AQ45="2",BH45,0),2)</f>
        <v>0</v>
      </c>
      <c r="AG45" s="25">
        <f>ROUND(IF(AQ45="2",BI45,0),2)</f>
        <v>0</v>
      </c>
      <c r="AH45" s="25">
        <f>ROUND(IF(AQ45="0",BJ45,0),2)</f>
        <v>0</v>
      </c>
      <c r="AI45" s="10" t="s">
        <v>48</v>
      </c>
      <c r="AJ45" s="25">
        <f>IF(AN45=0,J45,0)</f>
        <v>0</v>
      </c>
      <c r="AK45" s="25">
        <f>IF(AN45=12,J45,0)</f>
        <v>0</v>
      </c>
      <c r="AL45" s="25">
        <f>IF(AN45=21,J45,0)</f>
        <v>0</v>
      </c>
      <c r="AN45" s="25">
        <v>21</v>
      </c>
      <c r="AO45" s="25">
        <f>G45*0.551521715</f>
        <v>0</v>
      </c>
      <c r="AP45" s="25">
        <f>G45*(1-0.551521715)</f>
        <v>0</v>
      </c>
      <c r="AQ45" s="28" t="s">
        <v>49</v>
      </c>
      <c r="AV45" s="25">
        <f>ROUND(AW45+AX45,2)</f>
        <v>0</v>
      </c>
      <c r="AW45" s="25">
        <f>ROUND(F45*AO45,2)</f>
        <v>0</v>
      </c>
      <c r="AX45" s="25">
        <f>ROUND(F45*AP45,2)</f>
        <v>0</v>
      </c>
      <c r="AY45" s="28" t="s">
        <v>157</v>
      </c>
      <c r="AZ45" s="28" t="s">
        <v>158</v>
      </c>
      <c r="BA45" s="10" t="s">
        <v>56</v>
      </c>
      <c r="BC45" s="25">
        <f>AW45+AX45</f>
        <v>0</v>
      </c>
      <c r="BD45" s="25">
        <f>G45/(100-BE45)*100</f>
        <v>0</v>
      </c>
      <c r="BE45" s="25">
        <v>0</v>
      </c>
      <c r="BF45" s="25">
        <f>45</f>
        <v>45</v>
      </c>
      <c r="BH45" s="25">
        <f>F45*AO45</f>
        <v>0</v>
      </c>
      <c r="BI45" s="25">
        <f>F45*AP45</f>
        <v>0</v>
      </c>
      <c r="BJ45" s="25">
        <f>F45*G45</f>
        <v>0</v>
      </c>
      <c r="BK45" s="28" t="s">
        <v>57</v>
      </c>
      <c r="BL45" s="25">
        <v>91</v>
      </c>
      <c r="BW45" s="25">
        <v>21</v>
      </c>
      <c r="BX45" s="4" t="s">
        <v>156</v>
      </c>
    </row>
    <row r="46" spans="1:76" ht="14.4" x14ac:dyDescent="0.3">
      <c r="A46" s="2" t="s">
        <v>159</v>
      </c>
      <c r="B46" s="3" t="s">
        <v>160</v>
      </c>
      <c r="C46" s="89" t="s">
        <v>161</v>
      </c>
      <c r="D46" s="84"/>
      <c r="E46" s="3" t="s">
        <v>73</v>
      </c>
      <c r="F46" s="25">
        <v>2.3927999999999998</v>
      </c>
      <c r="G46" s="26">
        <v>0</v>
      </c>
      <c r="H46" s="25">
        <f>ROUND(F46*AO46,2)</f>
        <v>0</v>
      </c>
      <c r="I46" s="25">
        <f>ROUND(F46*AP46,2)</f>
        <v>0</v>
      </c>
      <c r="J46" s="25">
        <f>ROUND(F46*G46,2)</f>
        <v>0</v>
      </c>
      <c r="K46" s="27" t="s">
        <v>68</v>
      </c>
      <c r="Z46" s="25">
        <f>ROUND(IF(AQ46="5",BJ46,0),2)</f>
        <v>0</v>
      </c>
      <c r="AB46" s="25">
        <f>ROUND(IF(AQ46="1",BH46,0),2)</f>
        <v>0</v>
      </c>
      <c r="AC46" s="25">
        <f>ROUND(IF(AQ46="1",BI46,0),2)</f>
        <v>0</v>
      </c>
      <c r="AD46" s="25">
        <f>ROUND(IF(AQ46="7",BH46,0),2)</f>
        <v>0</v>
      </c>
      <c r="AE46" s="25">
        <f>ROUND(IF(AQ46="7",BI46,0),2)</f>
        <v>0</v>
      </c>
      <c r="AF46" s="25">
        <f>ROUND(IF(AQ46="2",BH46,0),2)</f>
        <v>0</v>
      </c>
      <c r="AG46" s="25">
        <f>ROUND(IF(AQ46="2",BI46,0),2)</f>
        <v>0</v>
      </c>
      <c r="AH46" s="25">
        <f>ROUND(IF(AQ46="0",BJ46,0),2)</f>
        <v>0</v>
      </c>
      <c r="AI46" s="10" t="s">
        <v>48</v>
      </c>
      <c r="AJ46" s="25">
        <f>IF(AN46=0,J46,0)</f>
        <v>0</v>
      </c>
      <c r="AK46" s="25">
        <f>IF(AN46=12,J46,0)</f>
        <v>0</v>
      </c>
      <c r="AL46" s="25">
        <f>IF(AN46=21,J46,0)</f>
        <v>0</v>
      </c>
      <c r="AN46" s="25">
        <v>21</v>
      </c>
      <c r="AO46" s="25">
        <f>G46*0.772506838</f>
        <v>0</v>
      </c>
      <c r="AP46" s="25">
        <f>G46*(1-0.772506838)</f>
        <v>0</v>
      </c>
      <c r="AQ46" s="28" t="s">
        <v>49</v>
      </c>
      <c r="AV46" s="25">
        <f>ROUND(AW46+AX46,2)</f>
        <v>0</v>
      </c>
      <c r="AW46" s="25">
        <f>ROUND(F46*AO46,2)</f>
        <v>0</v>
      </c>
      <c r="AX46" s="25">
        <f>ROUND(F46*AP46,2)</f>
        <v>0</v>
      </c>
      <c r="AY46" s="28" t="s">
        <v>157</v>
      </c>
      <c r="AZ46" s="28" t="s">
        <v>158</v>
      </c>
      <c r="BA46" s="10" t="s">
        <v>56</v>
      </c>
      <c r="BC46" s="25">
        <f>AW46+AX46</f>
        <v>0</v>
      </c>
      <c r="BD46" s="25">
        <f>G46/(100-BE46)*100</f>
        <v>0</v>
      </c>
      <c r="BE46" s="25">
        <v>0</v>
      </c>
      <c r="BF46" s="25">
        <f>46</f>
        <v>46</v>
      </c>
      <c r="BH46" s="25">
        <f>F46*AO46</f>
        <v>0</v>
      </c>
      <c r="BI46" s="25">
        <f>F46*AP46</f>
        <v>0</v>
      </c>
      <c r="BJ46" s="25">
        <f>F46*G46</f>
        <v>0</v>
      </c>
      <c r="BK46" s="28" t="s">
        <v>57</v>
      </c>
      <c r="BL46" s="25">
        <v>91</v>
      </c>
      <c r="BW46" s="25">
        <v>21</v>
      </c>
      <c r="BX46" s="4" t="s">
        <v>161</v>
      </c>
    </row>
    <row r="47" spans="1:76" ht="14.4" x14ac:dyDescent="0.3">
      <c r="A47" s="2" t="s">
        <v>162</v>
      </c>
      <c r="B47" s="3" t="s">
        <v>163</v>
      </c>
      <c r="C47" s="89" t="s">
        <v>164</v>
      </c>
      <c r="D47" s="84"/>
      <c r="E47" s="3" t="s">
        <v>61</v>
      </c>
      <c r="F47" s="25">
        <v>100</v>
      </c>
      <c r="G47" s="26">
        <v>0</v>
      </c>
      <c r="H47" s="25">
        <f>ROUND(F47*AO47,2)</f>
        <v>0</v>
      </c>
      <c r="I47" s="25">
        <f>ROUND(F47*AP47,2)</f>
        <v>0</v>
      </c>
      <c r="J47" s="25">
        <f>ROUND(F47*G47,2)</f>
        <v>0</v>
      </c>
      <c r="K47" s="27" t="s">
        <v>68</v>
      </c>
      <c r="Z47" s="25">
        <f>ROUND(IF(AQ47="5",BJ47,0),2)</f>
        <v>0</v>
      </c>
      <c r="AB47" s="25">
        <f>ROUND(IF(AQ47="1",BH47,0),2)</f>
        <v>0</v>
      </c>
      <c r="AC47" s="25">
        <f>ROUND(IF(AQ47="1",BI47,0),2)</f>
        <v>0</v>
      </c>
      <c r="AD47" s="25">
        <f>ROUND(IF(AQ47="7",BH47,0),2)</f>
        <v>0</v>
      </c>
      <c r="AE47" s="25">
        <f>ROUND(IF(AQ47="7",BI47,0),2)</f>
        <v>0</v>
      </c>
      <c r="AF47" s="25">
        <f>ROUND(IF(AQ47="2",BH47,0),2)</f>
        <v>0</v>
      </c>
      <c r="AG47" s="25">
        <f>ROUND(IF(AQ47="2",BI47,0),2)</f>
        <v>0</v>
      </c>
      <c r="AH47" s="25">
        <f>ROUND(IF(AQ47="0",BJ47,0),2)</f>
        <v>0</v>
      </c>
      <c r="AI47" s="10" t="s">
        <v>48</v>
      </c>
      <c r="AJ47" s="25">
        <f>IF(AN47=0,J47,0)</f>
        <v>0</v>
      </c>
      <c r="AK47" s="25">
        <f>IF(AN47=12,J47,0)</f>
        <v>0</v>
      </c>
      <c r="AL47" s="25">
        <f>IF(AN47=21,J47,0)</f>
        <v>0</v>
      </c>
      <c r="AN47" s="25">
        <v>21</v>
      </c>
      <c r="AO47" s="25">
        <f>G47*1</f>
        <v>0</v>
      </c>
      <c r="AP47" s="25">
        <f>G47*(1-1)</f>
        <v>0</v>
      </c>
      <c r="AQ47" s="28" t="s">
        <v>49</v>
      </c>
      <c r="AV47" s="25">
        <f>ROUND(AW47+AX47,2)</f>
        <v>0</v>
      </c>
      <c r="AW47" s="25">
        <f>ROUND(F47*AO47,2)</f>
        <v>0</v>
      </c>
      <c r="AX47" s="25">
        <f>ROUND(F47*AP47,2)</f>
        <v>0</v>
      </c>
      <c r="AY47" s="28" t="s">
        <v>157</v>
      </c>
      <c r="AZ47" s="28" t="s">
        <v>158</v>
      </c>
      <c r="BA47" s="10" t="s">
        <v>56</v>
      </c>
      <c r="BC47" s="25">
        <f>AW47+AX47</f>
        <v>0</v>
      </c>
      <c r="BD47" s="25">
        <f>G47/(100-BE47)*100</f>
        <v>0</v>
      </c>
      <c r="BE47" s="25">
        <v>0</v>
      </c>
      <c r="BF47" s="25">
        <f>47</f>
        <v>47</v>
      </c>
      <c r="BH47" s="25">
        <f>F47*AO47</f>
        <v>0</v>
      </c>
      <c r="BI47" s="25">
        <f>F47*AP47</f>
        <v>0</v>
      </c>
      <c r="BJ47" s="25">
        <f>F47*G47</f>
        <v>0</v>
      </c>
      <c r="BK47" s="28" t="s">
        <v>110</v>
      </c>
      <c r="BL47" s="25">
        <v>91</v>
      </c>
      <c r="BW47" s="25">
        <v>21</v>
      </c>
      <c r="BX47" s="4" t="s">
        <v>164</v>
      </c>
    </row>
    <row r="48" spans="1:76" ht="14.4" x14ac:dyDescent="0.3">
      <c r="A48" s="2" t="s">
        <v>165</v>
      </c>
      <c r="B48" s="3" t="s">
        <v>166</v>
      </c>
      <c r="C48" s="89" t="s">
        <v>167</v>
      </c>
      <c r="D48" s="84"/>
      <c r="E48" s="3" t="s">
        <v>61</v>
      </c>
      <c r="F48" s="25">
        <v>4</v>
      </c>
      <c r="G48" s="26">
        <v>0</v>
      </c>
      <c r="H48" s="25">
        <f>ROUND(F48*AO48,2)</f>
        <v>0</v>
      </c>
      <c r="I48" s="25">
        <f>ROUND(F48*AP48,2)</f>
        <v>0</v>
      </c>
      <c r="J48" s="25">
        <f>ROUND(F48*G48,2)</f>
        <v>0</v>
      </c>
      <c r="K48" s="27" t="s">
        <v>54</v>
      </c>
      <c r="Z48" s="25">
        <f>ROUND(IF(AQ48="5",BJ48,0),2)</f>
        <v>0</v>
      </c>
      <c r="AB48" s="25">
        <f>ROUND(IF(AQ48="1",BH48,0),2)</f>
        <v>0</v>
      </c>
      <c r="AC48" s="25">
        <f>ROUND(IF(AQ48="1",BI48,0),2)</f>
        <v>0</v>
      </c>
      <c r="AD48" s="25">
        <f>ROUND(IF(AQ48="7",BH48,0),2)</f>
        <v>0</v>
      </c>
      <c r="AE48" s="25">
        <f>ROUND(IF(AQ48="7",BI48,0),2)</f>
        <v>0</v>
      </c>
      <c r="AF48" s="25">
        <f>ROUND(IF(AQ48="2",BH48,0),2)</f>
        <v>0</v>
      </c>
      <c r="AG48" s="25">
        <f>ROUND(IF(AQ48="2",BI48,0),2)</f>
        <v>0</v>
      </c>
      <c r="AH48" s="25">
        <f>ROUND(IF(AQ48="0",BJ48,0),2)</f>
        <v>0</v>
      </c>
      <c r="AI48" s="10" t="s">
        <v>48</v>
      </c>
      <c r="AJ48" s="25">
        <f>IF(AN48=0,J48,0)</f>
        <v>0</v>
      </c>
      <c r="AK48" s="25">
        <f>IF(AN48=12,J48,0)</f>
        <v>0</v>
      </c>
      <c r="AL48" s="25">
        <f>IF(AN48=21,J48,0)</f>
        <v>0</v>
      </c>
      <c r="AN48" s="25">
        <v>21</v>
      </c>
      <c r="AO48" s="25">
        <f>G48*0.190842105</f>
        <v>0</v>
      </c>
      <c r="AP48" s="25">
        <f>G48*(1-0.190842105)</f>
        <v>0</v>
      </c>
      <c r="AQ48" s="28" t="s">
        <v>49</v>
      </c>
      <c r="AV48" s="25">
        <f>ROUND(AW48+AX48,2)</f>
        <v>0</v>
      </c>
      <c r="AW48" s="25">
        <f>ROUND(F48*AO48,2)</f>
        <v>0</v>
      </c>
      <c r="AX48" s="25">
        <f>ROUND(F48*AP48,2)</f>
        <v>0</v>
      </c>
      <c r="AY48" s="28" t="s">
        <v>157</v>
      </c>
      <c r="AZ48" s="28" t="s">
        <v>158</v>
      </c>
      <c r="BA48" s="10" t="s">
        <v>56</v>
      </c>
      <c r="BC48" s="25">
        <f>AW48+AX48</f>
        <v>0</v>
      </c>
      <c r="BD48" s="25">
        <f>G48/(100-BE48)*100</f>
        <v>0</v>
      </c>
      <c r="BE48" s="25">
        <v>0</v>
      </c>
      <c r="BF48" s="25">
        <f>48</f>
        <v>48</v>
      </c>
      <c r="BH48" s="25">
        <f>F48*AO48</f>
        <v>0</v>
      </c>
      <c r="BI48" s="25">
        <f>F48*AP48</f>
        <v>0</v>
      </c>
      <c r="BJ48" s="25">
        <f>F48*G48</f>
        <v>0</v>
      </c>
      <c r="BK48" s="28" t="s">
        <v>57</v>
      </c>
      <c r="BL48" s="25">
        <v>91</v>
      </c>
      <c r="BW48" s="25">
        <v>21</v>
      </c>
      <c r="BX48" s="4" t="s">
        <v>167</v>
      </c>
    </row>
    <row r="49" spans="1:76" ht="14.4" x14ac:dyDescent="0.3">
      <c r="A49" s="2" t="s">
        <v>168</v>
      </c>
      <c r="B49" s="3" t="s">
        <v>169</v>
      </c>
      <c r="C49" s="89" t="s">
        <v>170</v>
      </c>
      <c r="D49" s="84"/>
      <c r="E49" s="3" t="s">
        <v>99</v>
      </c>
      <c r="F49" s="25">
        <v>29.285419999999998</v>
      </c>
      <c r="G49" s="26">
        <v>0</v>
      </c>
      <c r="H49" s="25">
        <f>ROUND(F49*AO49,2)</f>
        <v>0</v>
      </c>
      <c r="I49" s="25">
        <f>ROUND(F49*AP49,2)</f>
        <v>0</v>
      </c>
      <c r="J49" s="25">
        <f>ROUND(F49*G49,2)</f>
        <v>0</v>
      </c>
      <c r="K49" s="27" t="s">
        <v>68</v>
      </c>
      <c r="Z49" s="25">
        <f>ROUND(IF(AQ49="5",BJ49,0),2)</f>
        <v>0</v>
      </c>
      <c r="AB49" s="25">
        <f>ROUND(IF(AQ49="1",BH49,0),2)</f>
        <v>0</v>
      </c>
      <c r="AC49" s="25">
        <f>ROUND(IF(AQ49="1",BI49,0),2)</f>
        <v>0</v>
      </c>
      <c r="AD49" s="25">
        <f>ROUND(IF(AQ49="7",BH49,0),2)</f>
        <v>0</v>
      </c>
      <c r="AE49" s="25">
        <f>ROUND(IF(AQ49="7",BI49,0),2)</f>
        <v>0</v>
      </c>
      <c r="AF49" s="25">
        <f>ROUND(IF(AQ49="2",BH49,0),2)</f>
        <v>0</v>
      </c>
      <c r="AG49" s="25">
        <f>ROUND(IF(AQ49="2",BI49,0),2)</f>
        <v>0</v>
      </c>
      <c r="AH49" s="25">
        <f>ROUND(IF(AQ49="0",BJ49,0),2)</f>
        <v>0</v>
      </c>
      <c r="AI49" s="10" t="s">
        <v>48</v>
      </c>
      <c r="AJ49" s="25">
        <f>IF(AN49=0,J49,0)</f>
        <v>0</v>
      </c>
      <c r="AK49" s="25">
        <f>IF(AN49=12,J49,0)</f>
        <v>0</v>
      </c>
      <c r="AL49" s="25">
        <f>IF(AN49=21,J49,0)</f>
        <v>0</v>
      </c>
      <c r="AN49" s="25">
        <v>21</v>
      </c>
      <c r="AO49" s="25">
        <f>G49*0</f>
        <v>0</v>
      </c>
      <c r="AP49" s="25">
        <f>G49*(1-0)</f>
        <v>0</v>
      </c>
      <c r="AQ49" s="28" t="s">
        <v>74</v>
      </c>
      <c r="AV49" s="25">
        <f>ROUND(AW49+AX49,2)</f>
        <v>0</v>
      </c>
      <c r="AW49" s="25">
        <f>ROUND(F49*AO49,2)</f>
        <v>0</v>
      </c>
      <c r="AX49" s="25">
        <f>ROUND(F49*AP49,2)</f>
        <v>0</v>
      </c>
      <c r="AY49" s="28" t="s">
        <v>157</v>
      </c>
      <c r="AZ49" s="28" t="s">
        <v>158</v>
      </c>
      <c r="BA49" s="10" t="s">
        <v>56</v>
      </c>
      <c r="BC49" s="25">
        <f>AW49+AX49</f>
        <v>0</v>
      </c>
      <c r="BD49" s="25">
        <f>G49/(100-BE49)*100</f>
        <v>0</v>
      </c>
      <c r="BE49" s="25">
        <v>0</v>
      </c>
      <c r="BF49" s="25">
        <f>49</f>
        <v>49</v>
      </c>
      <c r="BH49" s="25">
        <f>F49*AO49</f>
        <v>0</v>
      </c>
      <c r="BI49" s="25">
        <f>F49*AP49</f>
        <v>0</v>
      </c>
      <c r="BJ49" s="25">
        <f>F49*G49</f>
        <v>0</v>
      </c>
      <c r="BK49" s="28" t="s">
        <v>57</v>
      </c>
      <c r="BL49" s="25">
        <v>91</v>
      </c>
      <c r="BW49" s="25">
        <v>21</v>
      </c>
      <c r="BX49" s="4" t="s">
        <v>170</v>
      </c>
    </row>
    <row r="50" spans="1:76" ht="14.4" x14ac:dyDescent="0.3">
      <c r="A50" s="29" t="s">
        <v>48</v>
      </c>
      <c r="B50" s="30" t="s">
        <v>171</v>
      </c>
      <c r="C50" s="109" t="s">
        <v>172</v>
      </c>
      <c r="D50" s="110"/>
      <c r="E50" s="31" t="s">
        <v>4</v>
      </c>
      <c r="F50" s="31" t="s">
        <v>4</v>
      </c>
      <c r="G50" s="32" t="s">
        <v>4</v>
      </c>
      <c r="H50" s="1">
        <f>ROUND(SUM(H51:H56),2)</f>
        <v>0</v>
      </c>
      <c r="I50" s="1">
        <f>ROUND(SUM(I51:I56),2)</f>
        <v>0</v>
      </c>
      <c r="J50" s="1">
        <f>ROUND(SUM(J51:J56),2)</f>
        <v>0</v>
      </c>
      <c r="K50" s="33" t="s">
        <v>48</v>
      </c>
      <c r="AI50" s="10" t="s">
        <v>48</v>
      </c>
      <c r="AS50" s="1">
        <f>SUM(AJ51:AJ56)</f>
        <v>0</v>
      </c>
      <c r="AT50" s="1">
        <f>SUM(AK51:AK56)</f>
        <v>0</v>
      </c>
      <c r="AU50" s="1">
        <f>SUM(AL51:AL56)</f>
        <v>0</v>
      </c>
    </row>
    <row r="51" spans="1:76" ht="14.4" x14ac:dyDescent="0.3">
      <c r="A51" s="2" t="s">
        <v>173</v>
      </c>
      <c r="B51" s="3" t="s">
        <v>174</v>
      </c>
      <c r="C51" s="89" t="s">
        <v>175</v>
      </c>
      <c r="D51" s="84"/>
      <c r="E51" s="3" t="s">
        <v>99</v>
      </c>
      <c r="F51" s="25">
        <v>206.62700000000001</v>
      </c>
      <c r="G51" s="26">
        <v>0</v>
      </c>
      <c r="H51" s="25">
        <f t="shared" ref="H51:H56" si="0">ROUND(F51*AO51,2)</f>
        <v>0</v>
      </c>
      <c r="I51" s="25">
        <f t="shared" ref="I51:I56" si="1">ROUND(F51*AP51,2)</f>
        <v>0</v>
      </c>
      <c r="J51" s="25">
        <f t="shared" ref="J51:J56" si="2">ROUND(F51*G51,2)</f>
        <v>0</v>
      </c>
      <c r="K51" s="27" t="s">
        <v>68</v>
      </c>
      <c r="Z51" s="25">
        <f t="shared" ref="Z51:Z56" si="3">ROUND(IF(AQ51="5",BJ51,0),2)</f>
        <v>0</v>
      </c>
      <c r="AB51" s="25">
        <f t="shared" ref="AB51:AB56" si="4">ROUND(IF(AQ51="1",BH51,0),2)</f>
        <v>0</v>
      </c>
      <c r="AC51" s="25">
        <f t="shared" ref="AC51:AC56" si="5">ROUND(IF(AQ51="1",BI51,0),2)</f>
        <v>0</v>
      </c>
      <c r="AD51" s="25">
        <f t="shared" ref="AD51:AD56" si="6">ROUND(IF(AQ51="7",BH51,0),2)</f>
        <v>0</v>
      </c>
      <c r="AE51" s="25">
        <f t="shared" ref="AE51:AE56" si="7">ROUND(IF(AQ51="7",BI51,0),2)</f>
        <v>0</v>
      </c>
      <c r="AF51" s="25">
        <f t="shared" ref="AF51:AF56" si="8">ROUND(IF(AQ51="2",BH51,0),2)</f>
        <v>0</v>
      </c>
      <c r="AG51" s="25">
        <f t="shared" ref="AG51:AG56" si="9">ROUND(IF(AQ51="2",BI51,0),2)</f>
        <v>0</v>
      </c>
      <c r="AH51" s="25">
        <f t="shared" ref="AH51:AH56" si="10">ROUND(IF(AQ51="0",BJ51,0),2)</f>
        <v>0</v>
      </c>
      <c r="AI51" s="10" t="s">
        <v>48</v>
      </c>
      <c r="AJ51" s="25">
        <f t="shared" ref="AJ51:AJ56" si="11">IF(AN51=0,J51,0)</f>
        <v>0</v>
      </c>
      <c r="AK51" s="25">
        <f t="shared" ref="AK51:AK56" si="12">IF(AN51=12,J51,0)</f>
        <v>0</v>
      </c>
      <c r="AL51" s="25">
        <f t="shared" ref="AL51:AL56" si="13">IF(AN51=21,J51,0)</f>
        <v>0</v>
      </c>
      <c r="AN51" s="25">
        <v>21</v>
      </c>
      <c r="AO51" s="25">
        <f>G51*0</f>
        <v>0</v>
      </c>
      <c r="AP51" s="25">
        <f>G51*(1-0)</f>
        <v>0</v>
      </c>
      <c r="AQ51" s="28" t="s">
        <v>74</v>
      </c>
      <c r="AV51" s="25">
        <f t="shared" ref="AV51:AV56" si="14">ROUND(AW51+AX51,2)</f>
        <v>0</v>
      </c>
      <c r="AW51" s="25">
        <f t="shared" ref="AW51:AW56" si="15">ROUND(F51*AO51,2)</f>
        <v>0</v>
      </c>
      <c r="AX51" s="25">
        <f t="shared" ref="AX51:AX56" si="16">ROUND(F51*AP51,2)</f>
        <v>0</v>
      </c>
      <c r="AY51" s="28" t="s">
        <v>176</v>
      </c>
      <c r="AZ51" s="28" t="s">
        <v>158</v>
      </c>
      <c r="BA51" s="10" t="s">
        <v>56</v>
      </c>
      <c r="BC51" s="25">
        <f t="shared" ref="BC51:BC56" si="17">AW51+AX51</f>
        <v>0</v>
      </c>
      <c r="BD51" s="25">
        <f t="shared" ref="BD51:BD56" si="18">G51/(100-BE51)*100</f>
        <v>0</v>
      </c>
      <c r="BE51" s="25">
        <v>0</v>
      </c>
      <c r="BF51" s="25">
        <f>51</f>
        <v>51</v>
      </c>
      <c r="BH51" s="25">
        <f t="shared" ref="BH51:BH56" si="19">F51*AO51</f>
        <v>0</v>
      </c>
      <c r="BI51" s="25">
        <f t="shared" ref="BI51:BI56" si="20">F51*AP51</f>
        <v>0</v>
      </c>
      <c r="BJ51" s="25">
        <f t="shared" ref="BJ51:BJ56" si="21">F51*G51</f>
        <v>0</v>
      </c>
      <c r="BK51" s="28" t="s">
        <v>57</v>
      </c>
      <c r="BL51" s="25"/>
      <c r="BW51" s="25">
        <v>21</v>
      </c>
      <c r="BX51" s="4" t="s">
        <v>175</v>
      </c>
    </row>
    <row r="52" spans="1:76" ht="14.4" x14ac:dyDescent="0.3">
      <c r="A52" s="2" t="s">
        <v>177</v>
      </c>
      <c r="B52" s="3" t="s">
        <v>178</v>
      </c>
      <c r="C52" s="89" t="s">
        <v>179</v>
      </c>
      <c r="D52" s="84"/>
      <c r="E52" s="3" t="s">
        <v>99</v>
      </c>
      <c r="F52" s="25">
        <v>206.62700000000001</v>
      </c>
      <c r="G52" s="26">
        <v>0</v>
      </c>
      <c r="H52" s="25">
        <f t="shared" si="0"/>
        <v>0</v>
      </c>
      <c r="I52" s="25">
        <f t="shared" si="1"/>
        <v>0</v>
      </c>
      <c r="J52" s="25">
        <f t="shared" si="2"/>
        <v>0</v>
      </c>
      <c r="K52" s="27" t="s">
        <v>68</v>
      </c>
      <c r="Z52" s="25">
        <f t="shared" si="3"/>
        <v>0</v>
      </c>
      <c r="AB52" s="25">
        <f t="shared" si="4"/>
        <v>0</v>
      </c>
      <c r="AC52" s="25">
        <f t="shared" si="5"/>
        <v>0</v>
      </c>
      <c r="AD52" s="25">
        <f t="shared" si="6"/>
        <v>0</v>
      </c>
      <c r="AE52" s="25">
        <f t="shared" si="7"/>
        <v>0</v>
      </c>
      <c r="AF52" s="25">
        <f t="shared" si="8"/>
        <v>0</v>
      </c>
      <c r="AG52" s="25">
        <f t="shared" si="9"/>
        <v>0</v>
      </c>
      <c r="AH52" s="25">
        <f t="shared" si="10"/>
        <v>0</v>
      </c>
      <c r="AI52" s="10" t="s">
        <v>48</v>
      </c>
      <c r="AJ52" s="25">
        <f t="shared" si="11"/>
        <v>0</v>
      </c>
      <c r="AK52" s="25">
        <f t="shared" si="12"/>
        <v>0</v>
      </c>
      <c r="AL52" s="25">
        <f t="shared" si="13"/>
        <v>0</v>
      </c>
      <c r="AN52" s="25">
        <v>21</v>
      </c>
      <c r="AO52" s="25">
        <f>G52*0.013389699</f>
        <v>0</v>
      </c>
      <c r="AP52" s="25">
        <f>G52*(1-0.013389699)</f>
        <v>0</v>
      </c>
      <c r="AQ52" s="28" t="s">
        <v>74</v>
      </c>
      <c r="AV52" s="25">
        <f t="shared" si="14"/>
        <v>0</v>
      </c>
      <c r="AW52" s="25">
        <f t="shared" si="15"/>
        <v>0</v>
      </c>
      <c r="AX52" s="25">
        <f t="shared" si="16"/>
        <v>0</v>
      </c>
      <c r="AY52" s="28" t="s">
        <v>176</v>
      </c>
      <c r="AZ52" s="28" t="s">
        <v>158</v>
      </c>
      <c r="BA52" s="10" t="s">
        <v>56</v>
      </c>
      <c r="BC52" s="25">
        <f t="shared" si="17"/>
        <v>0</v>
      </c>
      <c r="BD52" s="25">
        <f t="shared" si="18"/>
        <v>0</v>
      </c>
      <c r="BE52" s="25">
        <v>0</v>
      </c>
      <c r="BF52" s="25">
        <f>52</f>
        <v>52</v>
      </c>
      <c r="BH52" s="25">
        <f t="shared" si="19"/>
        <v>0</v>
      </c>
      <c r="BI52" s="25">
        <f t="shared" si="20"/>
        <v>0</v>
      </c>
      <c r="BJ52" s="25">
        <f t="shared" si="21"/>
        <v>0</v>
      </c>
      <c r="BK52" s="28" t="s">
        <v>57</v>
      </c>
      <c r="BL52" s="25"/>
      <c r="BW52" s="25">
        <v>21</v>
      </c>
      <c r="BX52" s="4" t="s">
        <v>179</v>
      </c>
    </row>
    <row r="53" spans="1:76" ht="14.4" x14ac:dyDescent="0.3">
      <c r="A53" s="2" t="s">
        <v>180</v>
      </c>
      <c r="B53" s="3" t="s">
        <v>181</v>
      </c>
      <c r="C53" s="89" t="s">
        <v>182</v>
      </c>
      <c r="D53" s="84"/>
      <c r="E53" s="3" t="s">
        <v>99</v>
      </c>
      <c r="F53" s="25">
        <v>206.62700000000001</v>
      </c>
      <c r="G53" s="26">
        <v>0</v>
      </c>
      <c r="H53" s="25">
        <f t="shared" si="0"/>
        <v>0</v>
      </c>
      <c r="I53" s="25">
        <f t="shared" si="1"/>
        <v>0</v>
      </c>
      <c r="J53" s="25">
        <f t="shared" si="2"/>
        <v>0</v>
      </c>
      <c r="K53" s="27" t="s">
        <v>68</v>
      </c>
      <c r="Z53" s="25">
        <f t="shared" si="3"/>
        <v>0</v>
      </c>
      <c r="AB53" s="25">
        <f t="shared" si="4"/>
        <v>0</v>
      </c>
      <c r="AC53" s="25">
        <f t="shared" si="5"/>
        <v>0</v>
      </c>
      <c r="AD53" s="25">
        <f t="shared" si="6"/>
        <v>0</v>
      </c>
      <c r="AE53" s="25">
        <f t="shared" si="7"/>
        <v>0</v>
      </c>
      <c r="AF53" s="25">
        <f t="shared" si="8"/>
        <v>0</v>
      </c>
      <c r="AG53" s="25">
        <f t="shared" si="9"/>
        <v>0</v>
      </c>
      <c r="AH53" s="25">
        <f t="shared" si="10"/>
        <v>0</v>
      </c>
      <c r="AI53" s="10" t="s">
        <v>48</v>
      </c>
      <c r="AJ53" s="25">
        <f t="shared" si="11"/>
        <v>0</v>
      </c>
      <c r="AK53" s="25">
        <f t="shared" si="12"/>
        <v>0</v>
      </c>
      <c r="AL53" s="25">
        <f t="shared" si="13"/>
        <v>0</v>
      </c>
      <c r="AN53" s="25">
        <v>21</v>
      </c>
      <c r="AO53" s="25">
        <f>G53*0</f>
        <v>0</v>
      </c>
      <c r="AP53" s="25">
        <f>G53*(1-0)</f>
        <v>0</v>
      </c>
      <c r="AQ53" s="28" t="s">
        <v>74</v>
      </c>
      <c r="AV53" s="25">
        <f t="shared" si="14"/>
        <v>0</v>
      </c>
      <c r="AW53" s="25">
        <f t="shared" si="15"/>
        <v>0</v>
      </c>
      <c r="AX53" s="25">
        <f t="shared" si="16"/>
        <v>0</v>
      </c>
      <c r="AY53" s="28" t="s">
        <v>176</v>
      </c>
      <c r="AZ53" s="28" t="s">
        <v>158</v>
      </c>
      <c r="BA53" s="10" t="s">
        <v>56</v>
      </c>
      <c r="BC53" s="25">
        <f t="shared" si="17"/>
        <v>0</v>
      </c>
      <c r="BD53" s="25">
        <f t="shared" si="18"/>
        <v>0</v>
      </c>
      <c r="BE53" s="25">
        <v>0</v>
      </c>
      <c r="BF53" s="25">
        <f>53</f>
        <v>53</v>
      </c>
      <c r="BH53" s="25">
        <f t="shared" si="19"/>
        <v>0</v>
      </c>
      <c r="BI53" s="25">
        <f t="shared" si="20"/>
        <v>0</v>
      </c>
      <c r="BJ53" s="25">
        <f t="shared" si="21"/>
        <v>0</v>
      </c>
      <c r="BK53" s="28" t="s">
        <v>57</v>
      </c>
      <c r="BL53" s="25"/>
      <c r="BW53" s="25">
        <v>21</v>
      </c>
      <c r="BX53" s="4" t="s">
        <v>182</v>
      </c>
    </row>
    <row r="54" spans="1:76" ht="14.4" x14ac:dyDescent="0.3">
      <c r="A54" s="2" t="s">
        <v>183</v>
      </c>
      <c r="B54" s="3" t="s">
        <v>184</v>
      </c>
      <c r="C54" s="89" t="s">
        <v>185</v>
      </c>
      <c r="D54" s="84"/>
      <c r="E54" s="3" t="s">
        <v>99</v>
      </c>
      <c r="F54" s="25">
        <v>60.112900000000003</v>
      </c>
      <c r="G54" s="26">
        <v>0</v>
      </c>
      <c r="H54" s="25">
        <f t="shared" si="0"/>
        <v>0</v>
      </c>
      <c r="I54" s="25">
        <f t="shared" si="1"/>
        <v>0</v>
      </c>
      <c r="J54" s="25">
        <f t="shared" si="2"/>
        <v>0</v>
      </c>
      <c r="K54" s="27" t="s">
        <v>68</v>
      </c>
      <c r="Z54" s="25">
        <f t="shared" si="3"/>
        <v>0</v>
      </c>
      <c r="AB54" s="25">
        <f t="shared" si="4"/>
        <v>0</v>
      </c>
      <c r="AC54" s="25">
        <f t="shared" si="5"/>
        <v>0</v>
      </c>
      <c r="AD54" s="25">
        <f t="shared" si="6"/>
        <v>0</v>
      </c>
      <c r="AE54" s="25">
        <f t="shared" si="7"/>
        <v>0</v>
      </c>
      <c r="AF54" s="25">
        <f t="shared" si="8"/>
        <v>0</v>
      </c>
      <c r="AG54" s="25">
        <f t="shared" si="9"/>
        <v>0</v>
      </c>
      <c r="AH54" s="25">
        <f t="shared" si="10"/>
        <v>0</v>
      </c>
      <c r="AI54" s="10" t="s">
        <v>48</v>
      </c>
      <c r="AJ54" s="25">
        <f t="shared" si="11"/>
        <v>0</v>
      </c>
      <c r="AK54" s="25">
        <f t="shared" si="12"/>
        <v>0</v>
      </c>
      <c r="AL54" s="25">
        <f t="shared" si="13"/>
        <v>0</v>
      </c>
      <c r="AN54" s="25">
        <v>21</v>
      </c>
      <c r="AO54" s="25">
        <f>G54*0</f>
        <v>0</v>
      </c>
      <c r="AP54" s="25">
        <f>G54*(1-0)</f>
        <v>0</v>
      </c>
      <c r="AQ54" s="28" t="s">
        <v>74</v>
      </c>
      <c r="AV54" s="25">
        <f t="shared" si="14"/>
        <v>0</v>
      </c>
      <c r="AW54" s="25">
        <f t="shared" si="15"/>
        <v>0</v>
      </c>
      <c r="AX54" s="25">
        <f t="shared" si="16"/>
        <v>0</v>
      </c>
      <c r="AY54" s="28" t="s">
        <v>176</v>
      </c>
      <c r="AZ54" s="28" t="s">
        <v>158</v>
      </c>
      <c r="BA54" s="10" t="s">
        <v>56</v>
      </c>
      <c r="BC54" s="25">
        <f t="shared" si="17"/>
        <v>0</v>
      </c>
      <c r="BD54" s="25">
        <f t="shared" si="18"/>
        <v>0</v>
      </c>
      <c r="BE54" s="25">
        <v>0</v>
      </c>
      <c r="BF54" s="25">
        <f>54</f>
        <v>54</v>
      </c>
      <c r="BH54" s="25">
        <f t="shared" si="19"/>
        <v>0</v>
      </c>
      <c r="BI54" s="25">
        <f t="shared" si="20"/>
        <v>0</v>
      </c>
      <c r="BJ54" s="25">
        <f t="shared" si="21"/>
        <v>0</v>
      </c>
      <c r="BK54" s="28" t="s">
        <v>57</v>
      </c>
      <c r="BL54" s="25"/>
      <c r="BW54" s="25">
        <v>21</v>
      </c>
      <c r="BX54" s="4" t="s">
        <v>185</v>
      </c>
    </row>
    <row r="55" spans="1:76" ht="14.4" x14ac:dyDescent="0.3">
      <c r="A55" s="2" t="s">
        <v>186</v>
      </c>
      <c r="B55" s="3" t="s">
        <v>187</v>
      </c>
      <c r="C55" s="89" t="s">
        <v>188</v>
      </c>
      <c r="D55" s="84"/>
      <c r="E55" s="3" t="s">
        <v>99</v>
      </c>
      <c r="F55" s="25">
        <v>21.916399999999999</v>
      </c>
      <c r="G55" s="26">
        <v>0</v>
      </c>
      <c r="H55" s="25">
        <f t="shared" si="0"/>
        <v>0</v>
      </c>
      <c r="I55" s="25">
        <f t="shared" si="1"/>
        <v>0</v>
      </c>
      <c r="J55" s="25">
        <f t="shared" si="2"/>
        <v>0</v>
      </c>
      <c r="K55" s="27" t="s">
        <v>68</v>
      </c>
      <c r="Z55" s="25">
        <f t="shared" si="3"/>
        <v>0</v>
      </c>
      <c r="AB55" s="25">
        <f t="shared" si="4"/>
        <v>0</v>
      </c>
      <c r="AC55" s="25">
        <f t="shared" si="5"/>
        <v>0</v>
      </c>
      <c r="AD55" s="25">
        <f t="shared" si="6"/>
        <v>0</v>
      </c>
      <c r="AE55" s="25">
        <f t="shared" si="7"/>
        <v>0</v>
      </c>
      <c r="AF55" s="25">
        <f t="shared" si="8"/>
        <v>0</v>
      </c>
      <c r="AG55" s="25">
        <f t="shared" si="9"/>
        <v>0</v>
      </c>
      <c r="AH55" s="25">
        <f t="shared" si="10"/>
        <v>0</v>
      </c>
      <c r="AI55" s="10" t="s">
        <v>48</v>
      </c>
      <c r="AJ55" s="25">
        <f t="shared" si="11"/>
        <v>0</v>
      </c>
      <c r="AK55" s="25">
        <f t="shared" si="12"/>
        <v>0</v>
      </c>
      <c r="AL55" s="25">
        <f t="shared" si="13"/>
        <v>0</v>
      </c>
      <c r="AN55" s="25">
        <v>21</v>
      </c>
      <c r="AO55" s="25">
        <f>G55*0</f>
        <v>0</v>
      </c>
      <c r="AP55" s="25">
        <f>G55*(1-0)</f>
        <v>0</v>
      </c>
      <c r="AQ55" s="28" t="s">
        <v>74</v>
      </c>
      <c r="AV55" s="25">
        <f t="shared" si="14"/>
        <v>0</v>
      </c>
      <c r="AW55" s="25">
        <f t="shared" si="15"/>
        <v>0</v>
      </c>
      <c r="AX55" s="25">
        <f t="shared" si="16"/>
        <v>0</v>
      </c>
      <c r="AY55" s="28" t="s">
        <v>176</v>
      </c>
      <c r="AZ55" s="28" t="s">
        <v>158</v>
      </c>
      <c r="BA55" s="10" t="s">
        <v>56</v>
      </c>
      <c r="BC55" s="25">
        <f t="shared" si="17"/>
        <v>0</v>
      </c>
      <c r="BD55" s="25">
        <f t="shared" si="18"/>
        <v>0</v>
      </c>
      <c r="BE55" s="25">
        <v>0</v>
      </c>
      <c r="BF55" s="25">
        <f>55</f>
        <v>55</v>
      </c>
      <c r="BH55" s="25">
        <f t="shared" si="19"/>
        <v>0</v>
      </c>
      <c r="BI55" s="25">
        <f t="shared" si="20"/>
        <v>0</v>
      </c>
      <c r="BJ55" s="25">
        <f t="shared" si="21"/>
        <v>0</v>
      </c>
      <c r="BK55" s="28" t="s">
        <v>57</v>
      </c>
      <c r="BL55" s="25"/>
      <c r="BW55" s="25">
        <v>21</v>
      </c>
      <c r="BX55" s="4" t="s">
        <v>188</v>
      </c>
    </row>
    <row r="56" spans="1:76" ht="14.4" x14ac:dyDescent="0.3">
      <c r="A56" s="2" t="s">
        <v>189</v>
      </c>
      <c r="B56" s="3" t="s">
        <v>97</v>
      </c>
      <c r="C56" s="89" t="s">
        <v>190</v>
      </c>
      <c r="D56" s="84"/>
      <c r="E56" s="3" t="s">
        <v>99</v>
      </c>
      <c r="F56" s="25">
        <v>124.5977</v>
      </c>
      <c r="G56" s="26">
        <v>0</v>
      </c>
      <c r="H56" s="25">
        <f t="shared" si="0"/>
        <v>0</v>
      </c>
      <c r="I56" s="25">
        <f t="shared" si="1"/>
        <v>0</v>
      </c>
      <c r="J56" s="25">
        <f t="shared" si="2"/>
        <v>0</v>
      </c>
      <c r="K56" s="27" t="s">
        <v>68</v>
      </c>
      <c r="Z56" s="25">
        <f t="shared" si="3"/>
        <v>0</v>
      </c>
      <c r="AB56" s="25">
        <f t="shared" si="4"/>
        <v>0</v>
      </c>
      <c r="AC56" s="25">
        <f t="shared" si="5"/>
        <v>0</v>
      </c>
      <c r="AD56" s="25">
        <f t="shared" si="6"/>
        <v>0</v>
      </c>
      <c r="AE56" s="25">
        <f t="shared" si="7"/>
        <v>0</v>
      </c>
      <c r="AF56" s="25">
        <f t="shared" si="8"/>
        <v>0</v>
      </c>
      <c r="AG56" s="25">
        <f t="shared" si="9"/>
        <v>0</v>
      </c>
      <c r="AH56" s="25">
        <f t="shared" si="10"/>
        <v>0</v>
      </c>
      <c r="AI56" s="10" t="s">
        <v>48</v>
      </c>
      <c r="AJ56" s="25">
        <f t="shared" si="11"/>
        <v>0</v>
      </c>
      <c r="AK56" s="25">
        <f t="shared" si="12"/>
        <v>0</v>
      </c>
      <c r="AL56" s="25">
        <f t="shared" si="13"/>
        <v>0</v>
      </c>
      <c r="AN56" s="25">
        <v>21</v>
      </c>
      <c r="AO56" s="25">
        <f>G56*0</f>
        <v>0</v>
      </c>
      <c r="AP56" s="25">
        <f>G56*(1-0)</f>
        <v>0</v>
      </c>
      <c r="AQ56" s="28" t="s">
        <v>74</v>
      </c>
      <c r="AV56" s="25">
        <f t="shared" si="14"/>
        <v>0</v>
      </c>
      <c r="AW56" s="25">
        <f t="shared" si="15"/>
        <v>0</v>
      </c>
      <c r="AX56" s="25">
        <f t="shared" si="16"/>
        <v>0</v>
      </c>
      <c r="AY56" s="28" t="s">
        <v>176</v>
      </c>
      <c r="AZ56" s="28" t="s">
        <v>158</v>
      </c>
      <c r="BA56" s="10" t="s">
        <v>56</v>
      </c>
      <c r="BC56" s="25">
        <f t="shared" si="17"/>
        <v>0</v>
      </c>
      <c r="BD56" s="25">
        <f t="shared" si="18"/>
        <v>0</v>
      </c>
      <c r="BE56" s="25">
        <v>0</v>
      </c>
      <c r="BF56" s="25">
        <f>56</f>
        <v>56</v>
      </c>
      <c r="BH56" s="25">
        <f t="shared" si="19"/>
        <v>0</v>
      </c>
      <c r="BI56" s="25">
        <f t="shared" si="20"/>
        <v>0</v>
      </c>
      <c r="BJ56" s="25">
        <f t="shared" si="21"/>
        <v>0</v>
      </c>
      <c r="BK56" s="28" t="s">
        <v>57</v>
      </c>
      <c r="BL56" s="25"/>
      <c r="BW56" s="25">
        <v>21</v>
      </c>
      <c r="BX56" s="4" t="s">
        <v>190</v>
      </c>
    </row>
    <row r="57" spans="1:76" ht="14.4" x14ac:dyDescent="0.3">
      <c r="A57" s="29" t="s">
        <v>48</v>
      </c>
      <c r="B57" s="30" t="s">
        <v>191</v>
      </c>
      <c r="C57" s="109" t="s">
        <v>192</v>
      </c>
      <c r="D57" s="110"/>
      <c r="E57" s="31" t="s">
        <v>4</v>
      </c>
      <c r="F57" s="31" t="s">
        <v>4</v>
      </c>
      <c r="G57" s="32" t="s">
        <v>4</v>
      </c>
      <c r="H57" s="1">
        <f>H58</f>
        <v>0</v>
      </c>
      <c r="I57" s="1">
        <f>I58</f>
        <v>0</v>
      </c>
      <c r="J57" s="1">
        <f>J58</f>
        <v>0</v>
      </c>
      <c r="K57" s="33" t="s">
        <v>48</v>
      </c>
      <c r="AI57" s="10" t="s">
        <v>48</v>
      </c>
    </row>
    <row r="58" spans="1:76" ht="14.4" x14ac:dyDescent="0.3">
      <c r="A58" s="29" t="s">
        <v>48</v>
      </c>
      <c r="B58" s="30" t="s">
        <v>193</v>
      </c>
      <c r="C58" s="109" t="s">
        <v>194</v>
      </c>
      <c r="D58" s="110"/>
      <c r="E58" s="31" t="s">
        <v>4</v>
      </c>
      <c r="F58" s="31" t="s">
        <v>4</v>
      </c>
      <c r="G58" s="32" t="s">
        <v>4</v>
      </c>
      <c r="H58" s="1">
        <f>ROUND(SUM(H59:H59),2)</f>
        <v>0</v>
      </c>
      <c r="I58" s="1">
        <f>ROUND(SUM(I59:I59),2)</f>
        <v>0</v>
      </c>
      <c r="J58" s="1">
        <f>ROUND(SUM(J59:J59),2)</f>
        <v>0</v>
      </c>
      <c r="K58" s="33" t="s">
        <v>48</v>
      </c>
      <c r="AI58" s="10" t="s">
        <v>48</v>
      </c>
      <c r="AS58" s="1">
        <f>SUM(AJ59:AJ59)</f>
        <v>0</v>
      </c>
      <c r="AT58" s="1">
        <f>SUM(AK59:AK59)</f>
        <v>0</v>
      </c>
      <c r="AU58" s="1">
        <f>SUM(AL59:AL59)</f>
        <v>0</v>
      </c>
    </row>
    <row r="59" spans="1:76" ht="14.4" x14ac:dyDescent="0.3">
      <c r="A59" s="34" t="s">
        <v>195</v>
      </c>
      <c r="B59" s="35" t="s">
        <v>196</v>
      </c>
      <c r="C59" s="111" t="s">
        <v>197</v>
      </c>
      <c r="D59" s="112"/>
      <c r="E59" s="35" t="s">
        <v>198</v>
      </c>
      <c r="F59" s="36">
        <v>1</v>
      </c>
      <c r="G59" s="37">
        <v>0</v>
      </c>
      <c r="H59" s="36">
        <f>ROUND(F59*AO59,2)</f>
        <v>0</v>
      </c>
      <c r="I59" s="36">
        <f>ROUND(F59*AP59,2)</f>
        <v>0</v>
      </c>
      <c r="J59" s="36">
        <f>ROUND(F59*G59,2)</f>
        <v>0</v>
      </c>
      <c r="K59" s="38" t="s">
        <v>48</v>
      </c>
      <c r="Z59" s="25">
        <f>ROUND(IF(AQ59="5",BJ59,0),2)</f>
        <v>0</v>
      </c>
      <c r="AB59" s="25">
        <f>ROUND(IF(AQ59="1",BH59,0),2)</f>
        <v>0</v>
      </c>
      <c r="AC59" s="25">
        <f>ROUND(IF(AQ59="1",BI59,0),2)</f>
        <v>0</v>
      </c>
      <c r="AD59" s="25">
        <f>ROUND(IF(AQ59="7",BH59,0),2)</f>
        <v>0</v>
      </c>
      <c r="AE59" s="25">
        <f>ROUND(IF(AQ59="7",BI59,0),2)</f>
        <v>0</v>
      </c>
      <c r="AF59" s="25">
        <f>ROUND(IF(AQ59="2",BH59,0),2)</f>
        <v>0</v>
      </c>
      <c r="AG59" s="25">
        <f>ROUND(IF(AQ59="2",BI59,0),2)</f>
        <v>0</v>
      </c>
      <c r="AH59" s="25">
        <f>ROUND(IF(AQ59="0",BJ59,0),2)</f>
        <v>0</v>
      </c>
      <c r="AI59" s="10" t="s">
        <v>48</v>
      </c>
      <c r="AJ59" s="25">
        <f>IF(AN59=0,J59,0)</f>
        <v>0</v>
      </c>
      <c r="AK59" s="25">
        <f>IF(AN59=12,J59,0)</f>
        <v>0</v>
      </c>
      <c r="AL59" s="25">
        <f>IF(AN59=21,J59,0)</f>
        <v>0</v>
      </c>
      <c r="AN59" s="25">
        <v>21</v>
      </c>
      <c r="AO59" s="25">
        <f>G59*0</f>
        <v>0</v>
      </c>
      <c r="AP59" s="25">
        <f>G59*(1-0)</f>
        <v>0</v>
      </c>
      <c r="AQ59" s="28" t="s">
        <v>199</v>
      </c>
      <c r="AV59" s="25">
        <f>ROUND(AW59+AX59,2)</f>
        <v>0</v>
      </c>
      <c r="AW59" s="25">
        <f>ROUND(F59*AO59,2)</f>
        <v>0</v>
      </c>
      <c r="AX59" s="25">
        <f>ROUND(F59*AP59,2)</f>
        <v>0</v>
      </c>
      <c r="AY59" s="28" t="s">
        <v>200</v>
      </c>
      <c r="AZ59" s="28" t="s">
        <v>201</v>
      </c>
      <c r="BA59" s="10" t="s">
        <v>56</v>
      </c>
      <c r="BC59" s="25">
        <f>AW59+AX59</f>
        <v>0</v>
      </c>
      <c r="BD59" s="25">
        <f>G59/(100-BE59)*100</f>
        <v>0</v>
      </c>
      <c r="BE59" s="25">
        <v>0</v>
      </c>
      <c r="BF59" s="25">
        <f>59</f>
        <v>59</v>
      </c>
      <c r="BH59" s="25">
        <f>F59*AO59</f>
        <v>0</v>
      </c>
      <c r="BI59" s="25">
        <f>F59*AP59</f>
        <v>0</v>
      </c>
      <c r="BJ59" s="25">
        <f>F59*G59</f>
        <v>0</v>
      </c>
      <c r="BK59" s="28" t="s">
        <v>57</v>
      </c>
      <c r="BL59" s="25"/>
      <c r="BM59" s="25">
        <f>F59*G59</f>
        <v>0</v>
      </c>
      <c r="BW59" s="25">
        <v>21</v>
      </c>
      <c r="BX59" s="4" t="s">
        <v>197</v>
      </c>
    </row>
    <row r="60" spans="1:76" ht="14.4" x14ac:dyDescent="0.3">
      <c r="H60" s="113" t="s">
        <v>202</v>
      </c>
      <c r="I60" s="113"/>
      <c r="J60" s="39">
        <f>ROUND(SUM(J12,J15,J20,J22,J26,J32,J34,J39,J44,J50,J58),2)</f>
        <v>0</v>
      </c>
    </row>
    <row r="61" spans="1:76" ht="14.4" x14ac:dyDescent="0.3">
      <c r="A61" s="40" t="s">
        <v>203</v>
      </c>
    </row>
    <row r="62" spans="1:76" ht="13.5" customHeight="1" x14ac:dyDescent="0.3">
      <c r="A62" s="89" t="s">
        <v>204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</row>
  </sheetData>
  <sheetProtection password="DDAD" sheet="1"/>
  <mergeCells count="78">
    <mergeCell ref="H60:I60"/>
    <mergeCell ref="A62:K62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11:D11"/>
    <mergeCell ref="H10:J10"/>
    <mergeCell ref="C12:D12"/>
    <mergeCell ref="C13:D13"/>
    <mergeCell ref="C14:D14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1"/>
  <sheetViews>
    <sheetView workbookViewId="0">
      <selection activeCell="D106" sqref="D106:E106"/>
    </sheetView>
  </sheetViews>
  <sheetFormatPr defaultColWidth="12.109375" defaultRowHeight="15" customHeight="1" x14ac:dyDescent="0.3"/>
  <cols>
    <col min="1" max="2" width="9.109375" customWidth="1"/>
    <col min="3" max="3" width="14.33203125" customWidth="1"/>
    <col min="4" max="4" width="42.88671875" customWidth="1"/>
    <col min="5" max="5" width="63.33203125" customWidth="1"/>
    <col min="6" max="6" width="24.109375" customWidth="1"/>
    <col min="7" max="7" width="15.6640625" customWidth="1"/>
    <col min="8" max="8" width="20" customWidth="1"/>
  </cols>
  <sheetData>
    <row r="1" spans="1:8" ht="54.75" customHeight="1" x14ac:dyDescent="0.3">
      <c r="A1" s="80" t="s">
        <v>205</v>
      </c>
      <c r="B1" s="80"/>
      <c r="C1" s="80"/>
      <c r="D1" s="80"/>
      <c r="E1" s="80"/>
      <c r="F1" s="80"/>
      <c r="G1" s="80"/>
      <c r="H1" s="80"/>
    </row>
    <row r="2" spans="1:8" ht="14.4" x14ac:dyDescent="0.3">
      <c r="A2" s="81" t="s">
        <v>1</v>
      </c>
      <c r="B2" s="82"/>
      <c r="C2" s="90" t="str">
        <f>'Stavební rozpočet'!C2</f>
        <v>ZŠ Severovýchod - oprava asfaltového hřiště</v>
      </c>
      <c r="D2" s="91"/>
      <c r="E2" s="88" t="s">
        <v>5</v>
      </c>
      <c r="F2" s="88" t="str">
        <f>'Stavební rozpočet'!I2</f>
        <v> </v>
      </c>
      <c r="G2" s="82"/>
      <c r="H2" s="96"/>
    </row>
    <row r="3" spans="1:8" ht="15" customHeight="1" x14ac:dyDescent="0.3">
      <c r="A3" s="83"/>
      <c r="B3" s="84"/>
      <c r="C3" s="92"/>
      <c r="D3" s="92"/>
      <c r="E3" s="84"/>
      <c r="F3" s="84"/>
      <c r="G3" s="84"/>
      <c r="H3" s="97"/>
    </row>
    <row r="4" spans="1:8" ht="14.4" x14ac:dyDescent="0.3">
      <c r="A4" s="85" t="s">
        <v>7</v>
      </c>
      <c r="B4" s="84"/>
      <c r="C4" s="89" t="str">
        <f>'Stavební rozpočet'!C4</f>
        <v xml:space="preserve"> </v>
      </c>
      <c r="D4" s="84"/>
      <c r="E4" s="89" t="s">
        <v>10</v>
      </c>
      <c r="F4" s="89" t="str">
        <f>'Stavební rozpočet'!I4</f>
        <v> </v>
      </c>
      <c r="G4" s="84"/>
      <c r="H4" s="97"/>
    </row>
    <row r="5" spans="1:8" ht="15" customHeight="1" x14ac:dyDescent="0.3">
      <c r="A5" s="83"/>
      <c r="B5" s="84"/>
      <c r="C5" s="84"/>
      <c r="D5" s="84"/>
      <c r="E5" s="84"/>
      <c r="F5" s="84"/>
      <c r="G5" s="84"/>
      <c r="H5" s="97"/>
    </row>
    <row r="6" spans="1:8" ht="14.4" x14ac:dyDescent="0.3">
      <c r="A6" s="85" t="s">
        <v>11</v>
      </c>
      <c r="B6" s="84"/>
      <c r="C6" s="89" t="str">
        <f>'Stavební rozpočet'!C6</f>
        <v>Zábřeh</v>
      </c>
      <c r="D6" s="84"/>
      <c r="E6" s="89" t="s">
        <v>14</v>
      </c>
      <c r="F6" s="89" t="str">
        <f>'Stavební rozpočet'!I6</f>
        <v> </v>
      </c>
      <c r="G6" s="84"/>
      <c r="H6" s="97"/>
    </row>
    <row r="7" spans="1:8" ht="15" customHeight="1" x14ac:dyDescent="0.3">
      <c r="A7" s="83"/>
      <c r="B7" s="84"/>
      <c r="C7" s="84"/>
      <c r="D7" s="84"/>
      <c r="E7" s="84"/>
      <c r="F7" s="84"/>
      <c r="G7" s="84"/>
      <c r="H7" s="97"/>
    </row>
    <row r="8" spans="1:8" ht="14.4" x14ac:dyDescent="0.3">
      <c r="A8" s="85" t="s">
        <v>18</v>
      </c>
      <c r="B8" s="84"/>
      <c r="C8" s="89" t="str">
        <f>'Stavební rozpočet'!I8</f>
        <v> </v>
      </c>
      <c r="D8" s="84"/>
      <c r="E8" s="89" t="s">
        <v>16</v>
      </c>
      <c r="F8" s="89" t="str">
        <f>'Stavební rozpočet'!G8</f>
        <v>03.03.2026</v>
      </c>
      <c r="G8" s="84"/>
      <c r="H8" s="97"/>
    </row>
    <row r="9" spans="1:8" ht="14.4" x14ac:dyDescent="0.3">
      <c r="A9" s="86"/>
      <c r="B9" s="87"/>
      <c r="C9" s="87"/>
      <c r="D9" s="87"/>
      <c r="E9" s="87"/>
      <c r="F9" s="87"/>
      <c r="G9" s="87"/>
      <c r="H9" s="114"/>
    </row>
    <row r="10" spans="1:8" ht="14.4" x14ac:dyDescent="0.3">
      <c r="A10" s="41" t="s">
        <v>19</v>
      </c>
      <c r="B10" s="42" t="s">
        <v>206</v>
      </c>
      <c r="C10" s="42" t="s">
        <v>20</v>
      </c>
      <c r="D10" s="115" t="s">
        <v>21</v>
      </c>
      <c r="E10" s="116"/>
      <c r="F10" s="42" t="s">
        <v>22</v>
      </c>
      <c r="G10" s="43" t="s">
        <v>23</v>
      </c>
      <c r="H10" s="44" t="s">
        <v>207</v>
      </c>
    </row>
    <row r="11" spans="1:8" ht="14.4" x14ac:dyDescent="0.3">
      <c r="A11" s="45" t="s">
        <v>48</v>
      </c>
      <c r="B11" s="20" t="s">
        <v>48</v>
      </c>
      <c r="C11" s="20" t="s">
        <v>49</v>
      </c>
      <c r="D11" s="108" t="s">
        <v>50</v>
      </c>
      <c r="E11" s="108"/>
      <c r="F11" s="20" t="s">
        <v>48</v>
      </c>
      <c r="G11" s="46" t="s">
        <v>48</v>
      </c>
      <c r="H11" s="24" t="s">
        <v>48</v>
      </c>
    </row>
    <row r="12" spans="1:8" ht="14.4" x14ac:dyDescent="0.3">
      <c r="A12" s="2" t="s">
        <v>49</v>
      </c>
      <c r="B12" s="3" t="s">
        <v>48</v>
      </c>
      <c r="C12" s="3" t="s">
        <v>51</v>
      </c>
      <c r="D12" s="84" t="s">
        <v>52</v>
      </c>
      <c r="E12" s="84"/>
      <c r="F12" s="3" t="s">
        <v>53</v>
      </c>
      <c r="G12" s="25">
        <v>1</v>
      </c>
      <c r="H12" s="47">
        <v>0</v>
      </c>
    </row>
    <row r="13" spans="1:8" ht="14.4" x14ac:dyDescent="0.3">
      <c r="A13" s="48"/>
      <c r="D13" s="49" t="s">
        <v>49</v>
      </c>
      <c r="E13" s="117" t="s">
        <v>48</v>
      </c>
      <c r="F13" s="117"/>
      <c r="G13" s="50">
        <v>1</v>
      </c>
      <c r="H13" s="51"/>
    </row>
    <row r="14" spans="1:8" ht="14.4" x14ac:dyDescent="0.3">
      <c r="A14" s="2" t="s">
        <v>58</v>
      </c>
      <c r="B14" s="3" t="s">
        <v>48</v>
      </c>
      <c r="C14" s="3" t="s">
        <v>59</v>
      </c>
      <c r="D14" s="84" t="s">
        <v>60</v>
      </c>
      <c r="E14" s="84"/>
      <c r="F14" s="3" t="s">
        <v>61</v>
      </c>
      <c r="G14" s="25">
        <v>1</v>
      </c>
      <c r="H14" s="47">
        <v>0</v>
      </c>
    </row>
    <row r="15" spans="1:8" ht="14.4" x14ac:dyDescent="0.3">
      <c r="A15" s="48"/>
      <c r="D15" s="49" t="s">
        <v>49</v>
      </c>
      <c r="E15" s="117" t="s">
        <v>48</v>
      </c>
      <c r="F15" s="117"/>
      <c r="G15" s="50">
        <v>1</v>
      </c>
      <c r="H15" s="51"/>
    </row>
    <row r="16" spans="1:8" ht="14.4" x14ac:dyDescent="0.3">
      <c r="A16" s="52" t="s">
        <v>48</v>
      </c>
      <c r="B16" s="30" t="s">
        <v>48</v>
      </c>
      <c r="C16" s="30" t="s">
        <v>62</v>
      </c>
      <c r="D16" s="110" t="s">
        <v>63</v>
      </c>
      <c r="E16" s="110"/>
      <c r="F16" s="30" t="s">
        <v>48</v>
      </c>
      <c r="G16" s="10" t="s">
        <v>48</v>
      </c>
      <c r="H16" s="33" t="s">
        <v>48</v>
      </c>
    </row>
    <row r="17" spans="1:8" ht="14.4" x14ac:dyDescent="0.3">
      <c r="A17" s="2" t="s">
        <v>64</v>
      </c>
      <c r="B17" s="3" t="s">
        <v>48</v>
      </c>
      <c r="C17" s="3" t="s">
        <v>65</v>
      </c>
      <c r="D17" s="84" t="s">
        <v>66</v>
      </c>
      <c r="E17" s="84"/>
      <c r="F17" s="3" t="s">
        <v>67</v>
      </c>
      <c r="G17" s="25">
        <v>546.48099999999999</v>
      </c>
      <c r="H17" s="47">
        <v>0</v>
      </c>
    </row>
    <row r="18" spans="1:8" ht="14.4" x14ac:dyDescent="0.3">
      <c r="A18" s="48"/>
      <c r="D18" s="49" t="s">
        <v>208</v>
      </c>
      <c r="E18" s="117" t="s">
        <v>48</v>
      </c>
      <c r="F18" s="117"/>
      <c r="G18" s="50">
        <v>546.48099999999999</v>
      </c>
      <c r="H18" s="51"/>
    </row>
    <row r="19" spans="1:8" ht="14.4" x14ac:dyDescent="0.3">
      <c r="A19" s="2" t="s">
        <v>70</v>
      </c>
      <c r="B19" s="3" t="s">
        <v>48</v>
      </c>
      <c r="C19" s="3" t="s">
        <v>71</v>
      </c>
      <c r="D19" s="84" t="s">
        <v>72</v>
      </c>
      <c r="E19" s="84"/>
      <c r="F19" s="3" t="s">
        <v>73</v>
      </c>
      <c r="G19" s="25">
        <v>65.577719999999999</v>
      </c>
      <c r="H19" s="47">
        <v>0</v>
      </c>
    </row>
    <row r="20" spans="1:8" ht="14.4" x14ac:dyDescent="0.3">
      <c r="A20" s="48"/>
      <c r="D20" s="49" t="s">
        <v>209</v>
      </c>
      <c r="E20" s="117" t="s">
        <v>48</v>
      </c>
      <c r="F20" s="117"/>
      <c r="G20" s="50">
        <v>65.577719999999999</v>
      </c>
      <c r="H20" s="51"/>
    </row>
    <row r="21" spans="1:8" ht="14.4" x14ac:dyDescent="0.3">
      <c r="A21" s="2" t="s">
        <v>74</v>
      </c>
      <c r="B21" s="3" t="s">
        <v>48</v>
      </c>
      <c r="C21" s="3" t="s">
        <v>75</v>
      </c>
      <c r="D21" s="84" t="s">
        <v>76</v>
      </c>
      <c r="E21" s="84"/>
      <c r="F21" s="3" t="s">
        <v>77</v>
      </c>
      <c r="G21" s="25">
        <v>99.62</v>
      </c>
      <c r="H21" s="47">
        <v>0</v>
      </c>
    </row>
    <row r="22" spans="1:8" ht="14.4" x14ac:dyDescent="0.3">
      <c r="A22" s="48"/>
      <c r="D22" s="49" t="s">
        <v>210</v>
      </c>
      <c r="E22" s="117" t="s">
        <v>48</v>
      </c>
      <c r="F22" s="117"/>
      <c r="G22" s="50">
        <v>66.599999999999994</v>
      </c>
      <c r="H22" s="51"/>
    </row>
    <row r="23" spans="1:8" ht="14.4" x14ac:dyDescent="0.3">
      <c r="A23" s="2" t="s">
        <v>48</v>
      </c>
      <c r="B23" s="3" t="s">
        <v>48</v>
      </c>
      <c r="C23" s="3" t="s">
        <v>48</v>
      </c>
      <c r="D23" s="49" t="s">
        <v>211</v>
      </c>
      <c r="E23" s="117" t="s">
        <v>48</v>
      </c>
      <c r="F23" s="117"/>
      <c r="G23" s="50">
        <v>33.020000000000003</v>
      </c>
      <c r="H23" s="27" t="s">
        <v>48</v>
      </c>
    </row>
    <row r="24" spans="1:8" ht="14.4" x14ac:dyDescent="0.3">
      <c r="A24" s="2" t="s">
        <v>78</v>
      </c>
      <c r="B24" s="3" t="s">
        <v>48</v>
      </c>
      <c r="C24" s="3" t="s">
        <v>79</v>
      </c>
      <c r="D24" s="84" t="s">
        <v>80</v>
      </c>
      <c r="E24" s="84"/>
      <c r="F24" s="3" t="s">
        <v>77</v>
      </c>
      <c r="G24" s="25">
        <v>99.62</v>
      </c>
      <c r="H24" s="47">
        <v>0</v>
      </c>
    </row>
    <row r="25" spans="1:8" ht="14.4" x14ac:dyDescent="0.3">
      <c r="A25" s="48"/>
      <c r="D25" s="49" t="s">
        <v>212</v>
      </c>
      <c r="E25" s="117" t="s">
        <v>48</v>
      </c>
      <c r="F25" s="117"/>
      <c r="G25" s="50">
        <v>99.62</v>
      </c>
      <c r="H25" s="51"/>
    </row>
    <row r="26" spans="1:8" ht="14.4" x14ac:dyDescent="0.3">
      <c r="A26" s="52" t="s">
        <v>48</v>
      </c>
      <c r="B26" s="30" t="s">
        <v>48</v>
      </c>
      <c r="C26" s="30" t="s">
        <v>81</v>
      </c>
      <c r="D26" s="110" t="s">
        <v>82</v>
      </c>
      <c r="E26" s="110"/>
      <c r="F26" s="30" t="s">
        <v>48</v>
      </c>
      <c r="G26" s="10" t="s">
        <v>48</v>
      </c>
      <c r="H26" s="33" t="s">
        <v>48</v>
      </c>
    </row>
    <row r="27" spans="1:8" ht="14.4" x14ac:dyDescent="0.3">
      <c r="A27" s="2" t="s">
        <v>83</v>
      </c>
      <c r="B27" s="3" t="s">
        <v>48</v>
      </c>
      <c r="C27" s="3" t="s">
        <v>84</v>
      </c>
      <c r="D27" s="84" t="s">
        <v>85</v>
      </c>
      <c r="E27" s="84"/>
      <c r="F27" s="3" t="s">
        <v>73</v>
      </c>
      <c r="G27" s="25">
        <v>10.19539</v>
      </c>
      <c r="H27" s="47">
        <v>0</v>
      </c>
    </row>
    <row r="28" spans="1:8" ht="14.4" x14ac:dyDescent="0.3">
      <c r="A28" s="48"/>
      <c r="D28" s="49" t="s">
        <v>213</v>
      </c>
      <c r="E28" s="117" t="s">
        <v>214</v>
      </c>
      <c r="F28" s="117"/>
      <c r="G28" s="50">
        <v>4.6619999999999999</v>
      </c>
      <c r="H28" s="51"/>
    </row>
    <row r="29" spans="1:8" ht="14.4" x14ac:dyDescent="0.3">
      <c r="A29" s="2" t="s">
        <v>48</v>
      </c>
      <c r="B29" s="3" t="s">
        <v>48</v>
      </c>
      <c r="C29" s="3" t="s">
        <v>48</v>
      </c>
      <c r="D29" s="49" t="s">
        <v>215</v>
      </c>
      <c r="E29" s="117" t="s">
        <v>48</v>
      </c>
      <c r="F29" s="117"/>
      <c r="G29" s="50">
        <v>2.3393999999999999</v>
      </c>
      <c r="H29" s="27" t="s">
        <v>48</v>
      </c>
    </row>
    <row r="30" spans="1:8" ht="14.4" x14ac:dyDescent="0.3">
      <c r="A30" s="2" t="s">
        <v>48</v>
      </c>
      <c r="B30" s="3" t="s">
        <v>48</v>
      </c>
      <c r="C30" s="3" t="s">
        <v>48</v>
      </c>
      <c r="D30" s="49" t="s">
        <v>216</v>
      </c>
      <c r="E30" s="117" t="s">
        <v>217</v>
      </c>
      <c r="F30" s="117"/>
      <c r="G30" s="50">
        <v>2.1474700000000002</v>
      </c>
      <c r="H30" s="27" t="s">
        <v>48</v>
      </c>
    </row>
    <row r="31" spans="1:8" ht="14.4" x14ac:dyDescent="0.3">
      <c r="A31" s="2" t="s">
        <v>48</v>
      </c>
      <c r="B31" s="3" t="s">
        <v>48</v>
      </c>
      <c r="C31" s="3" t="s">
        <v>48</v>
      </c>
      <c r="D31" s="49" t="s">
        <v>218</v>
      </c>
      <c r="E31" s="117" t="s">
        <v>48</v>
      </c>
      <c r="F31" s="117"/>
      <c r="G31" s="50">
        <v>1.0465199999999999</v>
      </c>
      <c r="H31" s="27" t="s">
        <v>48</v>
      </c>
    </row>
    <row r="32" spans="1:8" ht="14.4" x14ac:dyDescent="0.3">
      <c r="A32" s="52" t="s">
        <v>48</v>
      </c>
      <c r="B32" s="30" t="s">
        <v>48</v>
      </c>
      <c r="C32" s="30" t="s">
        <v>87</v>
      </c>
      <c r="D32" s="110" t="s">
        <v>88</v>
      </c>
      <c r="E32" s="110"/>
      <c r="F32" s="30" t="s">
        <v>48</v>
      </c>
      <c r="G32" s="10" t="s">
        <v>48</v>
      </c>
      <c r="H32" s="33" t="s">
        <v>48</v>
      </c>
    </row>
    <row r="33" spans="1:8" ht="14.4" x14ac:dyDescent="0.3">
      <c r="A33" s="2" t="s">
        <v>89</v>
      </c>
      <c r="B33" s="3" t="s">
        <v>48</v>
      </c>
      <c r="C33" s="3" t="s">
        <v>90</v>
      </c>
      <c r="D33" s="84" t="s">
        <v>91</v>
      </c>
      <c r="E33" s="84"/>
      <c r="F33" s="3" t="s">
        <v>73</v>
      </c>
      <c r="G33" s="25">
        <v>10.19539</v>
      </c>
      <c r="H33" s="47">
        <v>0</v>
      </c>
    </row>
    <row r="34" spans="1:8" ht="14.4" x14ac:dyDescent="0.3">
      <c r="A34" s="48"/>
      <c r="D34" s="49" t="s">
        <v>219</v>
      </c>
      <c r="E34" s="117" t="s">
        <v>48</v>
      </c>
      <c r="F34" s="117"/>
      <c r="G34" s="50">
        <v>10.19539</v>
      </c>
      <c r="H34" s="51"/>
    </row>
    <row r="35" spans="1:8" ht="14.4" x14ac:dyDescent="0.3">
      <c r="A35" s="2" t="s">
        <v>93</v>
      </c>
      <c r="B35" s="3" t="s">
        <v>48</v>
      </c>
      <c r="C35" s="3" t="s">
        <v>94</v>
      </c>
      <c r="D35" s="84" t="s">
        <v>95</v>
      </c>
      <c r="E35" s="84"/>
      <c r="F35" s="3" t="s">
        <v>73</v>
      </c>
      <c r="G35" s="25">
        <v>10.19539</v>
      </c>
      <c r="H35" s="47">
        <v>0</v>
      </c>
    </row>
    <row r="36" spans="1:8" ht="14.4" x14ac:dyDescent="0.3">
      <c r="A36" s="48"/>
      <c r="D36" s="49" t="s">
        <v>219</v>
      </c>
      <c r="E36" s="117" t="s">
        <v>48</v>
      </c>
      <c r="F36" s="117"/>
      <c r="G36" s="50">
        <v>10.19539</v>
      </c>
      <c r="H36" s="51"/>
    </row>
    <row r="37" spans="1:8" ht="14.4" x14ac:dyDescent="0.3">
      <c r="A37" s="2" t="s">
        <v>96</v>
      </c>
      <c r="B37" s="3" t="s">
        <v>48</v>
      </c>
      <c r="C37" s="3" t="s">
        <v>97</v>
      </c>
      <c r="D37" s="84" t="s">
        <v>98</v>
      </c>
      <c r="E37" s="84"/>
      <c r="F37" s="3" t="s">
        <v>99</v>
      </c>
      <c r="G37" s="25">
        <v>10.19539</v>
      </c>
      <c r="H37" s="47">
        <v>0</v>
      </c>
    </row>
    <row r="38" spans="1:8" ht="14.4" x14ac:dyDescent="0.3">
      <c r="A38" s="48"/>
      <c r="D38" s="49" t="s">
        <v>219</v>
      </c>
      <c r="E38" s="117" t="s">
        <v>48</v>
      </c>
      <c r="F38" s="117"/>
      <c r="G38" s="50">
        <v>10.19539</v>
      </c>
      <c r="H38" s="51"/>
    </row>
    <row r="39" spans="1:8" ht="14.4" x14ac:dyDescent="0.3">
      <c r="A39" s="52" t="s">
        <v>48</v>
      </c>
      <c r="B39" s="30" t="s">
        <v>48</v>
      </c>
      <c r="C39" s="30" t="s">
        <v>100</v>
      </c>
      <c r="D39" s="110" t="s">
        <v>101</v>
      </c>
      <c r="E39" s="110"/>
      <c r="F39" s="30" t="s">
        <v>48</v>
      </c>
      <c r="G39" s="10" t="s">
        <v>48</v>
      </c>
      <c r="H39" s="33" t="s">
        <v>48</v>
      </c>
    </row>
    <row r="40" spans="1:8" ht="14.4" x14ac:dyDescent="0.3">
      <c r="A40" s="2" t="s">
        <v>62</v>
      </c>
      <c r="B40" s="3" t="s">
        <v>48</v>
      </c>
      <c r="C40" s="3" t="s">
        <v>102</v>
      </c>
      <c r="D40" s="84" t="s">
        <v>103</v>
      </c>
      <c r="E40" s="84"/>
      <c r="F40" s="3" t="s">
        <v>67</v>
      </c>
      <c r="G40" s="25">
        <v>30.006</v>
      </c>
      <c r="H40" s="47">
        <v>0</v>
      </c>
    </row>
    <row r="41" spans="1:8" ht="14.4" x14ac:dyDescent="0.3">
      <c r="A41" s="48"/>
      <c r="D41" s="49" t="s">
        <v>220</v>
      </c>
      <c r="E41" s="117" t="s">
        <v>214</v>
      </c>
      <c r="F41" s="117"/>
      <c r="G41" s="50">
        <v>19.98</v>
      </c>
      <c r="H41" s="51"/>
    </row>
    <row r="42" spans="1:8" ht="14.4" x14ac:dyDescent="0.3">
      <c r="A42" s="2" t="s">
        <v>48</v>
      </c>
      <c r="B42" s="3" t="s">
        <v>48</v>
      </c>
      <c r="C42" s="3" t="s">
        <v>48</v>
      </c>
      <c r="D42" s="49" t="s">
        <v>221</v>
      </c>
      <c r="E42" s="117" t="s">
        <v>48</v>
      </c>
      <c r="F42" s="117"/>
      <c r="G42" s="50">
        <v>10.026</v>
      </c>
      <c r="H42" s="27" t="s">
        <v>48</v>
      </c>
    </row>
    <row r="43" spans="1:8" ht="14.4" x14ac:dyDescent="0.3">
      <c r="A43" s="2" t="s">
        <v>81</v>
      </c>
      <c r="B43" s="3" t="s">
        <v>48</v>
      </c>
      <c r="C43" s="3" t="s">
        <v>105</v>
      </c>
      <c r="D43" s="84" t="s">
        <v>106</v>
      </c>
      <c r="E43" s="84"/>
      <c r="F43" s="3" t="s">
        <v>67</v>
      </c>
      <c r="G43" s="25">
        <v>30.006</v>
      </c>
      <c r="H43" s="47">
        <v>0</v>
      </c>
    </row>
    <row r="44" spans="1:8" ht="14.4" x14ac:dyDescent="0.3">
      <c r="A44" s="48"/>
      <c r="D44" s="49" t="s">
        <v>222</v>
      </c>
      <c r="E44" s="117" t="s">
        <v>48</v>
      </c>
      <c r="F44" s="117"/>
      <c r="G44" s="50">
        <v>30.006</v>
      </c>
      <c r="H44" s="51"/>
    </row>
    <row r="45" spans="1:8" ht="14.4" x14ac:dyDescent="0.3">
      <c r="A45" s="2" t="s">
        <v>107</v>
      </c>
      <c r="B45" s="3" t="s">
        <v>48</v>
      </c>
      <c r="C45" s="3" t="s">
        <v>108</v>
      </c>
      <c r="D45" s="84" t="s">
        <v>109</v>
      </c>
      <c r="E45" s="84"/>
      <c r="F45" s="3" t="s">
        <v>73</v>
      </c>
      <c r="G45" s="25">
        <v>3.0906199999999999</v>
      </c>
      <c r="H45" s="47">
        <v>0</v>
      </c>
    </row>
    <row r="46" spans="1:8" ht="14.4" x14ac:dyDescent="0.3">
      <c r="A46" s="48"/>
      <c r="D46" s="49" t="s">
        <v>223</v>
      </c>
      <c r="E46" s="117" t="s">
        <v>48</v>
      </c>
      <c r="F46" s="117"/>
      <c r="G46" s="50">
        <v>3.0005999999999999</v>
      </c>
      <c r="H46" s="51"/>
    </row>
    <row r="47" spans="1:8" ht="14.4" x14ac:dyDescent="0.3">
      <c r="A47" s="2" t="s">
        <v>48</v>
      </c>
      <c r="B47" s="3" t="s">
        <v>48</v>
      </c>
      <c r="C47" s="3" t="s">
        <v>48</v>
      </c>
      <c r="D47" s="49" t="s">
        <v>224</v>
      </c>
      <c r="E47" s="117" t="s">
        <v>48</v>
      </c>
      <c r="F47" s="117"/>
      <c r="G47" s="50">
        <v>9.0020000000000003E-2</v>
      </c>
      <c r="H47" s="27" t="s">
        <v>48</v>
      </c>
    </row>
    <row r="48" spans="1:8" ht="14.4" x14ac:dyDescent="0.3">
      <c r="A48" s="2" t="s">
        <v>111</v>
      </c>
      <c r="B48" s="3" t="s">
        <v>48</v>
      </c>
      <c r="C48" s="3" t="s">
        <v>112</v>
      </c>
      <c r="D48" s="84" t="s">
        <v>113</v>
      </c>
      <c r="E48" s="84"/>
      <c r="F48" s="3" t="s">
        <v>73</v>
      </c>
      <c r="G48" s="25">
        <v>3.0906199999999999</v>
      </c>
      <c r="H48" s="47">
        <v>0</v>
      </c>
    </row>
    <row r="49" spans="1:8" ht="14.4" x14ac:dyDescent="0.3">
      <c r="A49" s="48"/>
      <c r="D49" s="49" t="s">
        <v>225</v>
      </c>
      <c r="E49" s="117" t="s">
        <v>48</v>
      </c>
      <c r="F49" s="117"/>
      <c r="G49" s="50">
        <v>3.0906199999999999</v>
      </c>
      <c r="H49" s="51"/>
    </row>
    <row r="50" spans="1:8" ht="14.4" x14ac:dyDescent="0.3">
      <c r="A50" s="2" t="s">
        <v>114</v>
      </c>
      <c r="B50" s="3" t="s">
        <v>48</v>
      </c>
      <c r="C50" s="3" t="s">
        <v>115</v>
      </c>
      <c r="D50" s="84" t="s">
        <v>116</v>
      </c>
      <c r="E50" s="84"/>
      <c r="F50" s="3" t="s">
        <v>73</v>
      </c>
      <c r="G50" s="25">
        <v>3.0906199999999999</v>
      </c>
      <c r="H50" s="47">
        <v>0</v>
      </c>
    </row>
    <row r="51" spans="1:8" ht="14.4" x14ac:dyDescent="0.3">
      <c r="A51" s="48"/>
      <c r="D51" s="49" t="s">
        <v>225</v>
      </c>
      <c r="E51" s="117" t="s">
        <v>48</v>
      </c>
      <c r="F51" s="117"/>
      <c r="G51" s="50">
        <v>3.0906199999999999</v>
      </c>
      <c r="H51" s="51"/>
    </row>
    <row r="52" spans="1:8" ht="14.4" x14ac:dyDescent="0.3">
      <c r="A52" s="52" t="s">
        <v>48</v>
      </c>
      <c r="B52" s="30" t="s">
        <v>48</v>
      </c>
      <c r="C52" s="30" t="s">
        <v>117</v>
      </c>
      <c r="D52" s="110" t="s">
        <v>118</v>
      </c>
      <c r="E52" s="110"/>
      <c r="F52" s="30" t="s">
        <v>48</v>
      </c>
      <c r="G52" s="10" t="s">
        <v>48</v>
      </c>
      <c r="H52" s="33" t="s">
        <v>48</v>
      </c>
    </row>
    <row r="53" spans="1:8" ht="14.4" x14ac:dyDescent="0.3">
      <c r="A53" s="2" t="s">
        <v>87</v>
      </c>
      <c r="B53" s="3" t="s">
        <v>48</v>
      </c>
      <c r="C53" s="3" t="s">
        <v>119</v>
      </c>
      <c r="D53" s="84" t="s">
        <v>120</v>
      </c>
      <c r="E53" s="84"/>
      <c r="F53" s="3" t="s">
        <v>67</v>
      </c>
      <c r="G53" s="25">
        <v>576.60699999999997</v>
      </c>
      <c r="H53" s="47">
        <v>0</v>
      </c>
    </row>
    <row r="54" spans="1:8" ht="14.4" x14ac:dyDescent="0.3">
      <c r="A54" s="48"/>
      <c r="D54" s="49" t="s">
        <v>226</v>
      </c>
      <c r="E54" s="117" t="s">
        <v>48</v>
      </c>
      <c r="F54" s="117"/>
      <c r="G54" s="50">
        <v>576.60699999999997</v>
      </c>
      <c r="H54" s="51"/>
    </row>
    <row r="55" spans="1:8" ht="14.4" x14ac:dyDescent="0.3">
      <c r="A55" s="52" t="s">
        <v>48</v>
      </c>
      <c r="B55" s="30" t="s">
        <v>48</v>
      </c>
      <c r="C55" s="30" t="s">
        <v>123</v>
      </c>
      <c r="D55" s="110" t="s">
        <v>124</v>
      </c>
      <c r="E55" s="110"/>
      <c r="F55" s="30" t="s">
        <v>48</v>
      </c>
      <c r="G55" s="10" t="s">
        <v>48</v>
      </c>
      <c r="H55" s="33" t="s">
        <v>48</v>
      </c>
    </row>
    <row r="56" spans="1:8" ht="14.4" x14ac:dyDescent="0.3">
      <c r="A56" s="2" t="s">
        <v>125</v>
      </c>
      <c r="B56" s="3" t="s">
        <v>48</v>
      </c>
      <c r="C56" s="3" t="s">
        <v>126</v>
      </c>
      <c r="D56" s="84" t="s">
        <v>127</v>
      </c>
      <c r="E56" s="84"/>
      <c r="F56" s="3" t="s">
        <v>67</v>
      </c>
      <c r="G56" s="25">
        <v>568.471</v>
      </c>
      <c r="H56" s="47">
        <v>0</v>
      </c>
    </row>
    <row r="57" spans="1:8" ht="14.4" x14ac:dyDescent="0.3">
      <c r="A57" s="48"/>
      <c r="D57" s="49" t="s">
        <v>227</v>
      </c>
      <c r="E57" s="117" t="s">
        <v>228</v>
      </c>
      <c r="F57" s="117"/>
      <c r="G57" s="50">
        <v>548.46699999999998</v>
      </c>
      <c r="H57" s="51"/>
    </row>
    <row r="58" spans="1:8" ht="14.4" x14ac:dyDescent="0.3">
      <c r="A58" s="2" t="s">
        <v>48</v>
      </c>
      <c r="B58" s="3" t="s">
        <v>48</v>
      </c>
      <c r="C58" s="3" t="s">
        <v>48</v>
      </c>
      <c r="D58" s="49" t="s">
        <v>229</v>
      </c>
      <c r="E58" s="117" t="s">
        <v>230</v>
      </c>
      <c r="F58" s="117"/>
      <c r="G58" s="50">
        <v>13.32</v>
      </c>
      <c r="H58" s="27" t="s">
        <v>48</v>
      </c>
    </row>
    <row r="59" spans="1:8" ht="14.4" x14ac:dyDescent="0.3">
      <c r="A59" s="2" t="s">
        <v>48</v>
      </c>
      <c r="B59" s="3" t="s">
        <v>48</v>
      </c>
      <c r="C59" s="3" t="s">
        <v>48</v>
      </c>
      <c r="D59" s="49" t="s">
        <v>231</v>
      </c>
      <c r="E59" s="117" t="s">
        <v>48</v>
      </c>
      <c r="F59" s="117"/>
      <c r="G59" s="50">
        <v>6.6840000000000002</v>
      </c>
      <c r="H59" s="27" t="s">
        <v>48</v>
      </c>
    </row>
    <row r="60" spans="1:8" ht="14.4" x14ac:dyDescent="0.3">
      <c r="A60" s="2" t="s">
        <v>100</v>
      </c>
      <c r="B60" s="3" t="s">
        <v>48</v>
      </c>
      <c r="C60" s="3" t="s">
        <v>130</v>
      </c>
      <c r="D60" s="84" t="s">
        <v>131</v>
      </c>
      <c r="E60" s="84"/>
      <c r="F60" s="3" t="s">
        <v>67</v>
      </c>
      <c r="G60" s="25">
        <v>11.829599999999999</v>
      </c>
      <c r="H60" s="47">
        <v>0</v>
      </c>
    </row>
    <row r="61" spans="1:8" ht="14.4" x14ac:dyDescent="0.3">
      <c r="A61" s="48"/>
      <c r="D61" s="49" t="s">
        <v>232</v>
      </c>
      <c r="E61" s="117" t="s">
        <v>217</v>
      </c>
      <c r="F61" s="117"/>
      <c r="G61" s="50">
        <v>7.9535999999999998</v>
      </c>
      <c r="H61" s="51"/>
    </row>
    <row r="62" spans="1:8" ht="14.4" x14ac:dyDescent="0.3">
      <c r="A62" s="2" t="s">
        <v>48</v>
      </c>
      <c r="B62" s="3" t="s">
        <v>48</v>
      </c>
      <c r="C62" s="3" t="s">
        <v>48</v>
      </c>
      <c r="D62" s="49" t="s">
        <v>233</v>
      </c>
      <c r="E62" s="117" t="s">
        <v>48</v>
      </c>
      <c r="F62" s="117"/>
      <c r="G62" s="50">
        <v>3.8759999999999999</v>
      </c>
      <c r="H62" s="27" t="s">
        <v>48</v>
      </c>
    </row>
    <row r="63" spans="1:8" ht="14.4" x14ac:dyDescent="0.3">
      <c r="A63" s="2" t="s">
        <v>132</v>
      </c>
      <c r="B63" s="3" t="s">
        <v>48</v>
      </c>
      <c r="C63" s="3" t="s">
        <v>133</v>
      </c>
      <c r="D63" s="84" t="s">
        <v>134</v>
      </c>
      <c r="E63" s="84"/>
      <c r="F63" s="3" t="s">
        <v>67</v>
      </c>
      <c r="G63" s="25">
        <v>12.0024</v>
      </c>
      <c r="H63" s="47">
        <v>0</v>
      </c>
    </row>
    <row r="64" spans="1:8" ht="14.4" x14ac:dyDescent="0.3">
      <c r="A64" s="48"/>
      <c r="D64" s="49" t="s">
        <v>234</v>
      </c>
      <c r="E64" s="117" t="s">
        <v>230</v>
      </c>
      <c r="F64" s="117"/>
      <c r="G64" s="50">
        <v>7.992</v>
      </c>
      <c r="H64" s="51"/>
    </row>
    <row r="65" spans="1:8" ht="14.4" x14ac:dyDescent="0.3">
      <c r="A65" s="2" t="s">
        <v>48</v>
      </c>
      <c r="B65" s="3" t="s">
        <v>48</v>
      </c>
      <c r="C65" s="3" t="s">
        <v>48</v>
      </c>
      <c r="D65" s="49" t="s">
        <v>235</v>
      </c>
      <c r="E65" s="117" t="s">
        <v>48</v>
      </c>
      <c r="F65" s="117"/>
      <c r="G65" s="50">
        <v>4.0103999999999997</v>
      </c>
      <c r="H65" s="27" t="s">
        <v>48</v>
      </c>
    </row>
    <row r="66" spans="1:8" ht="14.4" x14ac:dyDescent="0.3">
      <c r="A66" s="2" t="s">
        <v>135</v>
      </c>
      <c r="B66" s="3" t="s">
        <v>48</v>
      </c>
      <c r="C66" s="3" t="s">
        <v>136</v>
      </c>
      <c r="D66" s="84" t="s">
        <v>137</v>
      </c>
      <c r="E66" s="84"/>
      <c r="F66" s="3" t="s">
        <v>99</v>
      </c>
      <c r="G66" s="25">
        <v>139.19716</v>
      </c>
      <c r="H66" s="47">
        <v>0</v>
      </c>
    </row>
    <row r="67" spans="1:8" ht="14.4" x14ac:dyDescent="0.3">
      <c r="A67" s="52" t="s">
        <v>48</v>
      </c>
      <c r="B67" s="30" t="s">
        <v>48</v>
      </c>
      <c r="C67" s="30" t="s">
        <v>138</v>
      </c>
      <c r="D67" s="110" t="s">
        <v>139</v>
      </c>
      <c r="E67" s="110"/>
      <c r="F67" s="30" t="s">
        <v>48</v>
      </c>
      <c r="G67" s="10" t="s">
        <v>48</v>
      </c>
      <c r="H67" s="33" t="s">
        <v>48</v>
      </c>
    </row>
    <row r="68" spans="1:8" ht="14.4" x14ac:dyDescent="0.3">
      <c r="A68" s="2" t="s">
        <v>117</v>
      </c>
      <c r="B68" s="3" t="s">
        <v>48</v>
      </c>
      <c r="C68" s="3" t="s">
        <v>140</v>
      </c>
      <c r="D68" s="84" t="s">
        <v>141</v>
      </c>
      <c r="E68" s="84"/>
      <c r="F68" s="3" t="s">
        <v>67</v>
      </c>
      <c r="G68" s="25">
        <v>548.46699999999998</v>
      </c>
      <c r="H68" s="47">
        <v>0</v>
      </c>
    </row>
    <row r="69" spans="1:8" ht="14.4" x14ac:dyDescent="0.3">
      <c r="A69" s="48"/>
      <c r="D69" s="49" t="s">
        <v>227</v>
      </c>
      <c r="E69" s="117" t="s">
        <v>48</v>
      </c>
      <c r="F69" s="117"/>
      <c r="G69" s="50">
        <v>548.46699999999998</v>
      </c>
      <c r="H69" s="51"/>
    </row>
    <row r="70" spans="1:8" ht="14.4" x14ac:dyDescent="0.3">
      <c r="A70" s="2" t="s">
        <v>143</v>
      </c>
      <c r="B70" s="3" t="s">
        <v>48</v>
      </c>
      <c r="C70" s="3" t="s">
        <v>144</v>
      </c>
      <c r="D70" s="84" t="s">
        <v>145</v>
      </c>
      <c r="E70" s="84"/>
      <c r="F70" s="3" t="s">
        <v>67</v>
      </c>
      <c r="G70" s="25">
        <v>548.46699999999998</v>
      </c>
      <c r="H70" s="47">
        <v>0</v>
      </c>
    </row>
    <row r="71" spans="1:8" ht="14.4" x14ac:dyDescent="0.3">
      <c r="A71" s="48"/>
      <c r="D71" s="49" t="s">
        <v>227</v>
      </c>
      <c r="E71" s="117" t="s">
        <v>48</v>
      </c>
      <c r="F71" s="117"/>
      <c r="G71" s="50">
        <v>548.46699999999998</v>
      </c>
      <c r="H71" s="51"/>
    </row>
    <row r="72" spans="1:8" ht="14.4" x14ac:dyDescent="0.3">
      <c r="A72" s="2" t="s">
        <v>146</v>
      </c>
      <c r="B72" s="3" t="s">
        <v>48</v>
      </c>
      <c r="C72" s="3" t="s">
        <v>147</v>
      </c>
      <c r="D72" s="84" t="s">
        <v>148</v>
      </c>
      <c r="E72" s="84"/>
      <c r="F72" s="3" t="s">
        <v>67</v>
      </c>
      <c r="G72" s="25">
        <v>548.46699999999998</v>
      </c>
      <c r="H72" s="47">
        <v>0</v>
      </c>
    </row>
    <row r="73" spans="1:8" ht="14.4" x14ac:dyDescent="0.3">
      <c r="A73" s="48"/>
      <c r="D73" s="49" t="s">
        <v>227</v>
      </c>
      <c r="E73" s="117" t="s">
        <v>48</v>
      </c>
      <c r="F73" s="117"/>
      <c r="G73" s="50">
        <v>548.46699999999998</v>
      </c>
      <c r="H73" s="51"/>
    </row>
    <row r="74" spans="1:8" ht="14.4" x14ac:dyDescent="0.3">
      <c r="A74" s="2" t="s">
        <v>149</v>
      </c>
      <c r="B74" s="3" t="s">
        <v>48</v>
      </c>
      <c r="C74" s="3" t="s">
        <v>150</v>
      </c>
      <c r="D74" s="84" t="s">
        <v>151</v>
      </c>
      <c r="E74" s="84"/>
      <c r="F74" s="3" t="s">
        <v>99</v>
      </c>
      <c r="G74" s="25">
        <v>128.00671</v>
      </c>
      <c r="H74" s="47">
        <v>0</v>
      </c>
    </row>
    <row r="75" spans="1:8" ht="14.4" x14ac:dyDescent="0.3">
      <c r="A75" s="52" t="s">
        <v>48</v>
      </c>
      <c r="B75" s="30" t="s">
        <v>48</v>
      </c>
      <c r="C75" s="30" t="s">
        <v>152</v>
      </c>
      <c r="D75" s="110" t="s">
        <v>153</v>
      </c>
      <c r="E75" s="110"/>
      <c r="F75" s="30" t="s">
        <v>48</v>
      </c>
      <c r="G75" s="10" t="s">
        <v>48</v>
      </c>
      <c r="H75" s="33" t="s">
        <v>48</v>
      </c>
    </row>
    <row r="76" spans="1:8" ht="14.4" x14ac:dyDescent="0.3">
      <c r="A76" s="2" t="s">
        <v>154</v>
      </c>
      <c r="B76" s="3" t="s">
        <v>48</v>
      </c>
      <c r="C76" s="3" t="s">
        <v>155</v>
      </c>
      <c r="D76" s="84" t="s">
        <v>156</v>
      </c>
      <c r="E76" s="84"/>
      <c r="F76" s="3" t="s">
        <v>77</v>
      </c>
      <c r="G76" s="25">
        <v>99.7</v>
      </c>
      <c r="H76" s="47">
        <v>0</v>
      </c>
    </row>
    <row r="77" spans="1:8" ht="14.4" x14ac:dyDescent="0.3">
      <c r="A77" s="48"/>
      <c r="D77" s="49" t="s">
        <v>210</v>
      </c>
      <c r="E77" s="117" t="s">
        <v>48</v>
      </c>
      <c r="F77" s="117"/>
      <c r="G77" s="50">
        <v>66.599999999999994</v>
      </c>
      <c r="H77" s="51"/>
    </row>
    <row r="78" spans="1:8" ht="14.4" x14ac:dyDescent="0.3">
      <c r="A78" s="2" t="s">
        <v>48</v>
      </c>
      <c r="B78" s="3" t="s">
        <v>48</v>
      </c>
      <c r="C78" s="3" t="s">
        <v>48</v>
      </c>
      <c r="D78" s="49" t="s">
        <v>236</v>
      </c>
      <c r="E78" s="117" t="s">
        <v>48</v>
      </c>
      <c r="F78" s="117"/>
      <c r="G78" s="50">
        <v>33.1</v>
      </c>
      <c r="H78" s="27" t="s">
        <v>48</v>
      </c>
    </row>
    <row r="79" spans="1:8" ht="14.4" x14ac:dyDescent="0.3">
      <c r="A79" s="2" t="s">
        <v>159</v>
      </c>
      <c r="B79" s="3" t="s">
        <v>48</v>
      </c>
      <c r="C79" s="3" t="s">
        <v>160</v>
      </c>
      <c r="D79" s="84" t="s">
        <v>161</v>
      </c>
      <c r="E79" s="84"/>
      <c r="F79" s="3" t="s">
        <v>73</v>
      </c>
      <c r="G79" s="25">
        <v>2.3927999999999998</v>
      </c>
      <c r="H79" s="47">
        <v>0</v>
      </c>
    </row>
    <row r="80" spans="1:8" ht="14.4" x14ac:dyDescent="0.3">
      <c r="A80" s="48"/>
      <c r="D80" s="49" t="s">
        <v>237</v>
      </c>
      <c r="E80" s="117" t="s">
        <v>48</v>
      </c>
      <c r="F80" s="117"/>
      <c r="G80" s="50">
        <v>2.3927999999999998</v>
      </c>
      <c r="H80" s="51"/>
    </row>
    <row r="81" spans="1:8" ht="14.4" x14ac:dyDescent="0.3">
      <c r="A81" s="2" t="s">
        <v>162</v>
      </c>
      <c r="B81" s="3" t="s">
        <v>48</v>
      </c>
      <c r="C81" s="3" t="s">
        <v>163</v>
      </c>
      <c r="D81" s="84" t="s">
        <v>164</v>
      </c>
      <c r="E81" s="84"/>
      <c r="F81" s="3" t="s">
        <v>61</v>
      </c>
      <c r="G81" s="25">
        <v>100</v>
      </c>
      <c r="H81" s="47">
        <v>0</v>
      </c>
    </row>
    <row r="82" spans="1:8" ht="14.4" x14ac:dyDescent="0.3">
      <c r="A82" s="48"/>
      <c r="D82" s="49" t="s">
        <v>238</v>
      </c>
      <c r="E82" s="117" t="s">
        <v>48</v>
      </c>
      <c r="F82" s="117"/>
      <c r="G82" s="50">
        <v>100</v>
      </c>
      <c r="H82" s="51"/>
    </row>
    <row r="83" spans="1:8" ht="14.4" x14ac:dyDescent="0.3">
      <c r="A83" s="2" t="s">
        <v>165</v>
      </c>
      <c r="B83" s="3" t="s">
        <v>48</v>
      </c>
      <c r="C83" s="3" t="s">
        <v>166</v>
      </c>
      <c r="D83" s="84" t="s">
        <v>167</v>
      </c>
      <c r="E83" s="84"/>
      <c r="F83" s="3" t="s">
        <v>61</v>
      </c>
      <c r="G83" s="25">
        <v>4</v>
      </c>
      <c r="H83" s="47">
        <v>0</v>
      </c>
    </row>
    <row r="84" spans="1:8" ht="14.4" x14ac:dyDescent="0.3">
      <c r="A84" s="48"/>
      <c r="D84" s="49" t="s">
        <v>70</v>
      </c>
      <c r="E84" s="117" t="s">
        <v>48</v>
      </c>
      <c r="F84" s="117"/>
      <c r="G84" s="50">
        <v>4</v>
      </c>
      <c r="H84" s="51"/>
    </row>
    <row r="85" spans="1:8" ht="14.4" x14ac:dyDescent="0.3">
      <c r="A85" s="2" t="s">
        <v>168</v>
      </c>
      <c r="B85" s="3" t="s">
        <v>48</v>
      </c>
      <c r="C85" s="3" t="s">
        <v>169</v>
      </c>
      <c r="D85" s="84" t="s">
        <v>170</v>
      </c>
      <c r="E85" s="84"/>
      <c r="F85" s="3" t="s">
        <v>99</v>
      </c>
      <c r="G85" s="25">
        <v>29.285419999999998</v>
      </c>
      <c r="H85" s="47">
        <v>0</v>
      </c>
    </row>
    <row r="86" spans="1:8" ht="14.4" x14ac:dyDescent="0.3">
      <c r="A86" s="52" t="s">
        <v>48</v>
      </c>
      <c r="B86" s="30" t="s">
        <v>48</v>
      </c>
      <c r="C86" s="30" t="s">
        <v>171</v>
      </c>
      <c r="D86" s="110" t="s">
        <v>172</v>
      </c>
      <c r="E86" s="110"/>
      <c r="F86" s="30" t="s">
        <v>48</v>
      </c>
      <c r="G86" s="10" t="s">
        <v>48</v>
      </c>
      <c r="H86" s="33" t="s">
        <v>48</v>
      </c>
    </row>
    <row r="87" spans="1:8" ht="14.4" x14ac:dyDescent="0.3">
      <c r="A87" s="2" t="s">
        <v>173</v>
      </c>
      <c r="B87" s="3" t="s">
        <v>48</v>
      </c>
      <c r="C87" s="3" t="s">
        <v>174</v>
      </c>
      <c r="D87" s="84" t="s">
        <v>175</v>
      </c>
      <c r="E87" s="84"/>
      <c r="F87" s="3" t="s">
        <v>99</v>
      </c>
      <c r="G87" s="25">
        <v>206.62700000000001</v>
      </c>
      <c r="H87" s="47">
        <v>0</v>
      </c>
    </row>
    <row r="88" spans="1:8" ht="14.4" x14ac:dyDescent="0.3">
      <c r="A88" s="48"/>
      <c r="D88" s="49" t="s">
        <v>239</v>
      </c>
      <c r="E88" s="117" t="s">
        <v>240</v>
      </c>
      <c r="F88" s="117"/>
      <c r="G88" s="50">
        <v>60.112900000000003</v>
      </c>
      <c r="H88" s="51"/>
    </row>
    <row r="89" spans="1:8" ht="14.4" x14ac:dyDescent="0.3">
      <c r="A89" s="2" t="s">
        <v>48</v>
      </c>
      <c r="B89" s="3" t="s">
        <v>48</v>
      </c>
      <c r="C89" s="3" t="s">
        <v>48</v>
      </c>
      <c r="D89" s="49" t="s">
        <v>241</v>
      </c>
      <c r="E89" s="117" t="s">
        <v>242</v>
      </c>
      <c r="F89" s="117"/>
      <c r="G89" s="50">
        <v>21.916399999999999</v>
      </c>
      <c r="H89" s="27" t="s">
        <v>48</v>
      </c>
    </row>
    <row r="90" spans="1:8" ht="14.4" x14ac:dyDescent="0.3">
      <c r="A90" s="2" t="s">
        <v>48</v>
      </c>
      <c r="B90" s="3" t="s">
        <v>48</v>
      </c>
      <c r="C90" s="3" t="s">
        <v>48</v>
      </c>
      <c r="D90" s="49" t="s">
        <v>243</v>
      </c>
      <c r="E90" s="117" t="s">
        <v>244</v>
      </c>
      <c r="F90" s="117"/>
      <c r="G90" s="50">
        <v>124.5977</v>
      </c>
      <c r="H90" s="27" t="s">
        <v>48</v>
      </c>
    </row>
    <row r="91" spans="1:8" ht="14.4" x14ac:dyDescent="0.3">
      <c r="A91" s="2" t="s">
        <v>177</v>
      </c>
      <c r="B91" s="3" t="s">
        <v>48</v>
      </c>
      <c r="C91" s="3" t="s">
        <v>178</v>
      </c>
      <c r="D91" s="84" t="s">
        <v>179</v>
      </c>
      <c r="E91" s="84"/>
      <c r="F91" s="3" t="s">
        <v>99</v>
      </c>
      <c r="G91" s="25">
        <v>206.62700000000001</v>
      </c>
      <c r="H91" s="47">
        <v>0</v>
      </c>
    </row>
    <row r="92" spans="1:8" ht="14.4" x14ac:dyDescent="0.3">
      <c r="A92" s="48"/>
      <c r="D92" s="49" t="s">
        <v>239</v>
      </c>
      <c r="E92" s="117" t="s">
        <v>240</v>
      </c>
      <c r="F92" s="117"/>
      <c r="G92" s="50">
        <v>60.112900000000003</v>
      </c>
      <c r="H92" s="51"/>
    </row>
    <row r="93" spans="1:8" ht="14.4" x14ac:dyDescent="0.3">
      <c r="A93" s="2" t="s">
        <v>48</v>
      </c>
      <c r="B93" s="3" t="s">
        <v>48</v>
      </c>
      <c r="C93" s="3" t="s">
        <v>48</v>
      </c>
      <c r="D93" s="49" t="s">
        <v>241</v>
      </c>
      <c r="E93" s="117" t="s">
        <v>242</v>
      </c>
      <c r="F93" s="117"/>
      <c r="G93" s="50">
        <v>21.916399999999999</v>
      </c>
      <c r="H93" s="27" t="s">
        <v>48</v>
      </c>
    </row>
    <row r="94" spans="1:8" ht="14.4" x14ac:dyDescent="0.3">
      <c r="A94" s="2" t="s">
        <v>48</v>
      </c>
      <c r="B94" s="3" t="s">
        <v>48</v>
      </c>
      <c r="C94" s="3" t="s">
        <v>48</v>
      </c>
      <c r="D94" s="49" t="s">
        <v>243</v>
      </c>
      <c r="E94" s="117" t="s">
        <v>244</v>
      </c>
      <c r="F94" s="117"/>
      <c r="G94" s="50">
        <v>124.5977</v>
      </c>
      <c r="H94" s="27" t="s">
        <v>48</v>
      </c>
    </row>
    <row r="95" spans="1:8" ht="14.4" x14ac:dyDescent="0.3">
      <c r="A95" s="2" t="s">
        <v>180</v>
      </c>
      <c r="B95" s="3" t="s">
        <v>48</v>
      </c>
      <c r="C95" s="3" t="s">
        <v>181</v>
      </c>
      <c r="D95" s="84" t="s">
        <v>182</v>
      </c>
      <c r="E95" s="84"/>
      <c r="F95" s="3" t="s">
        <v>99</v>
      </c>
      <c r="G95" s="25">
        <v>206.62700000000001</v>
      </c>
      <c r="H95" s="47">
        <v>0</v>
      </c>
    </row>
    <row r="96" spans="1:8" ht="14.4" x14ac:dyDescent="0.3">
      <c r="A96" s="48"/>
      <c r="D96" s="49" t="s">
        <v>239</v>
      </c>
      <c r="E96" s="117" t="s">
        <v>240</v>
      </c>
      <c r="F96" s="117"/>
      <c r="G96" s="50">
        <v>60.112900000000003</v>
      </c>
      <c r="H96" s="51"/>
    </row>
    <row r="97" spans="1:8" ht="14.4" x14ac:dyDescent="0.3">
      <c r="A97" s="2" t="s">
        <v>48</v>
      </c>
      <c r="B97" s="3" t="s">
        <v>48</v>
      </c>
      <c r="C97" s="3" t="s">
        <v>48</v>
      </c>
      <c r="D97" s="49" t="s">
        <v>241</v>
      </c>
      <c r="E97" s="117" t="s">
        <v>242</v>
      </c>
      <c r="F97" s="117"/>
      <c r="G97" s="50">
        <v>21.916399999999999</v>
      </c>
      <c r="H97" s="27" t="s">
        <v>48</v>
      </c>
    </row>
    <row r="98" spans="1:8" ht="14.4" x14ac:dyDescent="0.3">
      <c r="A98" s="2" t="s">
        <v>48</v>
      </c>
      <c r="B98" s="3" t="s">
        <v>48</v>
      </c>
      <c r="C98" s="3" t="s">
        <v>48</v>
      </c>
      <c r="D98" s="49" t="s">
        <v>243</v>
      </c>
      <c r="E98" s="117" t="s">
        <v>244</v>
      </c>
      <c r="F98" s="117"/>
      <c r="G98" s="50">
        <v>124.5977</v>
      </c>
      <c r="H98" s="27" t="s">
        <v>48</v>
      </c>
    </row>
    <row r="99" spans="1:8" ht="14.4" x14ac:dyDescent="0.3">
      <c r="A99" s="2" t="s">
        <v>183</v>
      </c>
      <c r="B99" s="3" t="s">
        <v>48</v>
      </c>
      <c r="C99" s="3" t="s">
        <v>184</v>
      </c>
      <c r="D99" s="84" t="s">
        <v>185</v>
      </c>
      <c r="E99" s="84"/>
      <c r="F99" s="3" t="s">
        <v>99</v>
      </c>
      <c r="G99" s="25">
        <v>60.112900000000003</v>
      </c>
      <c r="H99" s="47">
        <v>0</v>
      </c>
    </row>
    <row r="100" spans="1:8" ht="14.4" x14ac:dyDescent="0.3">
      <c r="A100" s="48"/>
      <c r="D100" s="49" t="s">
        <v>239</v>
      </c>
      <c r="E100" s="117" t="s">
        <v>48</v>
      </c>
      <c r="F100" s="117"/>
      <c r="G100" s="50">
        <v>60.112900000000003</v>
      </c>
      <c r="H100" s="51"/>
    </row>
    <row r="101" spans="1:8" ht="14.4" x14ac:dyDescent="0.3">
      <c r="A101" s="2" t="s">
        <v>186</v>
      </c>
      <c r="B101" s="3" t="s">
        <v>48</v>
      </c>
      <c r="C101" s="3" t="s">
        <v>187</v>
      </c>
      <c r="D101" s="84" t="s">
        <v>188</v>
      </c>
      <c r="E101" s="84"/>
      <c r="F101" s="3" t="s">
        <v>99</v>
      </c>
      <c r="G101" s="25">
        <v>21.916399999999999</v>
      </c>
      <c r="H101" s="47">
        <v>0</v>
      </c>
    </row>
    <row r="102" spans="1:8" ht="14.4" x14ac:dyDescent="0.3">
      <c r="A102" s="48"/>
      <c r="D102" s="49" t="s">
        <v>241</v>
      </c>
      <c r="E102" s="117" t="s">
        <v>245</v>
      </c>
      <c r="F102" s="117"/>
      <c r="G102" s="50">
        <v>21.916399999999999</v>
      </c>
      <c r="H102" s="51"/>
    </row>
    <row r="103" spans="1:8" ht="14.4" x14ac:dyDescent="0.3">
      <c r="A103" s="2" t="s">
        <v>189</v>
      </c>
      <c r="B103" s="3" t="s">
        <v>48</v>
      </c>
      <c r="C103" s="3" t="s">
        <v>97</v>
      </c>
      <c r="D103" s="84" t="s">
        <v>190</v>
      </c>
      <c r="E103" s="84"/>
      <c r="F103" s="3" t="s">
        <v>99</v>
      </c>
      <c r="G103" s="25">
        <v>124.5977</v>
      </c>
      <c r="H103" s="47">
        <v>0</v>
      </c>
    </row>
    <row r="104" spans="1:8" ht="14.4" x14ac:dyDescent="0.3">
      <c r="A104" s="48"/>
      <c r="D104" s="49" t="s">
        <v>243</v>
      </c>
      <c r="E104" s="117" t="s">
        <v>48</v>
      </c>
      <c r="F104" s="117"/>
      <c r="G104" s="50">
        <v>124.5977</v>
      </c>
      <c r="H104" s="51"/>
    </row>
    <row r="105" spans="1:8" ht="14.4" x14ac:dyDescent="0.3">
      <c r="A105" s="52" t="s">
        <v>48</v>
      </c>
      <c r="B105" s="30" t="s">
        <v>48</v>
      </c>
      <c r="C105" s="30" t="s">
        <v>191</v>
      </c>
      <c r="D105" s="110" t="s">
        <v>192</v>
      </c>
      <c r="E105" s="110"/>
      <c r="F105" s="30" t="s">
        <v>48</v>
      </c>
      <c r="G105" s="10" t="s">
        <v>48</v>
      </c>
      <c r="H105" s="33" t="s">
        <v>48</v>
      </c>
    </row>
    <row r="106" spans="1:8" ht="14.4" x14ac:dyDescent="0.3">
      <c r="A106" s="52" t="s">
        <v>48</v>
      </c>
      <c r="B106" s="30" t="s">
        <v>48</v>
      </c>
      <c r="C106" s="30" t="s">
        <v>193</v>
      </c>
      <c r="D106" s="110" t="s">
        <v>194</v>
      </c>
      <c r="E106" s="110"/>
      <c r="F106" s="30" t="s">
        <v>48</v>
      </c>
      <c r="G106" s="10" t="s">
        <v>48</v>
      </c>
      <c r="H106" s="33" t="s">
        <v>48</v>
      </c>
    </row>
    <row r="107" spans="1:8" ht="14.4" x14ac:dyDescent="0.3">
      <c r="A107" s="2" t="s">
        <v>195</v>
      </c>
      <c r="B107" s="3" t="s">
        <v>48</v>
      </c>
      <c r="C107" s="3" t="s">
        <v>196</v>
      </c>
      <c r="D107" s="84" t="s">
        <v>197</v>
      </c>
      <c r="E107" s="84"/>
      <c r="F107" s="3" t="s">
        <v>198</v>
      </c>
      <c r="G107" s="25">
        <v>1</v>
      </c>
      <c r="H107" s="47">
        <v>0</v>
      </c>
    </row>
    <row r="108" spans="1:8" ht="14.4" x14ac:dyDescent="0.3">
      <c r="A108" s="53"/>
      <c r="B108" s="54"/>
      <c r="C108" s="54"/>
      <c r="D108" s="55" t="s">
        <v>49</v>
      </c>
      <c r="E108" s="118" t="s">
        <v>48</v>
      </c>
      <c r="F108" s="118"/>
      <c r="G108" s="56">
        <v>1</v>
      </c>
      <c r="H108" s="57"/>
    </row>
    <row r="110" spans="1:8" ht="14.4" x14ac:dyDescent="0.3">
      <c r="A110" s="40" t="s">
        <v>203</v>
      </c>
    </row>
    <row r="111" spans="1:8" ht="13.5" customHeight="1" x14ac:dyDescent="0.3">
      <c r="A111" s="89" t="s">
        <v>204</v>
      </c>
      <c r="B111" s="84"/>
      <c r="C111" s="84"/>
      <c r="D111" s="84"/>
      <c r="E111" s="84"/>
      <c r="F111" s="84"/>
      <c r="G111" s="84"/>
    </row>
  </sheetData>
  <sheetProtection password="DDAD" sheet="1"/>
  <mergeCells count="117">
    <mergeCell ref="A111:G111"/>
    <mergeCell ref="E104:F104"/>
    <mergeCell ref="D105:E105"/>
    <mergeCell ref="D106:E106"/>
    <mergeCell ref="D107:E107"/>
    <mergeCell ref="E108:F108"/>
    <mergeCell ref="D99:E99"/>
    <mergeCell ref="E100:F100"/>
    <mergeCell ref="D101:E101"/>
    <mergeCell ref="E102:F102"/>
    <mergeCell ref="D103:E103"/>
    <mergeCell ref="E94:F94"/>
    <mergeCell ref="D95:E95"/>
    <mergeCell ref="E96:F96"/>
    <mergeCell ref="E97:F97"/>
    <mergeCell ref="E98:F98"/>
    <mergeCell ref="E89:F89"/>
    <mergeCell ref="E90:F90"/>
    <mergeCell ref="D91:E91"/>
    <mergeCell ref="E92:F92"/>
    <mergeCell ref="E93:F93"/>
    <mergeCell ref="E84:F84"/>
    <mergeCell ref="D85:E85"/>
    <mergeCell ref="D86:E86"/>
    <mergeCell ref="D87:E87"/>
    <mergeCell ref="E88:F88"/>
    <mergeCell ref="D79:E79"/>
    <mergeCell ref="E80:F80"/>
    <mergeCell ref="D81:E81"/>
    <mergeCell ref="E82:F82"/>
    <mergeCell ref="D83:E83"/>
    <mergeCell ref="D74:E74"/>
    <mergeCell ref="D75:E75"/>
    <mergeCell ref="D76:E76"/>
    <mergeCell ref="E77:F77"/>
    <mergeCell ref="E78:F78"/>
    <mergeCell ref="E69:F69"/>
    <mergeCell ref="D70:E70"/>
    <mergeCell ref="E71:F71"/>
    <mergeCell ref="D72:E72"/>
    <mergeCell ref="E73:F73"/>
    <mergeCell ref="E64:F64"/>
    <mergeCell ref="E65:F65"/>
    <mergeCell ref="D66:E66"/>
    <mergeCell ref="D67:E67"/>
    <mergeCell ref="D68:E68"/>
    <mergeCell ref="E59:F59"/>
    <mergeCell ref="D60:E60"/>
    <mergeCell ref="E61:F61"/>
    <mergeCell ref="E62:F62"/>
    <mergeCell ref="D63:E63"/>
    <mergeCell ref="E54:F54"/>
    <mergeCell ref="D55:E55"/>
    <mergeCell ref="D56:E56"/>
    <mergeCell ref="E57:F57"/>
    <mergeCell ref="E58:F58"/>
    <mergeCell ref="E49:F49"/>
    <mergeCell ref="D50:E50"/>
    <mergeCell ref="E51:F51"/>
    <mergeCell ref="D52:E52"/>
    <mergeCell ref="D53:E53"/>
    <mergeCell ref="E44:F44"/>
    <mergeCell ref="D45:E45"/>
    <mergeCell ref="E46:F46"/>
    <mergeCell ref="E47:F47"/>
    <mergeCell ref="D48:E48"/>
    <mergeCell ref="D39:E39"/>
    <mergeCell ref="D40:E40"/>
    <mergeCell ref="E41:F41"/>
    <mergeCell ref="E42:F42"/>
    <mergeCell ref="D43:E43"/>
    <mergeCell ref="E34:F34"/>
    <mergeCell ref="D35:E35"/>
    <mergeCell ref="E36:F36"/>
    <mergeCell ref="D37:E37"/>
    <mergeCell ref="E38:F38"/>
    <mergeCell ref="E29:F29"/>
    <mergeCell ref="E30:F30"/>
    <mergeCell ref="E31:F31"/>
    <mergeCell ref="D32:E32"/>
    <mergeCell ref="D33:E33"/>
    <mergeCell ref="D24:E24"/>
    <mergeCell ref="E25:F25"/>
    <mergeCell ref="D26:E26"/>
    <mergeCell ref="D27:E27"/>
    <mergeCell ref="E28:F28"/>
    <mergeCell ref="D19:E19"/>
    <mergeCell ref="E20:F20"/>
    <mergeCell ref="D21:E21"/>
    <mergeCell ref="E22:F22"/>
    <mergeCell ref="E23:F23"/>
    <mergeCell ref="D14:E14"/>
    <mergeCell ref="E15:F15"/>
    <mergeCell ref="D16:E16"/>
    <mergeCell ref="D17:E17"/>
    <mergeCell ref="E18:F18"/>
    <mergeCell ref="F8:H9"/>
    <mergeCell ref="D10:E10"/>
    <mergeCell ref="D11:E11"/>
    <mergeCell ref="D12:E12"/>
    <mergeCell ref="E13:F13"/>
    <mergeCell ref="A1:H1"/>
    <mergeCell ref="A2:B3"/>
    <mergeCell ref="A4:B5"/>
    <mergeCell ref="A6:B7"/>
    <mergeCell ref="A8:B9"/>
    <mergeCell ref="E2:E3"/>
    <mergeCell ref="E4:E5"/>
    <mergeCell ref="E6:E7"/>
    <mergeCell ref="E8:E9"/>
    <mergeCell ref="C2:D3"/>
    <mergeCell ref="C4:D5"/>
    <mergeCell ref="C6:D7"/>
    <mergeCell ref="C8:D9"/>
    <mergeCell ref="F2:H3"/>
    <mergeCell ref="F4:H5"/>
    <mergeCell ref="F6:H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5"/>
  <sheetViews>
    <sheetView workbookViewId="0">
      <selection activeCell="A45" sqref="A45:E45"/>
    </sheetView>
  </sheetViews>
  <sheetFormatPr defaultColWidth="12.109375" defaultRowHeight="15" customHeight="1" x14ac:dyDescent="0.3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7.109375" customWidth="1"/>
    <col min="9" max="9" width="22.88671875" customWidth="1"/>
  </cols>
  <sheetData>
    <row r="1" spans="1:9" ht="54.75" customHeight="1" x14ac:dyDescent="0.3">
      <c r="A1" s="119" t="s">
        <v>192</v>
      </c>
      <c r="B1" s="80"/>
      <c r="C1" s="80"/>
      <c r="D1" s="80"/>
      <c r="E1" s="80"/>
      <c r="F1" s="80"/>
      <c r="G1" s="80"/>
      <c r="H1" s="80"/>
      <c r="I1" s="80"/>
    </row>
    <row r="2" spans="1:9" ht="14.4" x14ac:dyDescent="0.3">
      <c r="A2" s="81" t="s">
        <v>1</v>
      </c>
      <c r="B2" s="82"/>
      <c r="C2" s="90" t="str">
        <f>'Stavební rozpočet'!C2</f>
        <v>ZŠ Severovýchod - oprava asfaltového hřiště</v>
      </c>
      <c r="D2" s="91"/>
      <c r="E2" s="88" t="s">
        <v>5</v>
      </c>
      <c r="F2" s="88" t="str">
        <f>'Stavební rozpočet'!I2</f>
        <v> </v>
      </c>
      <c r="G2" s="82"/>
      <c r="H2" s="88" t="s">
        <v>247</v>
      </c>
      <c r="I2" s="96" t="s">
        <v>48</v>
      </c>
    </row>
    <row r="3" spans="1:9" ht="15" customHeight="1" x14ac:dyDescent="0.3">
      <c r="A3" s="83"/>
      <c r="B3" s="84"/>
      <c r="C3" s="92"/>
      <c r="D3" s="92"/>
      <c r="E3" s="84"/>
      <c r="F3" s="84"/>
      <c r="G3" s="84"/>
      <c r="H3" s="84"/>
      <c r="I3" s="97"/>
    </row>
    <row r="4" spans="1:9" ht="14.4" x14ac:dyDescent="0.3">
      <c r="A4" s="85" t="s">
        <v>7</v>
      </c>
      <c r="B4" s="84"/>
      <c r="C4" s="89" t="str">
        <f>'Stavební rozpočet'!C4</f>
        <v xml:space="preserve"> </v>
      </c>
      <c r="D4" s="84"/>
      <c r="E4" s="89" t="s">
        <v>10</v>
      </c>
      <c r="F4" s="89" t="str">
        <f>'Stavební rozpočet'!I4</f>
        <v> </v>
      </c>
      <c r="G4" s="84"/>
      <c r="H4" s="89" t="s">
        <v>247</v>
      </c>
      <c r="I4" s="97" t="s">
        <v>48</v>
      </c>
    </row>
    <row r="5" spans="1:9" ht="15" customHeight="1" x14ac:dyDescent="0.3">
      <c r="A5" s="83"/>
      <c r="B5" s="84"/>
      <c r="C5" s="84"/>
      <c r="D5" s="84"/>
      <c r="E5" s="84"/>
      <c r="F5" s="84"/>
      <c r="G5" s="84"/>
      <c r="H5" s="84"/>
      <c r="I5" s="97"/>
    </row>
    <row r="6" spans="1:9" ht="14.4" x14ac:dyDescent="0.3">
      <c r="A6" s="85" t="s">
        <v>11</v>
      </c>
      <c r="B6" s="84"/>
      <c r="C6" s="89" t="str">
        <f>'Stavební rozpočet'!C6</f>
        <v>Zábřeh</v>
      </c>
      <c r="D6" s="84"/>
      <c r="E6" s="89" t="s">
        <v>14</v>
      </c>
      <c r="F6" s="89" t="str">
        <f>'Stavební rozpočet'!I6</f>
        <v> </v>
      </c>
      <c r="G6" s="84"/>
      <c r="H6" s="89" t="s">
        <v>247</v>
      </c>
      <c r="I6" s="97" t="s">
        <v>48</v>
      </c>
    </row>
    <row r="7" spans="1:9" ht="15" customHeight="1" x14ac:dyDescent="0.3">
      <c r="A7" s="83"/>
      <c r="B7" s="84"/>
      <c r="C7" s="84"/>
      <c r="D7" s="84"/>
      <c r="E7" s="84"/>
      <c r="F7" s="84"/>
      <c r="G7" s="84"/>
      <c r="H7" s="84"/>
      <c r="I7" s="97"/>
    </row>
    <row r="8" spans="1:9" ht="14.4" x14ac:dyDescent="0.3">
      <c r="A8" s="85" t="s">
        <v>8</v>
      </c>
      <c r="B8" s="84"/>
      <c r="C8" s="89" t="str">
        <f>'Stavební rozpočet'!G4</f>
        <v>01.04.2026</v>
      </c>
      <c r="D8" s="84"/>
      <c r="E8" s="89" t="s">
        <v>13</v>
      </c>
      <c r="F8" s="89" t="str">
        <f>'Stavební rozpočet'!G6</f>
        <v xml:space="preserve"> </v>
      </c>
      <c r="G8" s="84"/>
      <c r="H8" s="84" t="s">
        <v>248</v>
      </c>
      <c r="I8" s="121">
        <v>36</v>
      </c>
    </row>
    <row r="9" spans="1:9" ht="14.4" x14ac:dyDescent="0.3">
      <c r="A9" s="83"/>
      <c r="B9" s="84"/>
      <c r="C9" s="84"/>
      <c r="D9" s="84"/>
      <c r="E9" s="84"/>
      <c r="F9" s="84"/>
      <c r="G9" s="84"/>
      <c r="H9" s="84"/>
      <c r="I9" s="97"/>
    </row>
    <row r="10" spans="1:9" ht="14.4" x14ac:dyDescent="0.3">
      <c r="A10" s="85" t="s">
        <v>15</v>
      </c>
      <c r="B10" s="84"/>
      <c r="C10" s="89" t="str">
        <f>'Stavební rozpočet'!C8</f>
        <v xml:space="preserve"> </v>
      </c>
      <c r="D10" s="84"/>
      <c r="E10" s="89" t="s">
        <v>18</v>
      </c>
      <c r="F10" s="89" t="str">
        <f>'Stavební rozpočet'!I8</f>
        <v> </v>
      </c>
      <c r="G10" s="84"/>
      <c r="H10" s="84" t="s">
        <v>249</v>
      </c>
      <c r="I10" s="122" t="str">
        <f>'Stavební rozpočet'!G8</f>
        <v>03.03.2026</v>
      </c>
    </row>
    <row r="11" spans="1:9" ht="14.4" x14ac:dyDescent="0.3">
      <c r="A11" s="120"/>
      <c r="B11" s="112"/>
      <c r="C11" s="112"/>
      <c r="D11" s="112"/>
      <c r="E11" s="112"/>
      <c r="F11" s="112"/>
      <c r="G11" s="112"/>
      <c r="H11" s="112"/>
      <c r="I11" s="123"/>
    </row>
    <row r="13" spans="1:9" ht="15.6" x14ac:dyDescent="0.3">
      <c r="A13" s="157" t="s">
        <v>291</v>
      </c>
      <c r="B13" s="157"/>
      <c r="C13" s="157"/>
      <c r="D13" s="157"/>
      <c r="E13" s="157"/>
    </row>
    <row r="14" spans="1:9" ht="14.4" x14ac:dyDescent="0.3">
      <c r="A14" s="158" t="s">
        <v>292</v>
      </c>
      <c r="B14" s="159"/>
      <c r="C14" s="159"/>
      <c r="D14" s="159"/>
      <c r="E14" s="160"/>
      <c r="F14" s="72" t="s">
        <v>293</v>
      </c>
      <c r="G14" s="72" t="s">
        <v>294</v>
      </c>
      <c r="H14" s="72" t="s">
        <v>295</v>
      </c>
      <c r="I14" s="72" t="s">
        <v>293</v>
      </c>
    </row>
    <row r="15" spans="1:9" ht="14.4" x14ac:dyDescent="0.3">
      <c r="A15" s="161" t="s">
        <v>259</v>
      </c>
      <c r="B15" s="162"/>
      <c r="C15" s="162"/>
      <c r="D15" s="162"/>
      <c r="E15" s="163"/>
      <c r="F15" s="73">
        <v>0</v>
      </c>
      <c r="G15" s="74" t="s">
        <v>48</v>
      </c>
      <c r="H15" s="74" t="s">
        <v>48</v>
      </c>
      <c r="I15" s="73">
        <f>F15</f>
        <v>0</v>
      </c>
    </row>
    <row r="16" spans="1:9" ht="14.4" x14ac:dyDescent="0.3">
      <c r="A16" s="161" t="s">
        <v>261</v>
      </c>
      <c r="B16" s="162"/>
      <c r="C16" s="162"/>
      <c r="D16" s="162"/>
      <c r="E16" s="163"/>
      <c r="F16" s="73">
        <v>0</v>
      </c>
      <c r="G16" s="74" t="s">
        <v>48</v>
      </c>
      <c r="H16" s="74" t="s">
        <v>48</v>
      </c>
      <c r="I16" s="73">
        <f>F16</f>
        <v>0</v>
      </c>
    </row>
    <row r="17" spans="1:9" ht="14.4" x14ac:dyDescent="0.3">
      <c r="A17" s="164" t="s">
        <v>264</v>
      </c>
      <c r="B17" s="165"/>
      <c r="C17" s="165"/>
      <c r="D17" s="165"/>
      <c r="E17" s="166"/>
      <c r="F17" s="75">
        <v>0</v>
      </c>
      <c r="G17" s="76" t="s">
        <v>48</v>
      </c>
      <c r="H17" s="76" t="s">
        <v>48</v>
      </c>
      <c r="I17" s="75">
        <f>F17</f>
        <v>0</v>
      </c>
    </row>
    <row r="18" spans="1:9" ht="14.4" x14ac:dyDescent="0.3">
      <c r="A18" s="167" t="s">
        <v>296</v>
      </c>
      <c r="B18" s="168"/>
      <c r="C18" s="168"/>
      <c r="D18" s="168"/>
      <c r="E18" s="169"/>
      <c r="F18" s="77" t="s">
        <v>48</v>
      </c>
      <c r="G18" s="78" t="s">
        <v>48</v>
      </c>
      <c r="H18" s="78" t="s">
        <v>48</v>
      </c>
      <c r="I18" s="79">
        <f>SUM(I15:I17)</f>
        <v>0</v>
      </c>
    </row>
    <row r="20" spans="1:9" ht="14.4" x14ac:dyDescent="0.3">
      <c r="A20" s="158" t="s">
        <v>256</v>
      </c>
      <c r="B20" s="159"/>
      <c r="C20" s="159"/>
      <c r="D20" s="159"/>
      <c r="E20" s="160"/>
      <c r="F20" s="72" t="s">
        <v>293</v>
      </c>
      <c r="G20" s="72" t="s">
        <v>294</v>
      </c>
      <c r="H20" s="72" t="s">
        <v>295</v>
      </c>
      <c r="I20" s="72" t="s">
        <v>293</v>
      </c>
    </row>
    <row r="21" spans="1:9" ht="14.4" x14ac:dyDescent="0.3">
      <c r="A21" s="161" t="s">
        <v>260</v>
      </c>
      <c r="B21" s="162"/>
      <c r="C21" s="162"/>
      <c r="D21" s="162"/>
      <c r="E21" s="163"/>
      <c r="F21" s="73">
        <v>0</v>
      </c>
      <c r="G21" s="74" t="s">
        <v>48</v>
      </c>
      <c r="H21" s="74" t="s">
        <v>48</v>
      </c>
      <c r="I21" s="73">
        <f t="shared" ref="I21:I26" si="0">F21</f>
        <v>0</v>
      </c>
    </row>
    <row r="22" spans="1:9" ht="14.4" x14ac:dyDescent="0.3">
      <c r="A22" s="161" t="s">
        <v>262</v>
      </c>
      <c r="B22" s="162"/>
      <c r="C22" s="162"/>
      <c r="D22" s="162"/>
      <c r="E22" s="163"/>
      <c r="F22" s="73">
        <v>0</v>
      </c>
      <c r="G22" s="74" t="s">
        <v>48</v>
      </c>
      <c r="H22" s="74" t="s">
        <v>48</v>
      </c>
      <c r="I22" s="73">
        <f t="shared" si="0"/>
        <v>0</v>
      </c>
    </row>
    <row r="23" spans="1:9" ht="14.4" x14ac:dyDescent="0.3">
      <c r="A23" s="161" t="s">
        <v>265</v>
      </c>
      <c r="B23" s="162"/>
      <c r="C23" s="162"/>
      <c r="D23" s="162"/>
      <c r="E23" s="163"/>
      <c r="F23" s="73">
        <v>0</v>
      </c>
      <c r="G23" s="74" t="s">
        <v>48</v>
      </c>
      <c r="H23" s="74" t="s">
        <v>48</v>
      </c>
      <c r="I23" s="73">
        <f t="shared" si="0"/>
        <v>0</v>
      </c>
    </row>
    <row r="24" spans="1:9" ht="14.4" x14ac:dyDescent="0.3">
      <c r="A24" s="161" t="s">
        <v>266</v>
      </c>
      <c r="B24" s="162"/>
      <c r="C24" s="162"/>
      <c r="D24" s="162"/>
      <c r="E24" s="163"/>
      <c r="F24" s="73">
        <v>0</v>
      </c>
      <c r="G24" s="74" t="s">
        <v>48</v>
      </c>
      <c r="H24" s="74" t="s">
        <v>48</v>
      </c>
      <c r="I24" s="73">
        <f t="shared" si="0"/>
        <v>0</v>
      </c>
    </row>
    <row r="25" spans="1:9" ht="14.4" x14ac:dyDescent="0.3">
      <c r="A25" s="161" t="s">
        <v>268</v>
      </c>
      <c r="B25" s="162"/>
      <c r="C25" s="162"/>
      <c r="D25" s="162"/>
      <c r="E25" s="163"/>
      <c r="F25" s="73">
        <v>0</v>
      </c>
      <c r="G25" s="74" t="s">
        <v>48</v>
      </c>
      <c r="H25" s="74" t="s">
        <v>48</v>
      </c>
      <c r="I25" s="73">
        <f t="shared" si="0"/>
        <v>0</v>
      </c>
    </row>
    <row r="26" spans="1:9" ht="14.4" x14ac:dyDescent="0.3">
      <c r="A26" s="164" t="s">
        <v>269</v>
      </c>
      <c r="B26" s="165"/>
      <c r="C26" s="165"/>
      <c r="D26" s="165"/>
      <c r="E26" s="166"/>
      <c r="F26" s="75">
        <v>0</v>
      </c>
      <c r="G26" s="76" t="s">
        <v>48</v>
      </c>
      <c r="H26" s="76" t="s">
        <v>48</v>
      </c>
      <c r="I26" s="75">
        <f t="shared" si="0"/>
        <v>0</v>
      </c>
    </row>
    <row r="27" spans="1:9" ht="14.4" x14ac:dyDescent="0.3">
      <c r="A27" s="167" t="s">
        <v>297</v>
      </c>
      <c r="B27" s="168"/>
      <c r="C27" s="168"/>
      <c r="D27" s="168"/>
      <c r="E27" s="169"/>
      <c r="F27" s="77" t="s">
        <v>48</v>
      </c>
      <c r="G27" s="78" t="s">
        <v>48</v>
      </c>
      <c r="H27" s="78" t="s">
        <v>48</v>
      </c>
      <c r="I27" s="79">
        <f>SUM(I21:I26)</f>
        <v>0</v>
      </c>
    </row>
    <row r="29" spans="1:9" ht="15.6" x14ac:dyDescent="0.3">
      <c r="A29" s="170" t="s">
        <v>298</v>
      </c>
      <c r="B29" s="171"/>
      <c r="C29" s="171"/>
      <c r="D29" s="171"/>
      <c r="E29" s="172"/>
      <c r="F29" s="173">
        <f>I18+I27</f>
        <v>0</v>
      </c>
      <c r="G29" s="174"/>
      <c r="H29" s="174"/>
      <c r="I29" s="175"/>
    </row>
    <row r="33" spans="1:9" ht="15.6" x14ac:dyDescent="0.3">
      <c r="A33" s="157" t="s">
        <v>299</v>
      </c>
      <c r="B33" s="157"/>
      <c r="C33" s="157"/>
      <c r="D33" s="157"/>
      <c r="E33" s="157"/>
    </row>
    <row r="34" spans="1:9" ht="14.4" x14ac:dyDescent="0.3">
      <c r="A34" s="158" t="s">
        <v>300</v>
      </c>
      <c r="B34" s="159"/>
      <c r="C34" s="159"/>
      <c r="D34" s="159"/>
      <c r="E34" s="160"/>
      <c r="F34" s="72" t="s">
        <v>293</v>
      </c>
      <c r="G34" s="72" t="s">
        <v>294</v>
      </c>
      <c r="H34" s="72" t="s">
        <v>295</v>
      </c>
      <c r="I34" s="72" t="s">
        <v>293</v>
      </c>
    </row>
    <row r="35" spans="1:9" ht="14.4" x14ac:dyDescent="0.3">
      <c r="A35" s="161" t="s">
        <v>194</v>
      </c>
      <c r="B35" s="162"/>
      <c r="C35" s="162"/>
      <c r="D35" s="162"/>
      <c r="E35" s="163"/>
      <c r="F35" s="73">
        <f>SUM('Stavební rozpočet'!BM12:BM118)</f>
        <v>0</v>
      </c>
      <c r="G35" s="74" t="s">
        <v>48</v>
      </c>
      <c r="H35" s="74" t="s">
        <v>48</v>
      </c>
      <c r="I35" s="73">
        <f t="shared" ref="I35:I44" si="1">F35</f>
        <v>0</v>
      </c>
    </row>
    <row r="36" spans="1:9" ht="14.4" x14ac:dyDescent="0.3">
      <c r="A36" s="161" t="s">
        <v>301</v>
      </c>
      <c r="B36" s="162"/>
      <c r="C36" s="162"/>
      <c r="D36" s="162"/>
      <c r="E36" s="163"/>
      <c r="F36" s="73">
        <f>SUM('Stavební rozpočet'!BN12:BN118)</f>
        <v>0</v>
      </c>
      <c r="G36" s="74" t="s">
        <v>48</v>
      </c>
      <c r="H36" s="74" t="s">
        <v>48</v>
      </c>
      <c r="I36" s="73">
        <f t="shared" si="1"/>
        <v>0</v>
      </c>
    </row>
    <row r="37" spans="1:9" ht="14.4" x14ac:dyDescent="0.3">
      <c r="A37" s="161" t="s">
        <v>260</v>
      </c>
      <c r="B37" s="162"/>
      <c r="C37" s="162"/>
      <c r="D37" s="162"/>
      <c r="E37" s="163"/>
      <c r="F37" s="73">
        <f>SUM('Stavební rozpočet'!BO12:BO118)</f>
        <v>0</v>
      </c>
      <c r="G37" s="74" t="s">
        <v>48</v>
      </c>
      <c r="H37" s="74" t="s">
        <v>48</v>
      </c>
      <c r="I37" s="73">
        <f t="shared" si="1"/>
        <v>0</v>
      </c>
    </row>
    <row r="38" spans="1:9" ht="14.4" x14ac:dyDescent="0.3">
      <c r="A38" s="161" t="s">
        <v>302</v>
      </c>
      <c r="B38" s="162"/>
      <c r="C38" s="162"/>
      <c r="D38" s="162"/>
      <c r="E38" s="163"/>
      <c r="F38" s="73">
        <f>SUM('Stavební rozpočet'!BP12:BP118)</f>
        <v>0</v>
      </c>
      <c r="G38" s="74" t="s">
        <v>48</v>
      </c>
      <c r="H38" s="74" t="s">
        <v>48</v>
      </c>
      <c r="I38" s="73">
        <f t="shared" si="1"/>
        <v>0</v>
      </c>
    </row>
    <row r="39" spans="1:9" ht="14.4" x14ac:dyDescent="0.3">
      <c r="A39" s="161" t="s">
        <v>303</v>
      </c>
      <c r="B39" s="162"/>
      <c r="C39" s="162"/>
      <c r="D39" s="162"/>
      <c r="E39" s="163"/>
      <c r="F39" s="73">
        <f>SUM('Stavební rozpočet'!BQ12:BQ118)</f>
        <v>0</v>
      </c>
      <c r="G39" s="74" t="s">
        <v>48</v>
      </c>
      <c r="H39" s="74" t="s">
        <v>48</v>
      </c>
      <c r="I39" s="73">
        <f t="shared" si="1"/>
        <v>0</v>
      </c>
    </row>
    <row r="40" spans="1:9" ht="14.4" x14ac:dyDescent="0.3">
      <c r="A40" s="161" t="s">
        <v>265</v>
      </c>
      <c r="B40" s="162"/>
      <c r="C40" s="162"/>
      <c r="D40" s="162"/>
      <c r="E40" s="163"/>
      <c r="F40" s="73">
        <f>SUM('Stavební rozpočet'!BR12:BR118)</f>
        <v>0</v>
      </c>
      <c r="G40" s="74" t="s">
        <v>48</v>
      </c>
      <c r="H40" s="74" t="s">
        <v>48</v>
      </c>
      <c r="I40" s="73">
        <f t="shared" si="1"/>
        <v>0</v>
      </c>
    </row>
    <row r="41" spans="1:9" ht="14.4" x14ac:dyDescent="0.3">
      <c r="A41" s="161" t="s">
        <v>266</v>
      </c>
      <c r="B41" s="162"/>
      <c r="C41" s="162"/>
      <c r="D41" s="162"/>
      <c r="E41" s="163"/>
      <c r="F41" s="73">
        <f>SUM('Stavební rozpočet'!BS12:BS118)</f>
        <v>0</v>
      </c>
      <c r="G41" s="74" t="s">
        <v>48</v>
      </c>
      <c r="H41" s="74" t="s">
        <v>48</v>
      </c>
      <c r="I41" s="73">
        <f t="shared" si="1"/>
        <v>0</v>
      </c>
    </row>
    <row r="42" spans="1:9" ht="14.4" x14ac:dyDescent="0.3">
      <c r="A42" s="161" t="s">
        <v>304</v>
      </c>
      <c r="B42" s="162"/>
      <c r="C42" s="162"/>
      <c r="D42" s="162"/>
      <c r="E42" s="163"/>
      <c r="F42" s="73">
        <f>SUM('Stavební rozpočet'!BT12:BT118)</f>
        <v>0</v>
      </c>
      <c r="G42" s="74" t="s">
        <v>48</v>
      </c>
      <c r="H42" s="74" t="s">
        <v>48</v>
      </c>
      <c r="I42" s="73">
        <f t="shared" si="1"/>
        <v>0</v>
      </c>
    </row>
    <row r="43" spans="1:9" ht="14.4" x14ac:dyDescent="0.3">
      <c r="A43" s="161" t="s">
        <v>305</v>
      </c>
      <c r="B43" s="162"/>
      <c r="C43" s="162"/>
      <c r="D43" s="162"/>
      <c r="E43" s="163"/>
      <c r="F43" s="73">
        <f>SUM('Stavební rozpočet'!BU12:BU118)</f>
        <v>0</v>
      </c>
      <c r="G43" s="74" t="s">
        <v>48</v>
      </c>
      <c r="H43" s="74" t="s">
        <v>48</v>
      </c>
      <c r="I43" s="73">
        <f t="shared" si="1"/>
        <v>0</v>
      </c>
    </row>
    <row r="44" spans="1:9" ht="14.4" x14ac:dyDescent="0.3">
      <c r="A44" s="164" t="s">
        <v>306</v>
      </c>
      <c r="B44" s="165"/>
      <c r="C44" s="165"/>
      <c r="D44" s="165"/>
      <c r="E44" s="166"/>
      <c r="F44" s="75">
        <f>SUM('Stavební rozpočet'!BV12:BV118)</f>
        <v>0</v>
      </c>
      <c r="G44" s="76" t="s">
        <v>48</v>
      </c>
      <c r="H44" s="76" t="s">
        <v>48</v>
      </c>
      <c r="I44" s="75">
        <f t="shared" si="1"/>
        <v>0</v>
      </c>
    </row>
    <row r="45" spans="1:9" ht="14.4" x14ac:dyDescent="0.3">
      <c r="A45" s="167" t="s">
        <v>307</v>
      </c>
      <c r="B45" s="168"/>
      <c r="C45" s="168"/>
      <c r="D45" s="168"/>
      <c r="E45" s="169"/>
      <c r="F45" s="77" t="s">
        <v>48</v>
      </c>
      <c r="G45" s="78" t="s">
        <v>48</v>
      </c>
      <c r="H45" s="78" t="s">
        <v>48</v>
      </c>
      <c r="I45" s="79">
        <f>SUM(I35:I44)</f>
        <v>0</v>
      </c>
    </row>
  </sheetData>
  <sheetProtection password="DDAD" sheet="1"/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Krycí list rozpočtu</vt:lpstr>
      <vt:lpstr>Stavební rozpočet</vt:lpstr>
      <vt:lpstr>Výkaz výměr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Tereza Suchá</cp:lastModifiedBy>
  <dcterms:created xsi:type="dcterms:W3CDTF">2021-06-10T20:06:38Z</dcterms:created>
  <dcterms:modified xsi:type="dcterms:W3CDTF">2026-04-07T13:20:10Z</dcterms:modified>
</cp:coreProperties>
</file>