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Krycí list rozpočtu" sheetId="1" r:id="rId1"/>
    <sheet name="VORN" sheetId="2" r:id="rId2"/>
    <sheet name="Objekty celkem" sheetId="3" r:id="rId3"/>
    <sheet name="Stavební rozpočet" sheetId="4" r:id="rId4"/>
    <sheet name=" Skladová tech" sheetId="5" r:id="rId5"/>
    <sheet name="OK 2.et" sheetId="6" r:id="rId6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<sst xmlns="http://schemas.openxmlformats.org/spreadsheetml/2006/main" count="2704" uniqueCount="943">
  <si>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</si>
  <si>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</si>
  <si>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</si>
  <si>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</si>
  <si>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</si>
  <si>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</si>
  <si>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</si>
  <si>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</si>
  <si>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</si>
  <si>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</si>
  <si>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</si>
  <si>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</si>
  <si>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</si>
  <si>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</si>
  <si>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</si>
  <si>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</si>
  <si>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</si>
  <si>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</si>
  <si>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</si>
  <si>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</si>
  <si>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</si>
  <si>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</si>
  <si>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</si>
  <si>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</si>
  <si>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</si>
  <si>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</si>
  <si>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</si>
  <si>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</si>
  <si>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</si>
  <si>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</si>
  <si>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</si>
  <si>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</si>
  <si>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</si>
  <si>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</si>
  <si>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</si>
  <si>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</si>
  <si>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</si>
  <si>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</si>
  <si>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</si>
  <si>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</si>
  <si>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</si>
  <si>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</si>
  <si>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</si>
  <si>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</si>
  <si>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</si>
  <si>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</si>
  <si>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</si>
  <si>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</si>
  <si>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</si>
  <si>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</si>
  <si>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</si>
  <si>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</si>
  <si>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</si>
  <si>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</si>
  <si>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</si>
  <si>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</si>
  <si>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</si>
  <si>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</si>
  <si>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</si>
  <si>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</si>
  <si>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</si>
  <si>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</si>
  <si>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</si>
  <si>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</si>
  <si>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</si>
  <si>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</si>
  <si>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</si>
  <si>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</si>
  <si>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</si>
  <si>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</si>
  <si>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</si>
  <si>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</si>
  <si>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</si>
  <si>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</si>
  <si>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</si>
  <si>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</si>
  <si>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</si>
  <si>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</si>
  <si>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</si>
  <si>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</si>
  <si>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</si>
  <si>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</si>
  <si>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</si>
  <si>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</si>
  <si>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</si>
  <si>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</si>
  <si>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</si>
  <si>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</si>
  <si>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</si>
  <si>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</si>
  <si>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</si>
  <si>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</si>
  <si>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</si>
  <si>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</si>
  <si>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</si>
  <si>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</si>
  <si>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</si>
  <si>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</si>
  <si>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</si>
  <si>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</si>
  <si>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</si>
  <si>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</si>
  <si>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</si>
  <si>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</si>
  <si>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</si>
  <si>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</si>
  <si>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</si>
  <si>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</si>
  <si>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</si>
  <si>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</si>
  <si>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</si>
  <si>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</si>
  <si>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</si>
  <si>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</si>
  <si>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</si>
  <si>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</si>
  <si>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</si>
  <si>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</si>
  <si>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</si>
  <si>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</si>
  <si>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</si>
  <si>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</si>
  <si>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</si>
  <si>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</si>
  <si>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</si>
  <si>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</si>
  <si>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</si>
  <si>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</si>
  <si>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</si>
  <si>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</si>
  <si>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</si>
  <si>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</si>
  <si>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</si>
  <si>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</si>
  <si>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</si>
  <si>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</si>
  <si>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</si>
  <si>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</si>
  <si>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</si>
  <si>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</si>
  <si>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</si>
  <si>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</si>
  <si>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</si>
  <si>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</si>
  <si>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</si>
  <si>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</si>
  <si>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</si>
  <si>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</si>
  <si>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</si>
  <si>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</si>
  <si>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</si>
  <si>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</si>
  <si>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</si>
  <si>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</si>
  <si>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</si>
  <si>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</si>
  <si>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</si>
  <si>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</si>
  <si>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</si>
  <si>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</si>
  <si>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</si>
  <si>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</si>
  <si>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</si>
  <si>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</si>
  <si>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</si>
  <si>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</si>
  <si>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</si>
  <si>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</si>
  <si>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</si>
  <si>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</si>
  <si>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</si>
  <si>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</si>
  <si>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</si>
  <si>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</si>
  <si>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</si>
  <si>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</si>
  <si>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</si>
  <si>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</si>
  <si>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</si>
  <si>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</si>
  <si>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</si>
  <si>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</si>
  <si>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</si>
  <si>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</si>
  <si>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</si>
  <si>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</si>
  <si>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</si>
  <si>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</si>
  <si>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</si>
  <si>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</si>
  <si>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</si>
  <si>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</si>
  <si>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</si>
  <si>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</si>
  <si>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</si>
  <si>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</si>
  <si>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</si>
  <si>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</si>
  <si>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</si>
  <si>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</si>
  <si>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</si>
  <si>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</si>
  <si>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</si>
  <si>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</si>
  <si>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Poznámka:</t>
  </si>
  <si>
    <t>Objekt</t>
  </si>
  <si>
    <t>SO100-2</t>
  </si>
  <si>
    <t>SO101-2</t>
  </si>
  <si>
    <t>SO102-2</t>
  </si>
  <si>
    <t>SO105-2</t>
  </si>
  <si>
    <t>SO110</t>
  </si>
  <si>
    <t>Kód</t>
  </si>
  <si>
    <t>174203301R00</t>
  </si>
  <si>
    <t>132303303R00</t>
  </si>
  <si>
    <t>111201102R00</t>
  </si>
  <si>
    <t>121101103R00</t>
  </si>
  <si>
    <t>122101103R00</t>
  </si>
  <si>
    <t>162301102R14</t>
  </si>
  <si>
    <t>167101102R00</t>
  </si>
  <si>
    <t>132101211R00</t>
  </si>
  <si>
    <t>212810010RAC</t>
  </si>
  <si>
    <t>274313611R00</t>
  </si>
  <si>
    <t>327216126RT2</t>
  </si>
  <si>
    <t>639561121R00</t>
  </si>
  <si>
    <t>917862111RT8</t>
  </si>
  <si>
    <t>998222011R00</t>
  </si>
  <si>
    <t>132101212R00</t>
  </si>
  <si>
    <t>174101101R00</t>
  </si>
  <si>
    <t>224311211R00</t>
  </si>
  <si>
    <t>224361114R00</t>
  </si>
  <si>
    <t>224380110R00</t>
  </si>
  <si>
    <t>264412112R00</t>
  </si>
  <si>
    <t>264411512R00</t>
  </si>
  <si>
    <t>274313311R00</t>
  </si>
  <si>
    <t>274321411R00</t>
  </si>
  <si>
    <t>274351215R00</t>
  </si>
  <si>
    <t>274351216R00</t>
  </si>
  <si>
    <t>274361821R00</t>
  </si>
  <si>
    <t>274361921R00</t>
  </si>
  <si>
    <t>327321114RT5</t>
  </si>
  <si>
    <t>327351010R00</t>
  </si>
  <si>
    <t>327352010R00</t>
  </si>
  <si>
    <t>327366111R00</t>
  </si>
  <si>
    <t>564772111R00</t>
  </si>
  <si>
    <t>564952111R00</t>
  </si>
  <si>
    <t>631571004R00</t>
  </si>
  <si>
    <t>631571002R00</t>
  </si>
  <si>
    <t>631315711R00</t>
  </si>
  <si>
    <t>631319175R00</t>
  </si>
  <si>
    <t>631361921RT5</t>
  </si>
  <si>
    <t>631315711RT7</t>
  </si>
  <si>
    <t>631316211R00</t>
  </si>
  <si>
    <t>634601121R00</t>
  </si>
  <si>
    <t>639571311R00</t>
  </si>
  <si>
    <t>639571115R00</t>
  </si>
  <si>
    <t>711</t>
  </si>
  <si>
    <t>711471051R00</t>
  </si>
  <si>
    <t>28325001</t>
  </si>
  <si>
    <t>711491171R00</t>
  </si>
  <si>
    <t>69366198</t>
  </si>
  <si>
    <t>998711102R00</t>
  </si>
  <si>
    <t>722</t>
  </si>
  <si>
    <t>722130236R00</t>
  </si>
  <si>
    <t>722223182R00</t>
  </si>
  <si>
    <t>722237226R00</t>
  </si>
  <si>
    <t>722174218R00</t>
  </si>
  <si>
    <t>28613784</t>
  </si>
  <si>
    <t>722175138R00</t>
  </si>
  <si>
    <t>28613125.A</t>
  </si>
  <si>
    <t>722181215RW6</t>
  </si>
  <si>
    <t>722181214RY5</t>
  </si>
  <si>
    <t>722254201RT3</t>
  </si>
  <si>
    <t>767990010RAC</t>
  </si>
  <si>
    <t>722290229R00</t>
  </si>
  <si>
    <t>722290226R00</t>
  </si>
  <si>
    <t>998722102R00</t>
  </si>
  <si>
    <t>954115104R00</t>
  </si>
  <si>
    <t>953942121R00</t>
  </si>
  <si>
    <t>250040101R00</t>
  </si>
  <si>
    <t>13331710</t>
  </si>
  <si>
    <t>951-001</t>
  </si>
  <si>
    <t>952901221R00</t>
  </si>
  <si>
    <t>899712111R00</t>
  </si>
  <si>
    <t>54823022.A</t>
  </si>
  <si>
    <t>998014011R00</t>
  </si>
  <si>
    <t>M21</t>
  </si>
  <si>
    <t>210172207R00</t>
  </si>
  <si>
    <t>35712269</t>
  </si>
  <si>
    <t>210172208R00</t>
  </si>
  <si>
    <t>34531525</t>
  </si>
  <si>
    <t>34531530</t>
  </si>
  <si>
    <t>210290811R00</t>
  </si>
  <si>
    <t>210110021RT1</t>
  </si>
  <si>
    <t>210110025RT1</t>
  </si>
  <si>
    <t>210110023RT2</t>
  </si>
  <si>
    <t>210140431RT3</t>
  </si>
  <si>
    <t>210111031R00</t>
  </si>
  <si>
    <t>210111136R00</t>
  </si>
  <si>
    <t>35811071</t>
  </si>
  <si>
    <t>210192561R00</t>
  </si>
  <si>
    <t>210010351RT1</t>
  </si>
  <si>
    <t>210800625RT1</t>
  </si>
  <si>
    <t>210800626RT1</t>
  </si>
  <si>
    <t>210220321RT1</t>
  </si>
  <si>
    <t>210010105R00</t>
  </si>
  <si>
    <t>34572125</t>
  </si>
  <si>
    <t>210010106R00</t>
  </si>
  <si>
    <t>34572130</t>
  </si>
  <si>
    <t>210020305R00</t>
  </si>
  <si>
    <t>55347492</t>
  </si>
  <si>
    <t>55347511</t>
  </si>
  <si>
    <t>210020309R00</t>
  </si>
  <si>
    <t>55347512</t>
  </si>
  <si>
    <t>55347494</t>
  </si>
  <si>
    <t>210020302RT1</t>
  </si>
  <si>
    <t>210010123R00</t>
  </si>
  <si>
    <t>3457115964</t>
  </si>
  <si>
    <t>210010134R00</t>
  </si>
  <si>
    <t>345710965</t>
  </si>
  <si>
    <t>210010084RT1</t>
  </si>
  <si>
    <t>210020652RT1</t>
  </si>
  <si>
    <t>210810001RT1</t>
  </si>
  <si>
    <t>210810005RT1</t>
  </si>
  <si>
    <t>210810006RT1</t>
  </si>
  <si>
    <t>210810015RT1</t>
  </si>
  <si>
    <t>210810016RT1</t>
  </si>
  <si>
    <t>210810017RT1</t>
  </si>
  <si>
    <t>210810053RT1</t>
  </si>
  <si>
    <t>211800713R00</t>
  </si>
  <si>
    <t>34121556</t>
  </si>
  <si>
    <t>210803062R00</t>
  </si>
  <si>
    <t>34111715101</t>
  </si>
  <si>
    <t>210220021RT1</t>
  </si>
  <si>
    <t>210220002RT2</t>
  </si>
  <si>
    <t>210220002RT3</t>
  </si>
  <si>
    <t>210220301RT3</t>
  </si>
  <si>
    <t>210220301RT2</t>
  </si>
  <si>
    <t>210220301RT1</t>
  </si>
  <si>
    <t>210220302RT3</t>
  </si>
  <si>
    <t>210220302RT6</t>
  </si>
  <si>
    <t>210220302RT1</t>
  </si>
  <si>
    <t>210220302RT2</t>
  </si>
  <si>
    <t>210220302RT5</t>
  </si>
  <si>
    <t>210220221R00</t>
  </si>
  <si>
    <t>35441035</t>
  </si>
  <si>
    <t>210220372RT1</t>
  </si>
  <si>
    <t>35441242</t>
  </si>
  <si>
    <t>210220401RT1</t>
  </si>
  <si>
    <t>210100259R00</t>
  </si>
  <si>
    <t>210100003R00</t>
  </si>
  <si>
    <t>210220801R00</t>
  </si>
  <si>
    <t>905      R01</t>
  </si>
  <si>
    <t>210201068R00</t>
  </si>
  <si>
    <t>34814105</t>
  </si>
  <si>
    <t>210200043R00</t>
  </si>
  <si>
    <t>34828410</t>
  </si>
  <si>
    <t>210200044R00</t>
  </si>
  <si>
    <t>210203611R00</t>
  </si>
  <si>
    <t>34841208</t>
  </si>
  <si>
    <t>210201054R00</t>
  </si>
  <si>
    <t>34851330</t>
  </si>
  <si>
    <t>210020922R00</t>
  </si>
  <si>
    <t>141      R00</t>
  </si>
  <si>
    <t>142      R00</t>
  </si>
  <si>
    <t>205      R00</t>
  </si>
  <si>
    <t>M33</t>
  </si>
  <si>
    <t>330000001</t>
  </si>
  <si>
    <t>M43</t>
  </si>
  <si>
    <t>439 SUB</t>
  </si>
  <si>
    <t>451572111R00</t>
  </si>
  <si>
    <t>175101101RT2</t>
  </si>
  <si>
    <t>871313121RT2</t>
  </si>
  <si>
    <t>894410020RAB</t>
  </si>
  <si>
    <t>998276101R00</t>
  </si>
  <si>
    <t>181101123R00</t>
  </si>
  <si>
    <t>181101102R00</t>
  </si>
  <si>
    <t>564762111R00</t>
  </si>
  <si>
    <t>561291111R00</t>
  </si>
  <si>
    <t>565171211RT2</t>
  </si>
  <si>
    <t>573191111R00</t>
  </si>
  <si>
    <t>577112125RT2</t>
  </si>
  <si>
    <t>576111323R00</t>
  </si>
  <si>
    <t>915491211R00</t>
  </si>
  <si>
    <t>592162117.A</t>
  </si>
  <si>
    <t>998225111R00</t>
  </si>
  <si>
    <t>181006114R00</t>
  </si>
  <si>
    <t>184802111R00</t>
  </si>
  <si>
    <t>180403111R00</t>
  </si>
  <si>
    <t>182001131R00</t>
  </si>
  <si>
    <t>171201101R00</t>
  </si>
  <si>
    <t>119009102</t>
  </si>
  <si>
    <t>712</t>
  </si>
  <si>
    <t>712300833RT3</t>
  </si>
  <si>
    <t>712300834RT3</t>
  </si>
  <si>
    <t>979990121R00</t>
  </si>
  <si>
    <t>765</t>
  </si>
  <si>
    <t>765323830R00</t>
  </si>
  <si>
    <t>979990201R00</t>
  </si>
  <si>
    <t>979081111R00</t>
  </si>
  <si>
    <t>979081121R00</t>
  </si>
  <si>
    <t>767</t>
  </si>
  <si>
    <t>767900090RAD</t>
  </si>
  <si>
    <t>905      R02</t>
  </si>
  <si>
    <t>962031133R00</t>
  </si>
  <si>
    <t>968072559R00</t>
  </si>
  <si>
    <t>965042241RT6</t>
  </si>
  <si>
    <t>968071137R00</t>
  </si>
  <si>
    <t>130901121RT1</t>
  </si>
  <si>
    <t>981132311R00</t>
  </si>
  <si>
    <t>998981123R00</t>
  </si>
  <si>
    <t>Revitalizace areálu Panlux</t>
  </si>
  <si>
    <t>Kladruby u Teplic</t>
  </si>
  <si>
    <t>Zkrácený popis</t>
  </si>
  <si>
    <t>Rozměry</t>
  </si>
  <si>
    <t>HTÚ 2.et</t>
  </si>
  <si>
    <t>Zemní práce</t>
  </si>
  <si>
    <t>Zásyp rýh pro drény bez zhutnění, hl.do 1,10 m</t>
  </si>
  <si>
    <t>Hloubení rýh pro drény, hloubky do 1,1 m, v hor.4</t>
  </si>
  <si>
    <t>Odstranění křovin i s kořeny na ploše do 10000 m2</t>
  </si>
  <si>
    <t>1536</t>
  </si>
  <si>
    <t>Sejmutí ornice s přemístěním přes 100 do 250 m</t>
  </si>
  <si>
    <t>1536*0,1</t>
  </si>
  <si>
    <t>Odkopávky nezapažené v hor. 2 do 10000 m3</t>
  </si>
  <si>
    <t>1536*1,9</t>
  </si>
  <si>
    <t>Vodorovné přemístění výkopku z hor.1-4 do 1000 m</t>
  </si>
  <si>
    <t>2918,4</t>
  </si>
  <si>
    <t>Nakládání výkopku z hor.1-4 v množství nad 100 m3</t>
  </si>
  <si>
    <t>2902,4</t>
  </si>
  <si>
    <t>Hloubení rýh š.do 200 cm hor.2 do 100 m3,STROJNĚ</t>
  </si>
  <si>
    <t>33,5*2,25*0,8</t>
  </si>
  <si>
    <t>Úprava podloží a základové spáry</t>
  </si>
  <si>
    <t>Trativody z PVC drenážních flexibilních trubek lože a obsyp štěrkopískem, trubky d 100 mm</t>
  </si>
  <si>
    <t>Základy</t>
  </si>
  <si>
    <t>Beton základových pasů prostý C 16/20</t>
  </si>
  <si>
    <t>33,5*2,25*0,8   pod gabiony</t>
  </si>
  <si>
    <t>Zdi přehradní a opěrné</t>
  </si>
  <si>
    <t>Opěr.zeď gabion.š.paty 2m,v.3m,3 vrst,oko 100/50 včetně dodávky lomového kamene</t>
  </si>
  <si>
    <t>33,5*2*1+33,5*1*2</t>
  </si>
  <si>
    <t>Podlahy a podlahové konstrukce</t>
  </si>
  <si>
    <t>Obrubník zahradní výšky 250 mm, šedý</t>
  </si>
  <si>
    <t>Doplňující konstrukce a práce na pozemních komunikacích a zpevněných plochách</t>
  </si>
  <si>
    <t>Osazení stojat. obrub. bet. s opěrou,lože z B 12,5 včetně obrubníku ABO 1 - 15 100/15/30</t>
  </si>
  <si>
    <t>85,4</t>
  </si>
  <si>
    <t>Přesun hmot, pozemní komunikace, kryt z kameniva</t>
  </si>
  <si>
    <t>Hala 2.et</t>
  </si>
  <si>
    <t>Hloubení rýh š.do 200 cm hor.2 do 1000 m3,STROJNĚ</t>
  </si>
  <si>
    <t>(35,42+25,7*2+6,06)*0,85*0,3+5,825*1,4*0,3   základové prahy</t>
  </si>
  <si>
    <t>23,135*1,75*2,15   OS2</t>
  </si>
  <si>
    <t>113,18-55,99</t>
  </si>
  <si>
    <t>Zásyp jam, rýh, šachet se zhutněním</t>
  </si>
  <si>
    <t>23,135*(0,8*0,25+1,85*1,2)   OS2</t>
  </si>
  <si>
    <t>Piloty</t>
  </si>
  <si>
    <t>Výplň pilot z C 25/30 portladského, bez suspenze</t>
  </si>
  <si>
    <t>35,2+13,8</t>
  </si>
  <si>
    <t>Výztuž pilot betonovaných do země z oceli 10505</t>
  </si>
  <si>
    <t>1,695+0,743</t>
  </si>
  <si>
    <t>Zříizení výplně hlavice pilot VÚIS z bet.železov.</t>
  </si>
  <si>
    <t>(pi*0,5^2*0,8)*10+(pi*0,4^2*0,8)*6</t>
  </si>
  <si>
    <t>Vrty</t>
  </si>
  <si>
    <t>Vrty pro piloty nezap.do 1050 mm hl.nad 5 m hor.4</t>
  </si>
  <si>
    <t>40,25</t>
  </si>
  <si>
    <t>Vrty pro piloty nezap.do 850 mm hl.nad 5 m hor.4</t>
  </si>
  <si>
    <t>24,2</t>
  </si>
  <si>
    <t>Beton základových pasů prostý C 8/10</t>
  </si>
  <si>
    <t>(35,42+25,7*2+6,06)*0,05*0,1+5,825*0,05*0,1   podkladní</t>
  </si>
  <si>
    <t>Železobeton základových pasů C 25/30</t>
  </si>
  <si>
    <t>((6,06+5,825+3,725*2+2,5*2+3,5*2+6)*1,65+(5,825*3+6,06*2+3,85*2+6*3)*1,75+5,825*2,2)*0,3</t>
  </si>
  <si>
    <t>Bednění stěn základových pasů - zřízení</t>
  </si>
  <si>
    <t>((6,06+5,825+3,725*2+2,5*2+3,5*2+6)*1,65+(5,825*3+6,06*2+3,85*2+6*3)*1,75+5,825*2,2)*2</t>
  </si>
  <si>
    <t>Bednění stěn základových pasů - odstranění</t>
  </si>
  <si>
    <t>342,37</t>
  </si>
  <si>
    <t>Výztuž základových pasů z betonářské oceli 10 505</t>
  </si>
  <si>
    <t>7,674</t>
  </si>
  <si>
    <t>Výztuž základových pasů ze svařovaných sítí</t>
  </si>
  <si>
    <t>1,7</t>
  </si>
  <si>
    <t>Opěrné zdi z bet. železového vodostaveb. C 25/30</t>
  </si>
  <si>
    <t>23,135*(1,75*0,3+2,675*0,3)</t>
  </si>
  <si>
    <t>Obednění opěrných zdí ploch rovinných</t>
  </si>
  <si>
    <t>23,135*2,675*2</t>
  </si>
  <si>
    <t>Odbednění opěrných zdí ploch rovinných</t>
  </si>
  <si>
    <t>123,77</t>
  </si>
  <si>
    <t>Výztuž opěrných zdí, ocel 10 505, D do 12 mm</t>
  </si>
  <si>
    <t>30,71*0,09</t>
  </si>
  <si>
    <t>Podkladní vrstvy komunikací a zpevněných ploch</t>
  </si>
  <si>
    <t>Podklad z kam.drceného 32-63 s výplň.kamen. 25 cm</t>
  </si>
  <si>
    <t>240,55   štěrková plocha</t>
  </si>
  <si>
    <t>Podklad z mechanicky zpevněného kameniva tl. 15 cm</t>
  </si>
  <si>
    <t>Násyp ze štěrkopísku 0 - 32, tř. I</t>
  </si>
  <si>
    <t>25,25*35,25*0,15</t>
  </si>
  <si>
    <t>Násyp z kameniva těženého 0 - 4, tř. I</t>
  </si>
  <si>
    <t>25,25*35,25*0,05</t>
  </si>
  <si>
    <t>Mazanina betonová tl. 12 - 24 cm C 25/30</t>
  </si>
  <si>
    <t>25,25*35,25*0,125</t>
  </si>
  <si>
    <t>Příplatek za stržení povrchu mazaniny tl. 24 cm</t>
  </si>
  <si>
    <t>11,26</t>
  </si>
  <si>
    <t>Výztuž mazanin svařovanou sítí průměr drátu  6,0, oka 150/150 mm</t>
  </si>
  <si>
    <t>25,25*35,25*0,003301</t>
  </si>
  <si>
    <t>Mazanina betonová tl. 12 - 24 cm C 25/30 s rozptýlenou výztuží 20 kg/m3, Floorcrete P,  V položce jsou zakalkulovány i náklady na vytvoření dilatačníc</t>
  </si>
  <si>
    <t>25,25*35,25*0,175</t>
  </si>
  <si>
    <t>Povrchový vsyp na betonové podlahy strojně hlazený</t>
  </si>
  <si>
    <t>25,25*35,25</t>
  </si>
  <si>
    <t>Zaplnění dilatačních spár mazanin, šířka 20 mm</t>
  </si>
  <si>
    <t>35,25*13+25,25*18</t>
  </si>
  <si>
    <t>Okapový chodník - textilie proti prorůstání 45g/m2</t>
  </si>
  <si>
    <t>0,1+12+18</t>
  </si>
  <si>
    <t>Okapový chodník podél budovy ze štěrkopísku tl.150</t>
  </si>
  <si>
    <t>30,1</t>
  </si>
  <si>
    <t>Izolace proti vodě</t>
  </si>
  <si>
    <t>Izolace, tlak. voda, vodorovná fólií PVC, volně</t>
  </si>
  <si>
    <t>25,25*35,25+(25,25+35,25)*2*0,2</t>
  </si>
  <si>
    <t>JUNIFOL tl. 0.6 mm, š.5,1m</t>
  </si>
  <si>
    <t>914,26</t>
  </si>
  <si>
    <t>;ztratné 15%; 137,139</t>
  </si>
  <si>
    <t>Izolace tlaková, podkladní textilie, vodorovná</t>
  </si>
  <si>
    <t>Geotextilie FILTEK 300 g/m2 š. 200cm 100% PP</t>
  </si>
  <si>
    <t>890,06</t>
  </si>
  <si>
    <t>;ztratné 15%; 133,509</t>
  </si>
  <si>
    <t>Přesun hmot pro izolace proti vodě, výšky do 12 m</t>
  </si>
  <si>
    <t>Vnitřní vodovod</t>
  </si>
  <si>
    <t>Potrubí z trub.závit.pozink.svařovan. 11343,DN 50</t>
  </si>
  <si>
    <t>1,5</t>
  </si>
  <si>
    <t>Kohout kulový výtokový, GIACOMINI R621 DN 20</t>
  </si>
  <si>
    <t>Kohout kulový, 2xvnitřní záv. GIACOMINI R910 DN 50</t>
  </si>
  <si>
    <t>Montáž potrubí z plastů rovné polyf. svař. D 75 mm</t>
  </si>
  <si>
    <t>Trubka tlaková PE HD (PE100) d 75 x 6,8 mm PN 16</t>
  </si>
  <si>
    <t>;ztratné 3%; 0,3</t>
  </si>
  <si>
    <t>Montáž tvarovek plast polyf.svař. tři spoje D 75mm</t>
  </si>
  <si>
    <t>Elektro T-kus KIT d  75mm rovnoramenný PE100 SDR11</t>
  </si>
  <si>
    <t>Izolace návleková  MIRELON PRO tl. stěny 25 mm vnitřní průměr 50 mm</t>
  </si>
  <si>
    <t>Izolace návleková MIRELON PRO tl. stěny 20 mm vnitřní průměr 76 mm</t>
  </si>
  <si>
    <t>Hydrantový systém D25, box s plnými dveřmi průměr 25/30, stálotvará hadice</t>
  </si>
  <si>
    <t>Atypické ocelové konstrukce 10 - 50 kg/kus</t>
  </si>
  <si>
    <t>25   konstrukce pro uchycení hydrantu</t>
  </si>
  <si>
    <t>Zkouška tlaku potrubí závitového DN 100</t>
  </si>
  <si>
    <t>Zkouška tlaku potrubí závitového DN 50</t>
  </si>
  <si>
    <t>Přesun hmot pro vnitřní vodovod, výšky do 12 m</t>
  </si>
  <si>
    <t>Různé dokončovací konstrukce a práce na pozemních stavbách</t>
  </si>
  <si>
    <t>SDK obkl.ocel.sloup 4str.spec.držák,2xRFI tl.12,5</t>
  </si>
  <si>
    <t>Osazení ochranných úhelníků (za každé zalití)</t>
  </si>
  <si>
    <t>8;m;*3;ks/m;</t>
  </si>
  <si>
    <t>Metalizace zinkem 100 mikrom. tř. I, v. do 1,9 m</t>
  </si>
  <si>
    <t>8*0,05*2</t>
  </si>
  <si>
    <t>Úhelník rovnoramenný L jakost 11375   50x 50x 4 mm</t>
  </si>
  <si>
    <t>8*0,00306</t>
  </si>
  <si>
    <t>D+M hasících přístrojů</t>
  </si>
  <si>
    <t>Vyčištění průmyslových budov a objektů výrobních</t>
  </si>
  <si>
    <t>Orientační tabulky na zdivu</t>
  </si>
  <si>
    <t>Tabulka výstražná 149x210 A5 dvoubarevná</t>
  </si>
  <si>
    <t>Přesun hmot, budovy mont. jednopodl. s pláštěm</t>
  </si>
  <si>
    <t>Elektromontáže</t>
  </si>
  <si>
    <t>Montáž skříně se zabudovaným rozvaděčem na konstr. vč.dodávky</t>
  </si>
  <si>
    <t>Zásuvková skříň (1x400V/32A, 1x400V/16A, 2x230V/16A, proudový chránič)</t>
  </si>
  <si>
    <t>Připojení ovládací skříně pohonu světlíků</t>
  </si>
  <si>
    <t>Čidlo větru</t>
  </si>
  <si>
    <t>Čidlo deště</t>
  </si>
  <si>
    <t>Připojení motorových spotřebičů do 5 kW</t>
  </si>
  <si>
    <t>4   Připojení pohonu světlíku</t>
  </si>
  <si>
    <t>Spínač nástěnný jednopól.- řaz. 1, venkovní včetně dodávky spínače 3558-01750</t>
  </si>
  <si>
    <t>Spínač nástěnný křížový - řaz. 7, venkovní včetně dodávky spínače 3558-07750</t>
  </si>
  <si>
    <t>Spínač nástěnný seriový - řaz. 52, venkovní včetně dodávky spínače 3558-05750</t>
  </si>
  <si>
    <t>Ovladač pomocných obvodů-1 tlačítkový v Al skříni včetně dodávky T6 S1h červená CENTRAL STOP</t>
  </si>
  <si>
    <t>Zásuvka domovní v krabici - 2P+PE, venkovní</t>
  </si>
  <si>
    <t>Zásuvka průmyslová IP 44  3P+N+PE  16 A</t>
  </si>
  <si>
    <t>Zásuvka nástěnná IZG 1643 16 A 380 V horní přívod</t>
  </si>
  <si>
    <t>Svorkovnice ochranného pospojování v krabici vč.dodávky</t>
  </si>
  <si>
    <t>Rozvodka krabicová z lis. izol. 6455-11 do 4 mm2 včetně dodávky krabice 6455-11</t>
  </si>
  <si>
    <t>Vodič nn a vn CYA 4 mm2 uložený volně včetně dodávky vodiče CYA 4 (HO7V-K 4ZZ)</t>
  </si>
  <si>
    <t>Vodič nn a vn CYA 6 mm2 uložený volně včetně dodávky vodiče CYA 6</t>
  </si>
  <si>
    <t>Svorka na potrubí Bernard, včetně Cu pásku včetně dodávky svorky + Cu pásku</t>
  </si>
  <si>
    <t>Lišta elektroinstalační PVC š.do 40 mm,šroubováním</t>
  </si>
  <si>
    <t>Lišta vkládací z PVC délka 3 m  LV 40x40</t>
  </si>
  <si>
    <t>;ztratné 7%; 1,75</t>
  </si>
  <si>
    <t>Lišta elektroinstalační PVC š.do 80 mm,šroubováním</t>
  </si>
  <si>
    <t>Lišta vkládací z PVC délka 3 m  LV 70x40</t>
  </si>
  <si>
    <t>;ztratné 7%; 0,84</t>
  </si>
  <si>
    <t>Žlab kabelový s příslušenstvím, 125/50 mm s víkem</t>
  </si>
  <si>
    <t>MARS žlab kabelový NKZ 50X125, l=2 m 0,7 mm S</t>
  </si>
  <si>
    <t>MARS víko žlabu V 125, l=2 m 0,6 mm S</t>
  </si>
  <si>
    <t>Žlab kabelový s přísluš., 250/50 mm s víkem</t>
  </si>
  <si>
    <t>MARS víko žlabu V 250, l=2 m 0,8 mm S</t>
  </si>
  <si>
    <t>MARS žlab kabelový NKZ 50X250, l=2 m 1,0 mm S</t>
  </si>
  <si>
    <t>Žlab kabelový Mars s přísluš., 62/50 mm bez víka včetně dodávky žlabu 50/50  PH-30R</t>
  </si>
  <si>
    <t>Trubka ochranná z PE, uložená volně, DN do 47 mm</t>
  </si>
  <si>
    <t>Trubka elektroinst. ohebná Super Monoflex 1240</t>
  </si>
  <si>
    <t>;ztratné 7%; 2,45</t>
  </si>
  <si>
    <t>Trubka ochranná z PE, uložená pevně, DN do 47 mm</t>
  </si>
  <si>
    <t>360</t>
  </si>
  <si>
    <t>Trubka elektroinstalační tuhá z PVC 4040</t>
  </si>
  <si>
    <t>;ztratné 7%; 25,2</t>
  </si>
  <si>
    <t>Trubka pancéřová z PH, uložená pevně, 29 mm včetně dodávky trubky PH 8029 + kolena PH 8229</t>
  </si>
  <si>
    <t>Konstrukce ocelová nosná pro zařízení do 10 kg včetně dodávky L 25x25x3</t>
  </si>
  <si>
    <t>Kabel CYKY-m 750 V 2 x 1,5 mm2 volně uložený včetně dodávky kabelu</t>
  </si>
  <si>
    <t>Kabel CYKY-m 750 V 3 x 1,5 mm2 volně uložený včetně dodávky kabelu</t>
  </si>
  <si>
    <t>65   3A</t>
  </si>
  <si>
    <t>1220   3C</t>
  </si>
  <si>
    <t>Kabel CYKY-m 750 V 3 x 2,5 mm2 volně uložený včetně dodávky kabelu</t>
  </si>
  <si>
    <t>Kabel CYKY-m 750 V 5 x 1,5 mm2 volně uložený včetně dodávky kabelu</t>
  </si>
  <si>
    <t>Kabel CYKY-m 750 V 5 x 2,5 mm2 volně uložený včetně dodávky kabelu</t>
  </si>
  <si>
    <t>Kabel CYKY-m 750 V 5 žil 4 až 16 mm, volně uložený včetně dodávky kabelu 5x4 mm2</t>
  </si>
  <si>
    <t>Kabel CYKY-m 750 V 4 x 10 mm2 pevně uložený včetně dodávky kabelu</t>
  </si>
  <si>
    <t>Kabel JYTY-Cu folie pevně uložený, 7x1 mm</t>
  </si>
  <si>
    <t>Kabel sdělovací s Cu jádrem JYTY 7 x 1 mm</t>
  </si>
  <si>
    <t>;ztratné 7%; 1,26</t>
  </si>
  <si>
    <t>Vodič COAF tepluvzdorný 2 x 1,5 mm2 volně uložený</t>
  </si>
  <si>
    <t>Kabel silový s Cu jádrem 1kV 1-CHKE-V  2x1,5mm2</t>
  </si>
  <si>
    <t>Vedení uzemňovací v zemi FeZn do 120 mm2 včetně pásku FeZn 30 x 4 mm</t>
  </si>
  <si>
    <t>Vedení uzemňovací na povrchu FeZn D 10 mm včetně drátu FeZn 10 mm</t>
  </si>
  <si>
    <t>Vedení uzemňovací na povrchu FeZn D 10 mm včetně dodávky FeZn 10mm + PV 23</t>
  </si>
  <si>
    <t>310</t>
  </si>
  <si>
    <t>Svorka hromosvodová do 2 šroubů včetně dodávky svorky SZ</t>
  </si>
  <si>
    <t>Svorka hromosvodová do 2 šroubů včetně dodávky svorky SS</t>
  </si>
  <si>
    <t>Svorka hromosvodová do 2 šroubů /SS, SZ, SO/ včetně dodávky svorky SO</t>
  </si>
  <si>
    <t>Svorka hromosvodová nad 2 šrouby /ST, SJ, atd/ včetně dodávky svorky SK</t>
  </si>
  <si>
    <t>Svorka hromosvodová nad 2 šrouby včetně dodávky svorky SP1</t>
  </si>
  <si>
    <t>Svorka hromosvodová nad 2 šrouby /ST, SJ, atd/ včetně dodávky svorky SR 02</t>
  </si>
  <si>
    <t>Svorka hromosvodová nad 2 šrouby včetně dodávky svorky SR 03</t>
  </si>
  <si>
    <t>Svorka hromosvodová nad 2 šrouby /ST, SJ, atd/ včetně dodávky svorky SJ 01</t>
  </si>
  <si>
    <t>Tyč jímací s upev. na stř.hřeben do 3 m, na konstr</t>
  </si>
  <si>
    <t>Tyč jímací JR 1,5 1500 mm bez osazení</t>
  </si>
  <si>
    <t>Úhelník ochranný nebo trubka s držáky do zdiva včetně ochran.úhelníku + 2 držáky do zdi</t>
  </si>
  <si>
    <t>Podpěra jímací tyče PJT15a FeZn</t>
  </si>
  <si>
    <t>Označení svodu štítky, smaltované, umělá hmota</t>
  </si>
  <si>
    <t>Ukončení celoplast. kabelů zákl./pás.do 5x10 mm2</t>
  </si>
  <si>
    <t>Ukončení vodičů v rozvaděči + zapojení do 16 mm2</t>
  </si>
  <si>
    <t>Změření zemního odporu, vč. měřicího protokolu</t>
  </si>
  <si>
    <t>Hzs-revize provoz.souboru a st.obj.</t>
  </si>
  <si>
    <t>Svítidlo zářivkové 3310760 2x65 W prům.stropní</t>
  </si>
  <si>
    <t>55+45</t>
  </si>
  <si>
    <t>Svítidlo stropní ORAVA LED -258-2x58W</t>
  </si>
  <si>
    <t>Svítidlo stropní ORAVA LED -258-2x58W s inverterem</t>
  </si>
  <si>
    <t>Svítidlo žárovkové 2132001, 25+25 W, nouzové</t>
  </si>
  <si>
    <t>Svítidlo nouzové FENIX LED</t>
  </si>
  <si>
    <t>Svítidlo žárovkové 2132002,25+25W,nouz.,zel.pruh</t>
  </si>
  <si>
    <t>Svítidlo nouzové FENIX LED EXIT</t>
  </si>
  <si>
    <t>Reflektor Halospot 50 W</t>
  </si>
  <si>
    <t>Svítidlo venkovní MERANO světlomet asym.  70w</t>
  </si>
  <si>
    <t>Svítidlo zářivkové 2330302  20 W nástěnné</t>
  </si>
  <si>
    <t>Svítidlo pro nároč.prostředí vestavné INCAST 27LED</t>
  </si>
  <si>
    <t>Ucpávka protipožární, průchod stěnou, tl. 30 cm</t>
  </si>
  <si>
    <t>Přirážka za podružný materiál  M 21, M 22</t>
  </si>
  <si>
    <t>Přirážka za prořez kabelů</t>
  </si>
  <si>
    <t>Zednické výpomoci M 21 podle čl.13-5c</t>
  </si>
  <si>
    <t>Montáže dopravních zařízení a vah</t>
  </si>
  <si>
    <t>Skladová technologie 2.etapa dle samostatné nabídky</t>
  </si>
  <si>
    <t>Montáže ocelových konstrukcí</t>
  </si>
  <si>
    <t>Dodávka a montáž OK dle samostatného rozpočtu</t>
  </si>
  <si>
    <t>Dešťová kanalizace</t>
  </si>
  <si>
    <t>89*0,8*1,25</t>
  </si>
  <si>
    <t>Lože pod potrubí z kameniva těženého 0 - 4 mm</t>
  </si>
  <si>
    <t>89*0,8*0,1</t>
  </si>
  <si>
    <t>89*0,8*0,85</t>
  </si>
  <si>
    <t>Obsyp potrubí bez prohození sypaniny Včetně dodávky kameniva.</t>
  </si>
  <si>
    <t>89*0,8*0,3</t>
  </si>
  <si>
    <t>89-60,52</t>
  </si>
  <si>
    <t>Potrubí z trub plastických, skleněných a čedičových</t>
  </si>
  <si>
    <t>Montáž trub z tvrdého PVC, gumový kroužek, DN 150 včetně dodávky trub PVC hrdlových 160x4,0x5000</t>
  </si>
  <si>
    <t>89   větev 3</t>
  </si>
  <si>
    <t>Ostatní konstrukce a práce na trubním vedení</t>
  </si>
  <si>
    <t>Šachta z betonových dílců pro DN 300</t>
  </si>
  <si>
    <t>Přesun hmot, trubní vedení plastová, otevř. výkop</t>
  </si>
  <si>
    <t>Komunikace a ZP 2.et</t>
  </si>
  <si>
    <t>Úprava pozemku s rozpoj. a přehrn. hor.1,2 do 60 m</t>
  </si>
  <si>
    <t>74*0,25</t>
  </si>
  <si>
    <t>Úprava pláně v zářezech v hor. 1-4, se zhutněním</t>
  </si>
  <si>
    <t>Podklad z kam.drceného 32-63 s výplň.kamen. 20 cm</t>
  </si>
  <si>
    <t>Zpevnění ploch štěrkopísk.stab. cem. CEM II/B-S 3</t>
  </si>
  <si>
    <t>74*0,15</t>
  </si>
  <si>
    <t>Podklad z obal kamen.ACP 22+, š.nad 3 m, tl. 10 cm</t>
  </si>
  <si>
    <t>Kryty štěrkových a živičných pozemních komunikací a zpevněných ploch</t>
  </si>
  <si>
    <t>Nátěr infiltrační kationaktivní emulzí 1kg/m2</t>
  </si>
  <si>
    <t>74*2</t>
  </si>
  <si>
    <t>Beton asfalt. ACO 11 S modifik. š.nad 3 m, tl.6 cm</t>
  </si>
  <si>
    <t>Koberec asfalt.mastix SMA 16 S (AKMH) nad 3 m,4 cm</t>
  </si>
  <si>
    <t>Osazení vodícího proužku do MC,podkl.C12/15, 25 cm</t>
  </si>
  <si>
    <t>Přídlažba silniční vysoká  ABK 50/25/10 bílá</t>
  </si>
  <si>
    <t>Přesun hmot, pozemní komunikace, kryt živičný</t>
  </si>
  <si>
    <t>Odstranění stáv.objektů-2.et.</t>
  </si>
  <si>
    <t>Rozprostření zemin v rov./sklonu 1:5, tl. do 30 cm</t>
  </si>
  <si>
    <t>418   seník</t>
  </si>
  <si>
    <t>Chem. odplevelení před založ. postřikem, v rovině</t>
  </si>
  <si>
    <t>418</t>
  </si>
  <si>
    <t>Založení trávníku parterového výsevem v rovině</t>
  </si>
  <si>
    <t>Plošná úprava terénu, nerovnosti do 20 cm v rovině</t>
  </si>
  <si>
    <t>Uložení sypaniny do násypů nezhutněných</t>
  </si>
  <si>
    <t>(638,4+51,8)*0,2   drůbežárna</t>
  </si>
  <si>
    <t>Přípravné a přidružené práce</t>
  </si>
  <si>
    <t>Drcení a třídění kamene</t>
  </si>
  <si>
    <t>503,17+396,9</t>
  </si>
  <si>
    <t>Izolace střech (živičné krytiny)</t>
  </si>
  <si>
    <t>Odstranění živičné krytiny střech do 10° 3vrstvé z ploch jednotlivě nad 20 m2</t>
  </si>
  <si>
    <t>26,68132*10</t>
  </si>
  <si>
    <t>14*44,6   drůbežárna</t>
  </si>
  <si>
    <t>Příplatek za odstranění každé další vrstvy</t>
  </si>
  <si>
    <t>14*44,6*2   drůbežárna</t>
  </si>
  <si>
    <t>Poplatek za skládku suti - asfaltové pásy</t>
  </si>
  <si>
    <t>Krytina tvrdá</t>
  </si>
  <si>
    <t>Demontáž azbestocement.vlnovek, na konstr.,do suti</t>
  </si>
  <si>
    <t>27,25*8,135*2   seník</t>
  </si>
  <si>
    <t>5*6,3   drůbežárna</t>
  </si>
  <si>
    <t>Poplatek za skládku suti -azbestocementové výrobky</t>
  </si>
  <si>
    <t>Odvoz suti a vybour. hmot na skládku do 1 km</t>
  </si>
  <si>
    <t xml:space="preserve">odvoz AZC a lepenky společně
</t>
  </si>
  <si>
    <t>Příplatek k odvozu za každý další 1 km</t>
  </si>
  <si>
    <t>odvoz AZC a lepenky společně</t>
  </si>
  <si>
    <t>Konstrukce doplňkové stavební (zámečnické)</t>
  </si>
  <si>
    <t>Demontáž atypických ocelových konstrukcí 250 - 500 kg/kus</t>
  </si>
  <si>
    <t>41,6*6,15*22   sloupy</t>
  </si>
  <si>
    <t>41,39*15,15*7   vazníky</t>
  </si>
  <si>
    <t>Hodinové zúčtovací sazby (HZS)</t>
  </si>
  <si>
    <t>Hzs-revize provoz.souboru a st.obj. Uprava stavajiciho rozvadece</t>
  </si>
  <si>
    <t>5   demontáž el.zařízení</t>
  </si>
  <si>
    <t>Bourání konstrukcí</t>
  </si>
  <si>
    <t>Bourání příček cihelných tl. 15 cm</t>
  </si>
  <si>
    <t>Vybourání kovových vrat plochy nad 5 m2</t>
  </si>
  <si>
    <t>4,5*4,5</t>
  </si>
  <si>
    <t>Bourání mazanin betonových tl. nad 10 cm, nad 4 m2 sbíječka  tl. mazaniny nad 20 cm</t>
  </si>
  <si>
    <t>638,4*0,25+51,8*0,2   drůbežárna</t>
  </si>
  <si>
    <t>Vyvěšení, zavěšení kovových křídel vrat nad 4 m2</t>
  </si>
  <si>
    <t>Bourání konstrukcí z betonu prostého ve vykopávk.</t>
  </si>
  <si>
    <t>0,8*0,8*0,25*22   patky sloupů</t>
  </si>
  <si>
    <t>(46,623+11,7)*2*0,4*0,25   pasy drůbežárny</t>
  </si>
  <si>
    <t>Demolice</t>
  </si>
  <si>
    <t>Demolice hal jiným zp.,zdivo,podíl kons.do 10%,MVC</t>
  </si>
  <si>
    <t>638,4*(6,2+4)/2+35,3*(3,25+2,2)/2</t>
  </si>
  <si>
    <t>hala drůbežárny</t>
  </si>
  <si>
    <t>Přesun hmot demolice postup. rozebíráním v. do 21m</t>
  </si>
  <si>
    <t>Začátek výstavby:</t>
  </si>
  <si>
    <t>Konec výstavby:</t>
  </si>
  <si>
    <t>M.j.</t>
  </si>
  <si>
    <t>m</t>
  </si>
  <si>
    <t>m2</t>
  </si>
  <si>
    <t>m3</t>
  </si>
  <si>
    <t>t</t>
  </si>
  <si>
    <t>kus</t>
  </si>
  <si>
    <t>kg</t>
  </si>
  <si>
    <t>h</t>
  </si>
  <si>
    <t>%</t>
  </si>
  <si>
    <t>soubor</t>
  </si>
  <si>
    <t>hod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</si>
  <si>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</si>
  <si>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</si>
  <si>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</si>
  <si>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</si>
  <si>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</si>
  <si>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</si>
  <si>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</si>
  <si>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</si>
  <si>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</si>
  <si>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</si>
  <si>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</si>
  <si>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Panlux s.r.o., Kladruby 108, Teplice</t>
  </si>
  <si>
    <t>Harpro František Harmach</t>
  </si>
  <si>
    <t>Dle výběru investora</t>
  </si>
  <si>
    <t>František Polan</t>
  </si>
  <si>
    <t>Celkem</t>
  </si>
  <si>
    <t>Hmotnost (t)</t>
  </si>
  <si>
    <t>Cenová</t>
  </si>
  <si>
    <t>soustava</t>
  </si>
  <si>
    <t>RTS II / 2015</t>
  </si>
  <si>
    <t>RTS I / 2014</t>
  </si>
  <si>
    <t>RTS II / 2014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</si>
  <si>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</si>
  <si>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</si>
  <si>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</si>
  <si>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</si>
  <si>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</si>
  <si>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</si>
  <si>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</si>
  <si>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</si>
  <si>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</si>
  <si>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</si>
  <si>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</si>
  <si>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</si>
  <si>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</si>
  <si>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1_</t>
  </si>
  <si>
    <t>21_</t>
  </si>
  <si>
    <t>27_</t>
  </si>
  <si>
    <t>32_</t>
  </si>
  <si>
    <t>63_</t>
  </si>
  <si>
    <t>91_</t>
  </si>
  <si>
    <t>22_</t>
  </si>
  <si>
    <t>26_</t>
  </si>
  <si>
    <t>56_</t>
  </si>
  <si>
    <t>711_</t>
  </si>
  <si>
    <t>722_</t>
  </si>
  <si>
    <t>95_</t>
  </si>
  <si>
    <t>M21_</t>
  </si>
  <si>
    <t>M33_</t>
  </si>
  <si>
    <t>M43_</t>
  </si>
  <si>
    <t>87_</t>
  </si>
  <si>
    <t>89_</t>
  </si>
  <si>
    <t>57_</t>
  </si>
  <si>
    <t>11_</t>
  </si>
  <si>
    <t>712_</t>
  </si>
  <si>
    <t>765_</t>
  </si>
  <si>
    <t>767_</t>
  </si>
  <si>
    <t>90_</t>
  </si>
  <si>
    <t>96_</t>
  </si>
  <si>
    <t>98_</t>
  </si>
  <si>
    <t>2_</t>
  </si>
  <si>
    <t>3_</t>
  </si>
  <si>
    <t>6_</t>
  </si>
  <si>
    <t>9_</t>
  </si>
  <si>
    <t>5_</t>
  </si>
  <si>
    <t>71_</t>
  </si>
  <si>
    <t>72_</t>
  </si>
  <si>
    <t>8_</t>
  </si>
  <si>
    <t>76_</t>
  </si>
  <si>
    <t>SO100-2_</t>
  </si>
  <si>
    <t>SO101-2_</t>
  </si>
  <si>
    <t>SO102-2_</t>
  </si>
  <si>
    <t>SO105-2_</t>
  </si>
  <si>
    <t>SO110_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</si>
  <si>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</si>
  <si>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</si>
  <si>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</si>
  <si>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</si>
  <si>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</si>
  <si>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</si>
  <si>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</si>
  <si>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</si>
  <si>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</si>
  <si>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</si>
  <si>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</si>
  <si>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</si>
  <si>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</si>
  <si>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</si>
  <si>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</si>
  <si>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</si>
  <si>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</si>
  <si>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</si>
  <si>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</si>
  <si>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</si>
  <si>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</si>
  <si>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</si>
  <si>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</si>
  <si>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</si>
  <si>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</si>
  <si>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</si>
  <si>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</si>
  <si>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</si>
  <si>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</si>
  <si>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</si>
  <si>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</si>
  <si>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</si>
  <si>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</si>
  <si>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</si>
  <si>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</si>
  <si>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</si>
  <si>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</si>
  <si>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</si>
  <si>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</si>
  <si>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</si>
  <si>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</si>
  <si>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</si>
  <si>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</si>
  <si>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</si>
  <si>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</si>
  <si>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</si>
  <si>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</si>
  <si>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</si>
  <si>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</si>
  <si>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</si>
  <si>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</si>
  <si>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</si>
  <si>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</si>
  <si>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</si>
  <si>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</si>
  <si>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Základna</t>
  </si>
  <si>
    <t xml:space="preserve">ROZPOČET  </t>
  </si>
  <si>
    <t>Stavba:   Revitalizace areálu firmy Panlux Výrobní a skladovací hala 1. etapa</t>
  </si>
  <si>
    <t>Objekt:   SO 112 - Skladová technologie 1.etapa</t>
  </si>
  <si>
    <t>Objednatel:   PANLUX s.r.o.</t>
  </si>
  <si>
    <t>Zpracoval:   Ing. Harmach</t>
  </si>
  <si>
    <t xml:space="preserve">Zhotovitel:   </t>
  </si>
  <si>
    <t>Datum:         26.8.2015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</si>
  <si>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</si>
  <si>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</si>
  <si>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</si>
  <si>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</si>
  <si>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</si>
  <si>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</si>
  <si>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</si>
  <si>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O01</t>
  </si>
  <si>
    <t>R001</t>
  </si>
  <si>
    <t>Dodávka technologie kolejnice 93/18 ES, 14 ks kolejových drah</t>
  </si>
  <si>
    <t>kpl</t>
  </si>
  <si>
    <t>R002</t>
  </si>
  <si>
    <t>Montáž technologie</t>
  </si>
  <si>
    <t>R003</t>
  </si>
  <si>
    <t>Doprava materiálu na stavbu</t>
  </si>
  <si>
    <t>Stavba:   Revitalizace areálu firmy Panlux Výrobní a skladovací hala 2. etapa</t>
  </si>
  <si>
    <t>Objekt:   SO 101-2 - Skladová hala 2.etapa</t>
  </si>
  <si>
    <t>Hmotnost celkem</t>
  </si>
  <si>
    <t>M</t>
  </si>
  <si>
    <t>Práce a dodávky M</t>
  </si>
  <si>
    <t>43-M</t>
  </si>
  <si>
    <t>Montáž ocelových konstrukcí</t>
  </si>
  <si>
    <t>43-M-R001</t>
  </si>
  <si>
    <t>Dodávka a montáž primární ocelové konstrukce splňující R30 min.</t>
  </si>
  <si>
    <t>43-M-R001A</t>
  </si>
  <si>
    <t>Dodávka a montáž nátěru OK tl. 160 micronů</t>
  </si>
  <si>
    <t>43-M-R002</t>
  </si>
  <si>
    <t>Montáž sekundární ocelové konstrukce METSEC spňující požadavek R15 min.</t>
  </si>
  <si>
    <t>43-M-R003</t>
  </si>
  <si>
    <t>Dodávka a montáž střešních PUR panelů tl. 100 mm vč. spojovacího materiálu</t>
  </si>
  <si>
    <t>43-M-R004</t>
  </si>
  <si>
    <t>Dodávka a montáž lemování střešního pláště</t>
  </si>
  <si>
    <t>43-M-R005</t>
  </si>
  <si>
    <t>Dodávka a montáž stěnového PUR panelů s MV tl. 100 mm vč. spojovacího materiálu</t>
  </si>
  <si>
    <t>Dodávka a montáž lemování stěnového pláště</t>
  </si>
  <si>
    <t>43-M-R006</t>
  </si>
  <si>
    <t>Příplatek za nadstandartní barvu RAL</t>
  </si>
  <si>
    <t>43-M-R007</t>
  </si>
  <si>
    <t>Dodávka a montáž kotvení OK vč. chemie HIT-HY 200 MAX</t>
  </si>
  <si>
    <t>43-M-R008</t>
  </si>
  <si>
    <t>Dodávka a montáž podlytí OK(SIKA GROUT 314, nebo cemt. maltou s min.pevností C30)</t>
  </si>
  <si>
    <t>43-M-R013</t>
  </si>
  <si>
    <t>Dodávka a montáž okapového systému</t>
  </si>
  <si>
    <t>43-M-R014</t>
  </si>
  <si>
    <t>Dodávka a montáž požárního žebříku se suchovodem</t>
  </si>
  <si>
    <t>ks</t>
  </si>
  <si>
    <t>43-M-R015</t>
  </si>
  <si>
    <t>Dodávka a montáž sekčních vrat 3000x3500 mm el. pohonem, ovláání trojtlačítkem, odblokování v případě výpadku rl.energ. požární odolnost EW30 DP1</t>
  </si>
  <si>
    <t>43-M-R016</t>
  </si>
  <si>
    <t>Dodávka a montáž vstupních dveří 950x2100 mm, požární odolnost EW30 DP1</t>
  </si>
  <si>
    <t>43-M-R017</t>
  </si>
  <si>
    <t>Dodávka a montáž prosvětlení stěn haly z polykarbonátu tl. 16 mm</t>
  </si>
  <si>
    <t>43-M-R018</t>
  </si>
  <si>
    <t>Dodávka a montáž protipožární rolety EW30 DP1-C 3000x3500 mm</t>
  </si>
  <si>
    <t>43-M-R020</t>
  </si>
  <si>
    <t>Dodávka a montáž hřebenového světlíku MCR PROLIGHT se samonosnou obrubou 2,4x30,0m z polykarbonátu tl. 16 mm v opálové barvě s 5ks větracích klap o rozměru 1,0x2,0m, zdvih 0,3m  vč. centrály pořasí a ovl. tlačítek</t>
  </si>
  <si>
    <t>43-M-R021</t>
  </si>
  <si>
    <t>Dodávka a montáž lemování světlíků</t>
  </si>
  <si>
    <t>43-M-R022</t>
  </si>
  <si>
    <t>Dodávka a montáž zateplení světlíku z MV tl. 100 mm</t>
  </si>
  <si>
    <t>43-M-R023</t>
  </si>
  <si>
    <t>Výstupové schody na expedici</t>
  </si>
  <si>
    <t>43-M-R024</t>
  </si>
  <si>
    <t>Dodávka a montáž dešťové žaluzie z PoZn plechu povrchová úprava RAL, 500/300 mm</t>
  </si>
  <si>
    <t>Objekty celkem</t>
  </si>
  <si>
    <t>(27,6+14,85)*6,25*2+14,85*1,5-4,5*4,5   seník</t>
  </si>
  <si>
    <t>418*0,25   seník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</si>
</sst>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;\-#,##0"/>
    <numFmt numFmtId="167" formatCode="#,##0.000;\-#,##0.000"/>
    <numFmt numFmtId="168" formatCode="#,##0.00;\-#,##0.00"/>
    <numFmt numFmtId="169" formatCode="#,##0.00_ ;\-#,##0.00\ 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54"/>
      <name val="Arial"/>
      <family val="0"/>
    </font>
    <font>
      <b/>
      <sz val="8"/>
      <color indexed="54"/>
      <name val="Arial"/>
      <family val="0"/>
    </font>
    <font>
      <sz val="8"/>
      <color indexed="56"/>
      <name val="Arial"/>
      <family val="0"/>
    </font>
    <font>
      <b/>
      <sz val="8"/>
      <color indexed="56"/>
      <name val="Arial"/>
      <family val="0"/>
    </font>
    <font>
      <sz val="8"/>
      <color indexed="61"/>
      <name val="Arial"/>
      <family val="0"/>
    </font>
    <font>
      <i/>
      <sz val="8"/>
      <color indexed="63"/>
      <name val="Arial"/>
      <family val="0"/>
    </font>
    <font>
      <sz val="8"/>
      <color indexed="62"/>
      <name val="Arial"/>
      <family val="0"/>
    </font>
    <font>
      <i/>
      <sz val="8"/>
      <color indexed="60"/>
      <name val="Arial"/>
      <family val="0"/>
    </font>
    <font>
      <b/>
      <sz val="22"/>
      <color indexed="8"/>
      <name val="Desyr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b/>
      <u val="single"/>
      <sz val="9"/>
      <color indexed="10"/>
      <name val="Arial CE"/>
      <family val="2"/>
    </font>
    <font>
      <b/>
      <sz val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0" fillId="14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8" fillId="0" borderId="0" applyAlignment="0">
      <protection locked="0"/>
    </xf>
    <xf numFmtId="0" fontId="28" fillId="0" borderId="0" applyAlignment="0">
      <protection locked="0"/>
    </xf>
    <xf numFmtId="0" fontId="28" fillId="5" borderId="6" applyNumberFormat="0" applyFont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8" applyNumberFormat="0" applyAlignment="0" applyProtection="0"/>
    <xf numFmtId="0" fontId="40" fillId="9" borderId="8" applyNumberFormat="0" applyAlignment="0" applyProtection="0"/>
    <xf numFmtId="0" fontId="41" fillId="9" borderId="9" applyNumberFormat="0" applyAlignment="0" applyProtection="0"/>
    <xf numFmtId="0" fontId="42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</cellStyleXfs>
  <cellXfs count="262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7" fillId="18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19" borderId="21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0" fillId="19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49" fontId="15" fillId="0" borderId="33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center" vertical="center"/>
      <protection/>
    </xf>
    <xf numFmtId="49" fontId="15" fillId="0" borderId="35" xfId="0" applyNumberFormat="1" applyFont="1" applyFill="1" applyBorder="1" applyAlignment="1" applyProtection="1">
      <alignment horizontal="center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right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49" fontId="15" fillId="0" borderId="38" xfId="0" applyNumberFormat="1" applyFont="1" applyFill="1" applyBorder="1" applyAlignment="1" applyProtection="1">
      <alignment horizontal="center" vertical="center"/>
      <protection/>
    </xf>
    <xf numFmtId="49" fontId="16" fillId="20" borderId="18" xfId="0" applyNumberFormat="1" applyFont="1" applyFill="1" applyBorder="1" applyAlignment="1" applyProtection="1">
      <alignment horizontal="left" vertical="center"/>
      <protection/>
    </xf>
    <xf numFmtId="49" fontId="17" fillId="20" borderId="18" xfId="0" applyNumberFormat="1" applyFont="1" applyFill="1" applyBorder="1" applyAlignment="1" applyProtection="1">
      <alignment horizontal="left" vertical="center"/>
      <protection/>
    </xf>
    <xf numFmtId="4" fontId="17" fillId="20" borderId="18" xfId="0" applyNumberFormat="1" applyFont="1" applyFill="1" applyBorder="1" applyAlignment="1" applyProtection="1">
      <alignment horizontal="right" vertical="center"/>
      <protection/>
    </xf>
    <xf numFmtId="49" fontId="17" fillId="20" borderId="18" xfId="0" applyNumberFormat="1" applyFont="1" applyFill="1" applyBorder="1" applyAlignment="1" applyProtection="1">
      <alignment horizontal="right" vertical="center"/>
      <protection/>
    </xf>
    <xf numFmtId="49" fontId="18" fillId="18" borderId="0" xfId="0" applyNumberFormat="1" applyFont="1" applyFill="1" applyBorder="1" applyAlignment="1" applyProtection="1">
      <alignment horizontal="left" vertical="center"/>
      <protection/>
    </xf>
    <xf numFmtId="49" fontId="19" fillId="18" borderId="0" xfId="0" applyNumberFormat="1" applyFont="1" applyFill="1" applyBorder="1" applyAlignment="1" applyProtection="1">
      <alignment horizontal="left" vertical="center"/>
      <protection/>
    </xf>
    <xf numFmtId="4" fontId="19" fillId="18" borderId="0" xfId="0" applyNumberFormat="1" applyFont="1" applyFill="1" applyBorder="1" applyAlignment="1" applyProtection="1">
      <alignment horizontal="right" vertical="center"/>
      <protection/>
    </xf>
    <xf numFmtId="49" fontId="19" fillId="18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9" fontId="16" fillId="20" borderId="0" xfId="0" applyNumberFormat="1" applyFont="1" applyFill="1" applyBorder="1" applyAlignment="1" applyProtection="1">
      <alignment horizontal="left" vertical="center"/>
      <protection/>
    </xf>
    <xf numFmtId="49" fontId="17" fillId="20" borderId="0" xfId="0" applyNumberFormat="1" applyFont="1" applyFill="1" applyBorder="1" applyAlignment="1" applyProtection="1">
      <alignment horizontal="left" vertical="center"/>
      <protection/>
    </xf>
    <xf numFmtId="4" fontId="17" fillId="20" borderId="0" xfId="0" applyNumberFormat="1" applyFont="1" applyFill="1" applyBorder="1" applyAlignment="1" applyProtection="1">
      <alignment horizontal="right" vertical="center"/>
      <protection/>
    </xf>
    <xf numFmtId="49" fontId="17" fillId="2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top"/>
      <protection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4" fontId="20" fillId="0" borderId="19" xfId="0" applyNumberFormat="1" applyFont="1" applyFill="1" applyBorder="1" applyAlignment="1" applyProtection="1">
      <alignment horizontal="right" vertical="center"/>
      <protection/>
    </xf>
    <xf numFmtId="49" fontId="20" fillId="0" borderId="19" xfId="0" applyNumberFormat="1" applyFont="1" applyFill="1" applyBorder="1" applyAlignment="1" applyProtection="1">
      <alignment horizontal="right" vertical="center"/>
      <protection/>
    </xf>
    <xf numFmtId="0" fontId="43" fillId="5" borderId="0" xfId="46" applyFont="1" applyFill="1" applyAlignment="1" applyProtection="1">
      <alignment horizontal="left"/>
      <protection/>
    </xf>
    <xf numFmtId="0" fontId="44" fillId="5" borderId="0" xfId="46" applyFont="1" applyFill="1" applyAlignment="1" applyProtection="1">
      <alignment horizontal="left"/>
      <protection/>
    </xf>
    <xf numFmtId="0" fontId="28" fillId="0" borderId="0" xfId="46" applyAlignment="1">
      <alignment horizontal="left" vertical="top"/>
      <protection locked="0"/>
    </xf>
    <xf numFmtId="0" fontId="45" fillId="5" borderId="0" xfId="46" applyFont="1" applyFill="1" applyAlignment="1" applyProtection="1">
      <alignment horizontal="left"/>
      <protection/>
    </xf>
    <xf numFmtId="0" fontId="46" fillId="5" borderId="0" xfId="46" applyFont="1" applyFill="1" applyAlignment="1" applyProtection="1">
      <alignment horizontal="left"/>
      <protection/>
    </xf>
    <xf numFmtId="0" fontId="47" fillId="21" borderId="39" xfId="46" applyFont="1" applyFill="1" applyBorder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left"/>
      <protection/>
    </xf>
    <xf numFmtId="166" fontId="45" fillId="0" borderId="0" xfId="46" applyNumberFormat="1" applyFont="1" applyAlignment="1">
      <alignment horizontal="center"/>
      <protection locked="0"/>
    </xf>
    <xf numFmtId="0" fontId="45" fillId="0" borderId="0" xfId="46" applyFont="1" applyAlignment="1">
      <alignment horizontal="left" wrapText="1"/>
      <protection locked="0"/>
    </xf>
    <xf numFmtId="167" fontId="45" fillId="0" borderId="0" xfId="46" applyNumberFormat="1" applyFont="1" applyAlignment="1">
      <alignment horizontal="right"/>
      <protection locked="0"/>
    </xf>
    <xf numFmtId="168" fontId="45" fillId="0" borderId="0" xfId="46" applyNumberFormat="1" applyFont="1" applyAlignment="1">
      <alignment horizontal="right"/>
      <protection locked="0"/>
    </xf>
    <xf numFmtId="166" fontId="46" fillId="0" borderId="40" xfId="46" applyNumberFormat="1" applyFont="1" applyBorder="1" applyAlignment="1">
      <alignment horizontal="center"/>
      <protection locked="0"/>
    </xf>
    <xf numFmtId="0" fontId="46" fillId="0" borderId="41" xfId="46" applyFont="1" applyBorder="1" applyAlignment="1">
      <alignment horizontal="left" wrapText="1"/>
      <protection locked="0"/>
    </xf>
    <xf numFmtId="167" fontId="46" fillId="0" borderId="41" xfId="46" applyNumberFormat="1" applyFont="1" applyBorder="1" applyAlignment="1">
      <alignment horizontal="right"/>
      <protection locked="0"/>
    </xf>
    <xf numFmtId="168" fontId="46" fillId="0" borderId="41" xfId="46" applyNumberFormat="1" applyFont="1" applyBorder="1" applyAlignment="1">
      <alignment horizontal="right"/>
      <protection locked="0"/>
    </xf>
    <xf numFmtId="166" fontId="46" fillId="0" borderId="42" xfId="46" applyNumberFormat="1" applyFont="1" applyBorder="1" applyAlignment="1">
      <alignment horizontal="center"/>
      <protection locked="0"/>
    </xf>
    <xf numFmtId="0" fontId="46" fillId="0" borderId="43" xfId="46" applyFont="1" applyBorder="1" applyAlignment="1">
      <alignment horizontal="left" wrapText="1"/>
      <protection locked="0"/>
    </xf>
    <xf numFmtId="167" fontId="46" fillId="0" borderId="43" xfId="46" applyNumberFormat="1" applyFont="1" applyBorder="1" applyAlignment="1">
      <alignment horizontal="right"/>
      <protection locked="0"/>
    </xf>
    <xf numFmtId="168" fontId="46" fillId="0" borderId="43" xfId="46" applyNumberFormat="1" applyFont="1" applyBorder="1" applyAlignment="1">
      <alignment horizontal="right"/>
      <protection locked="0"/>
    </xf>
    <xf numFmtId="166" fontId="48" fillId="0" borderId="0" xfId="46" applyNumberFormat="1" applyFont="1" applyAlignment="1">
      <alignment horizontal="center"/>
      <protection locked="0"/>
    </xf>
    <xf numFmtId="0" fontId="48" fillId="0" borderId="0" xfId="46" applyFont="1" applyAlignment="1">
      <alignment horizontal="left" wrapText="1"/>
      <protection locked="0"/>
    </xf>
    <xf numFmtId="167" fontId="48" fillId="0" borderId="0" xfId="46" applyNumberFormat="1" applyFont="1" applyAlignment="1">
      <alignment horizontal="right"/>
      <protection locked="0"/>
    </xf>
    <xf numFmtId="168" fontId="48" fillId="0" borderId="0" xfId="46" applyNumberFormat="1" applyFont="1" applyAlignment="1">
      <alignment horizontal="right"/>
      <protection locked="0"/>
    </xf>
    <xf numFmtId="168" fontId="49" fillId="0" borderId="0" xfId="46" applyNumberFormat="1" applyFont="1" applyAlignment="1">
      <alignment horizontal="right"/>
      <protection locked="0"/>
    </xf>
    <xf numFmtId="0" fontId="28" fillId="0" borderId="0" xfId="46" applyFont="1" applyAlignment="1">
      <alignment horizontal="left" vertical="top"/>
      <protection locked="0"/>
    </xf>
    <xf numFmtId="0" fontId="43" fillId="5" borderId="0" xfId="45" applyFont="1" applyFill="1" applyAlignment="1" applyProtection="1">
      <alignment horizontal="left"/>
      <protection/>
    </xf>
    <xf numFmtId="0" fontId="44" fillId="5" borderId="0" xfId="45" applyFont="1" applyFill="1" applyAlignment="1" applyProtection="1">
      <alignment horizontal="left"/>
      <protection/>
    </xf>
    <xf numFmtId="0" fontId="28" fillId="0" borderId="0" xfId="45" applyFont="1" applyAlignment="1">
      <alignment horizontal="left" vertical="top"/>
      <protection locked="0"/>
    </xf>
    <xf numFmtId="0" fontId="45" fillId="5" borderId="0" xfId="45" applyFont="1" applyFill="1" applyAlignment="1" applyProtection="1">
      <alignment horizontal="left"/>
      <protection/>
    </xf>
    <xf numFmtId="0" fontId="45" fillId="5" borderId="0" xfId="45" applyFont="1" applyFill="1" applyAlignment="1" applyProtection="1">
      <alignment horizontal="left"/>
      <protection/>
    </xf>
    <xf numFmtId="0" fontId="46" fillId="5" borderId="0" xfId="45" applyFont="1" applyFill="1" applyAlignment="1" applyProtection="1">
      <alignment horizontal="left"/>
      <protection/>
    </xf>
    <xf numFmtId="0" fontId="47" fillId="21" borderId="39" xfId="45" applyFont="1" applyFill="1" applyBorder="1" applyAlignment="1" applyProtection="1">
      <alignment horizontal="center" vertical="center" wrapText="1"/>
      <protection/>
    </xf>
    <xf numFmtId="0" fontId="44" fillId="0" borderId="0" xfId="45" applyFont="1" applyAlignment="1" applyProtection="1">
      <alignment horizontal="left"/>
      <protection/>
    </xf>
    <xf numFmtId="166" fontId="45" fillId="0" borderId="0" xfId="45" applyNumberFormat="1" applyFont="1" applyAlignment="1">
      <alignment horizontal="center"/>
      <protection locked="0"/>
    </xf>
    <xf numFmtId="0" fontId="45" fillId="0" borderId="0" xfId="45" applyFont="1" applyAlignment="1">
      <alignment horizontal="left" wrapText="1"/>
      <protection locked="0"/>
    </xf>
    <xf numFmtId="167" fontId="45" fillId="0" borderId="0" xfId="45" applyNumberFormat="1" applyFont="1" applyAlignment="1">
      <alignment horizontal="right"/>
      <protection locked="0"/>
    </xf>
    <xf numFmtId="168" fontId="45" fillId="0" borderId="0" xfId="45" applyNumberFormat="1" applyFont="1" applyAlignment="1">
      <alignment horizontal="right"/>
      <protection locked="0"/>
    </xf>
    <xf numFmtId="166" fontId="46" fillId="0" borderId="40" xfId="45" applyNumberFormat="1" applyFont="1" applyBorder="1" applyAlignment="1">
      <alignment horizontal="center"/>
      <protection locked="0"/>
    </xf>
    <xf numFmtId="0" fontId="46" fillId="0" borderId="41" xfId="45" applyFont="1" applyBorder="1" applyAlignment="1">
      <alignment horizontal="left" wrapText="1"/>
      <protection locked="0"/>
    </xf>
    <xf numFmtId="167" fontId="46" fillId="0" borderId="41" xfId="45" applyNumberFormat="1" applyFont="1" applyBorder="1" applyAlignment="1">
      <alignment horizontal="right"/>
      <protection locked="0"/>
    </xf>
    <xf numFmtId="168" fontId="46" fillId="0" borderId="41" xfId="45" applyNumberFormat="1" applyFont="1" applyBorder="1" applyAlignment="1">
      <alignment horizontal="right"/>
      <protection locked="0"/>
    </xf>
    <xf numFmtId="167" fontId="46" fillId="0" borderId="44" xfId="45" applyNumberFormat="1" applyFont="1" applyBorder="1" applyAlignment="1">
      <alignment horizontal="right"/>
      <protection locked="0"/>
    </xf>
    <xf numFmtId="166" fontId="46" fillId="0" borderId="42" xfId="45" applyNumberFormat="1" applyFont="1" applyBorder="1" applyAlignment="1">
      <alignment horizontal="center"/>
      <protection locked="0"/>
    </xf>
    <xf numFmtId="0" fontId="46" fillId="0" borderId="43" xfId="45" applyFont="1" applyBorder="1" applyAlignment="1">
      <alignment horizontal="left" wrapText="1"/>
      <protection locked="0"/>
    </xf>
    <xf numFmtId="167" fontId="46" fillId="0" borderId="43" xfId="45" applyNumberFormat="1" applyFont="1" applyBorder="1" applyAlignment="1">
      <alignment horizontal="right"/>
      <protection locked="0"/>
    </xf>
    <xf numFmtId="168" fontId="46" fillId="0" borderId="43" xfId="45" applyNumberFormat="1" applyFont="1" applyBorder="1" applyAlignment="1">
      <alignment horizontal="right"/>
      <protection locked="0"/>
    </xf>
    <xf numFmtId="167" fontId="46" fillId="0" borderId="45" xfId="45" applyNumberFormat="1" applyFont="1" applyBorder="1" applyAlignment="1">
      <alignment horizontal="right"/>
      <protection locked="0"/>
    </xf>
    <xf numFmtId="166" fontId="46" fillId="0" borderId="46" xfId="45" applyNumberFormat="1" applyFont="1" applyBorder="1" applyAlignment="1">
      <alignment horizontal="center"/>
      <protection locked="0"/>
    </xf>
    <xf numFmtId="0" fontId="46" fillId="0" borderId="47" xfId="45" applyFont="1" applyBorder="1" applyAlignment="1">
      <alignment horizontal="left" wrapText="1"/>
      <protection locked="0"/>
    </xf>
    <xf numFmtId="167" fontId="46" fillId="0" borderId="47" xfId="45" applyNumberFormat="1" applyFont="1" applyBorder="1" applyAlignment="1">
      <alignment horizontal="right"/>
      <protection locked="0"/>
    </xf>
    <xf numFmtId="168" fontId="46" fillId="0" borderId="47" xfId="45" applyNumberFormat="1" applyFont="1" applyBorder="1" applyAlignment="1">
      <alignment horizontal="right"/>
      <protection locked="0"/>
    </xf>
    <xf numFmtId="167" fontId="46" fillId="0" borderId="48" xfId="45" applyNumberFormat="1" applyFont="1" applyBorder="1" applyAlignment="1">
      <alignment horizontal="right"/>
      <protection locked="0"/>
    </xf>
    <xf numFmtId="0" fontId="28" fillId="0" borderId="0" xfId="45" applyAlignment="1">
      <alignment horizontal="left" vertical="top"/>
      <protection locked="0"/>
    </xf>
    <xf numFmtId="168" fontId="50" fillId="0" borderId="0" xfId="45" applyNumberFormat="1" applyFont="1" applyAlignment="1">
      <alignment horizontal="left" vertical="top"/>
      <protection locked="0"/>
    </xf>
    <xf numFmtId="0" fontId="11" fillId="0" borderId="49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center" vertical="center" wrapText="1"/>
      <protection/>
    </xf>
    <xf numFmtId="0" fontId="13" fillId="0" borderId="52" xfId="0" applyNumberFormat="1" applyFont="1" applyFill="1" applyBorder="1" applyAlignment="1" applyProtection="1">
      <alignment horizontal="center" vertical="center" wrapText="1"/>
      <protection/>
    </xf>
    <xf numFmtId="0" fontId="13" fillId="0" borderId="53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54" xfId="0" applyNumberFormat="1" applyFont="1" applyFill="1" applyBorder="1" applyAlignment="1" applyProtection="1">
      <alignment horizontal="left" vertical="center"/>
      <protection/>
    </xf>
    <xf numFmtId="49" fontId="10" fillId="19" borderId="55" xfId="0" applyNumberFormat="1" applyFont="1" applyFill="1" applyBorder="1" applyAlignment="1" applyProtection="1">
      <alignment horizontal="left" vertical="center"/>
      <protection/>
    </xf>
    <xf numFmtId="0" fontId="10" fillId="19" borderId="56" xfId="0" applyNumberFormat="1" applyFont="1" applyFill="1" applyBorder="1" applyAlignment="1" applyProtection="1">
      <alignment horizontal="left" vertical="center"/>
      <protection/>
    </xf>
    <xf numFmtId="49" fontId="11" fillId="0" borderId="57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58" xfId="0" applyNumberFormat="1" applyFont="1" applyFill="1" applyBorder="1" applyAlignment="1" applyProtection="1">
      <alignment horizontal="left" vertical="center"/>
      <protection/>
    </xf>
    <xf numFmtId="49" fontId="10" fillId="0" borderId="55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55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49" fontId="12" fillId="0" borderId="55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14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9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61" xfId="0" applyNumberFormat="1" applyFont="1" applyFill="1" applyBorder="1" applyAlignment="1" applyProtection="1">
      <alignment horizontal="left" vertical="center"/>
      <protection/>
    </xf>
    <xf numFmtId="0" fontId="3" fillId="0" borderId="62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49" fontId="1" fillId="0" borderId="6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65" xfId="0" applyNumberFormat="1" applyFont="1" applyFill="1" applyBorder="1" applyAlignment="1" applyProtection="1">
      <alignment horizontal="left" vertical="center"/>
      <protection/>
    </xf>
    <xf numFmtId="49" fontId="3" fillId="0" borderId="66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67" xfId="0" applyNumberFormat="1" applyFont="1" applyFill="1" applyBorder="1" applyAlignment="1" applyProtection="1">
      <alignment horizontal="left" vertical="center"/>
      <protection/>
    </xf>
    <xf numFmtId="49" fontId="10" fillId="0" borderId="66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67" xfId="0" applyNumberFormat="1" applyFont="1" applyFill="1" applyBorder="1" applyAlignment="1" applyProtection="1">
      <alignment horizontal="left" vertical="center"/>
      <protection/>
    </xf>
    <xf numFmtId="4" fontId="10" fillId="0" borderId="66" xfId="0" applyNumberFormat="1" applyFont="1" applyFill="1" applyBorder="1" applyAlignment="1" applyProtection="1">
      <alignment horizontal="right" vertical="center"/>
      <protection/>
    </xf>
    <xf numFmtId="0" fontId="10" fillId="0" borderId="30" xfId="0" applyNumberFormat="1" applyFont="1" applyFill="1" applyBorder="1" applyAlignment="1" applyProtection="1">
      <alignment horizontal="right" vertical="center"/>
      <protection/>
    </xf>
    <xf numFmtId="0" fontId="10" fillId="0" borderId="67" xfId="0" applyNumberFormat="1" applyFont="1" applyFill="1" applyBorder="1" applyAlignment="1" applyProtection="1">
      <alignment horizontal="right" vertical="center"/>
      <protection/>
    </xf>
    <xf numFmtId="49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68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69" xfId="0" applyNumberFormat="1" applyFont="1" applyFill="1" applyBorder="1" applyAlignment="1" applyProtection="1">
      <alignment horizontal="left" vertical="center"/>
      <protection/>
    </xf>
    <xf numFmtId="49" fontId="1" fillId="0" borderId="70" xfId="0" applyNumberFormat="1" applyFont="1" applyFill="1" applyBorder="1" applyAlignment="1" applyProtection="1">
      <alignment horizontal="left" vertical="center"/>
      <protection/>
    </xf>
    <xf numFmtId="0" fontId="1" fillId="0" borderId="58" xfId="0" applyNumberFormat="1" applyFont="1" applyFill="1" applyBorder="1" applyAlignment="1" applyProtection="1">
      <alignment horizontal="left" vertical="center"/>
      <protection/>
    </xf>
    <xf numFmtId="49" fontId="3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6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49" fontId="19" fillId="18" borderId="0" xfId="0" applyNumberFormat="1" applyFont="1" applyFill="1" applyBorder="1" applyAlignment="1" applyProtection="1">
      <alignment horizontal="left" vertical="center"/>
      <protection/>
    </xf>
    <xf numFmtId="0" fontId="19" fillId="18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49" fontId="17" fillId="20" borderId="0" xfId="0" applyNumberFormat="1" applyFont="1" applyFill="1" applyBorder="1" applyAlignment="1" applyProtection="1">
      <alignment horizontal="left" vertical="center"/>
      <protection/>
    </xf>
    <xf numFmtId="0" fontId="17" fillId="20" borderId="0" xfId="0" applyNumberFormat="1" applyFont="1" applyFill="1" applyBorder="1" applyAlignment="1" applyProtection="1">
      <alignment horizontal="left" vertical="center"/>
      <protection/>
    </xf>
    <xf numFmtId="49" fontId="17" fillId="20" borderId="18" xfId="0" applyNumberFormat="1" applyFont="1" applyFill="1" applyBorder="1" applyAlignment="1" applyProtection="1">
      <alignment horizontal="left" vertical="center"/>
      <protection/>
    </xf>
    <xf numFmtId="0" fontId="17" fillId="20" borderId="18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3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69" xfId="0" applyNumberFormat="1" applyFont="1" applyFill="1" applyBorder="1" applyAlignment="1" applyProtection="1">
      <alignment horizontal="left" vertical="center"/>
      <protection/>
    </xf>
    <xf numFmtId="49" fontId="15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62" xfId="0" applyNumberFormat="1" applyFont="1" applyFill="1" applyBorder="1" applyAlignment="1" applyProtection="1">
      <alignment horizontal="center" vertical="center"/>
      <protection/>
    </xf>
    <xf numFmtId="0" fontId="15" fillId="0" borderId="63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68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14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49" fontId="24" fillId="0" borderId="19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6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25" xfId="0" applyNumberFormat="1" applyFont="1" applyFill="1" applyBorder="1" applyAlignment="1" applyProtection="1">
      <alignment horizontal="left" vertical="center"/>
      <protection/>
    </xf>
    <xf numFmtId="49" fontId="20" fillId="21" borderId="0" xfId="0" applyNumberFormat="1" applyFont="1" applyFill="1" applyBorder="1" applyAlignment="1" applyProtection="1">
      <alignment horizontal="left" vertical="center"/>
      <protection/>
    </xf>
    <xf numFmtId="4" fontId="20" fillId="21" borderId="0" xfId="0" applyNumberFormat="1" applyFont="1" applyFill="1" applyBorder="1" applyAlignment="1" applyProtection="1">
      <alignment horizontal="right" vertical="center"/>
      <protection/>
    </xf>
    <xf numFmtId="49" fontId="21" fillId="21" borderId="0" xfId="0" applyNumberFormat="1" applyFont="1" applyFill="1" applyBorder="1" applyAlignment="1" applyProtection="1">
      <alignment horizontal="left" vertical="center"/>
      <protection/>
    </xf>
    <xf numFmtId="0" fontId="14" fillId="21" borderId="0" xfId="0" applyFont="1" applyFill="1" applyAlignment="1">
      <alignment vertical="center"/>
    </xf>
    <xf numFmtId="4" fontId="21" fillId="21" borderId="0" xfId="0" applyNumberFormat="1" applyFont="1" applyFill="1" applyBorder="1" applyAlignment="1" applyProtection="1">
      <alignment horizontal="right" vertical="center"/>
      <protection/>
    </xf>
    <xf numFmtId="49" fontId="20" fillId="21" borderId="19" xfId="0" applyNumberFormat="1" applyFont="1" applyFill="1" applyBorder="1" applyAlignment="1" applyProtection="1">
      <alignment horizontal="left" vertical="center"/>
      <protection/>
    </xf>
    <xf numFmtId="4" fontId="20" fillId="21" borderId="19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OK II.etapa" xfId="45"/>
    <cellStyle name="normální_technologie 1.et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FF8080"/>
      <rgbColor rgb="00000000"/>
      <rgbColor rgb="00C0C0C0"/>
      <rgbColor rgb="00000000"/>
      <rgbColor rgb="00000000"/>
      <rgbColor rgb="00008000"/>
      <rgbColor rgb="00000000"/>
      <rgbColor rgb="000000A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2</xdr:col>
      <xdr:colOff>95250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D23" sqref="D23:E2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7.5" customHeight="1">
      <c r="A1" s="149" t="s">
        <v>829</v>
      </c>
      <c r="B1" s="150"/>
      <c r="C1" s="150"/>
      <c r="D1" s="150"/>
      <c r="E1" s="150"/>
      <c r="F1" s="150"/>
      <c r="G1" s="150"/>
      <c r="H1" s="150"/>
      <c r="I1" s="151"/>
    </row>
    <row r="2" spans="1:10" ht="12.75">
      <c r="A2" s="180" t="s">
        <v>1</v>
      </c>
      <c r="B2" s="181"/>
      <c r="C2" s="182" t="s">
        <v>410</v>
      </c>
      <c r="D2" s="183"/>
      <c r="E2" s="178" t="s">
        <v>745</v>
      </c>
      <c r="F2" s="178" t="s">
        <v>750</v>
      </c>
      <c r="G2" s="181"/>
      <c r="H2" s="178" t="s">
        <v>854</v>
      </c>
      <c r="I2" s="179"/>
      <c r="J2" s="14"/>
    </row>
    <row r="3" spans="1:10" ht="12.75">
      <c r="A3" s="174"/>
      <c r="B3" s="148"/>
      <c r="C3" s="184"/>
      <c r="D3" s="184"/>
      <c r="E3" s="148"/>
      <c r="F3" s="148"/>
      <c r="G3" s="148"/>
      <c r="H3" s="148"/>
      <c r="I3" s="177"/>
      <c r="J3" s="14"/>
    </row>
    <row r="4" spans="1:10" ht="12.75">
      <c r="A4" s="173" t="s">
        <v>2</v>
      </c>
      <c r="B4" s="148"/>
      <c r="C4" s="147"/>
      <c r="D4" s="148"/>
      <c r="E4" s="147" t="s">
        <v>746</v>
      </c>
      <c r="F4" s="147" t="s">
        <v>751</v>
      </c>
      <c r="G4" s="148"/>
      <c r="H4" s="147" t="s">
        <v>854</v>
      </c>
      <c r="I4" s="176"/>
      <c r="J4" s="14"/>
    </row>
    <row r="5" spans="1:10" ht="12.75">
      <c r="A5" s="174"/>
      <c r="B5" s="148"/>
      <c r="C5" s="148"/>
      <c r="D5" s="148"/>
      <c r="E5" s="148"/>
      <c r="F5" s="148"/>
      <c r="G5" s="148"/>
      <c r="H5" s="148"/>
      <c r="I5" s="177"/>
      <c r="J5" s="14"/>
    </row>
    <row r="6" spans="1:10" ht="12.75">
      <c r="A6" s="173" t="s">
        <v>3</v>
      </c>
      <c r="B6" s="148"/>
      <c r="C6" s="147" t="s">
        <v>411</v>
      </c>
      <c r="D6" s="148"/>
      <c r="E6" s="147" t="s">
        <v>747</v>
      </c>
      <c r="F6" s="147" t="s">
        <v>752</v>
      </c>
      <c r="G6" s="148"/>
      <c r="H6" s="147" t="s">
        <v>854</v>
      </c>
      <c r="I6" s="176"/>
      <c r="J6" s="14"/>
    </row>
    <row r="7" spans="1:10" ht="12.75">
      <c r="A7" s="174"/>
      <c r="B7" s="148"/>
      <c r="C7" s="148"/>
      <c r="D7" s="148"/>
      <c r="E7" s="148"/>
      <c r="F7" s="148"/>
      <c r="G7" s="148"/>
      <c r="H7" s="148"/>
      <c r="I7" s="177"/>
      <c r="J7" s="14"/>
    </row>
    <row r="8" spans="1:10" ht="12.75">
      <c r="A8" s="173" t="s">
        <v>726</v>
      </c>
      <c r="B8" s="148"/>
      <c r="C8" s="169" t="s">
        <v>6</v>
      </c>
      <c r="D8" s="148"/>
      <c r="E8" s="147" t="s">
        <v>727</v>
      </c>
      <c r="F8" s="148"/>
      <c r="G8" s="148"/>
      <c r="H8" s="169" t="s">
        <v>855</v>
      </c>
      <c r="I8" s="176" t="s">
        <v>203</v>
      </c>
      <c r="J8" s="14"/>
    </row>
    <row r="9" spans="1:10" ht="12.75">
      <c r="A9" s="174"/>
      <c r="B9" s="148"/>
      <c r="C9" s="148"/>
      <c r="D9" s="148"/>
      <c r="E9" s="148"/>
      <c r="F9" s="148"/>
      <c r="G9" s="148"/>
      <c r="H9" s="148"/>
      <c r="I9" s="177"/>
      <c r="J9" s="14"/>
    </row>
    <row r="10" spans="1:10" ht="12.75">
      <c r="A10" s="173" t="s">
        <v>4</v>
      </c>
      <c r="B10" s="148"/>
      <c r="C10" s="147">
        <v>8118999</v>
      </c>
      <c r="D10" s="148"/>
      <c r="E10" s="147" t="s">
        <v>748</v>
      </c>
      <c r="F10" s="147" t="s">
        <v>753</v>
      </c>
      <c r="G10" s="148"/>
      <c r="H10" s="169" t="s">
        <v>856</v>
      </c>
      <c r="I10" s="171">
        <v>42348</v>
      </c>
      <c r="J10" s="14"/>
    </row>
    <row r="11" spans="1:10" ht="12.75">
      <c r="A11" s="175"/>
      <c r="B11" s="170"/>
      <c r="C11" s="170"/>
      <c r="D11" s="170"/>
      <c r="E11" s="170"/>
      <c r="F11" s="170"/>
      <c r="G11" s="170"/>
      <c r="H11" s="170"/>
      <c r="I11" s="172"/>
      <c r="J11" s="14"/>
    </row>
    <row r="12" spans="1:9" ht="23.25" customHeight="1">
      <c r="A12" s="165" t="s">
        <v>814</v>
      </c>
      <c r="B12" s="166"/>
      <c r="C12" s="166"/>
      <c r="D12" s="166"/>
      <c r="E12" s="166"/>
      <c r="F12" s="166"/>
      <c r="G12" s="166"/>
      <c r="H12" s="166"/>
      <c r="I12" s="166"/>
    </row>
    <row r="13" spans="1:10" ht="26.25" customHeight="1">
      <c r="A13" s="28" t="s">
        <v>815</v>
      </c>
      <c r="B13" s="167" t="s">
        <v>827</v>
      </c>
      <c r="C13" s="168"/>
      <c r="D13" s="28" t="s">
        <v>830</v>
      </c>
      <c r="E13" s="167" t="s">
        <v>839</v>
      </c>
      <c r="F13" s="168"/>
      <c r="G13" s="28" t="s">
        <v>840</v>
      </c>
      <c r="H13" s="167" t="s">
        <v>857</v>
      </c>
      <c r="I13" s="168"/>
      <c r="J13" s="14"/>
    </row>
    <row r="14" spans="1:10" ht="15" customHeight="1">
      <c r="A14" s="29" t="s">
        <v>816</v>
      </c>
      <c r="B14" s="33" t="s">
        <v>828</v>
      </c>
      <c r="C14" s="37">
        <f>SUM('Stavební rozpočet'!R12:R449)</f>
        <v>0</v>
      </c>
      <c r="D14" s="163" t="s">
        <v>831</v>
      </c>
      <c r="E14" s="164"/>
      <c r="F14" s="37">
        <f>VORN!I15</f>
        <v>0</v>
      </c>
      <c r="G14" s="163" t="s">
        <v>841</v>
      </c>
      <c r="H14" s="164"/>
      <c r="I14" s="37">
        <f>VORN!I21</f>
        <v>0</v>
      </c>
      <c r="J14" s="14"/>
    </row>
    <row r="15" spans="1:10" ht="15" customHeight="1">
      <c r="A15" s="30"/>
      <c r="B15" s="33" t="s">
        <v>749</v>
      </c>
      <c r="C15" s="37">
        <f>SUM('Stavební rozpočet'!S12:S449)</f>
        <v>0</v>
      </c>
      <c r="D15" s="163" t="s">
        <v>832</v>
      </c>
      <c r="E15" s="164"/>
      <c r="F15" s="37">
        <f>VORN!I16</f>
        <v>0</v>
      </c>
      <c r="G15" s="163" t="s">
        <v>842</v>
      </c>
      <c r="H15" s="164"/>
      <c r="I15" s="37">
        <f>VORN!I22</f>
        <v>0</v>
      </c>
      <c r="J15" s="14"/>
    </row>
    <row r="16" spans="1:10" ht="15" customHeight="1">
      <c r="A16" s="29" t="s">
        <v>817</v>
      </c>
      <c r="B16" s="33" t="s">
        <v>828</v>
      </c>
      <c r="C16" s="37">
        <f>SUM('Stavební rozpočet'!T12:T449)</f>
        <v>0</v>
      </c>
      <c r="D16" s="163" t="s">
        <v>833</v>
      </c>
      <c r="E16" s="164"/>
      <c r="F16" s="37">
        <f>VORN!I17</f>
        <v>0</v>
      </c>
      <c r="G16" s="163" t="s">
        <v>843</v>
      </c>
      <c r="H16" s="164"/>
      <c r="I16" s="37">
        <f>VORN!I23</f>
        <v>0</v>
      </c>
      <c r="J16" s="14"/>
    </row>
    <row r="17" spans="1:10" ht="15" customHeight="1">
      <c r="A17" s="30"/>
      <c r="B17" s="33" t="s">
        <v>749</v>
      </c>
      <c r="C17" s="37">
        <f>SUM('Stavební rozpočet'!U12:U449)</f>
        <v>0</v>
      </c>
      <c r="D17" s="163"/>
      <c r="E17" s="164"/>
      <c r="F17" s="38"/>
      <c r="G17" s="163" t="s">
        <v>844</v>
      </c>
      <c r="H17" s="164"/>
      <c r="I17" s="37">
        <f>VORN!I24</f>
        <v>0</v>
      </c>
      <c r="J17" s="14"/>
    </row>
    <row r="18" spans="1:10" ht="15" customHeight="1">
      <c r="A18" s="29" t="s">
        <v>818</v>
      </c>
      <c r="B18" s="33" t="s">
        <v>828</v>
      </c>
      <c r="C18" s="37">
        <f>SUM('Stavební rozpočet'!V12:V449)</f>
        <v>0</v>
      </c>
      <c r="D18" s="163"/>
      <c r="E18" s="164"/>
      <c r="F18" s="38"/>
      <c r="G18" s="163" t="s">
        <v>845</v>
      </c>
      <c r="H18" s="164"/>
      <c r="I18" s="37">
        <f>VORN!I25</f>
        <v>0</v>
      </c>
      <c r="J18" s="14"/>
    </row>
    <row r="19" spans="1:10" ht="15" customHeight="1">
      <c r="A19" s="30"/>
      <c r="B19" s="33" t="s">
        <v>749</v>
      </c>
      <c r="C19" s="37">
        <f>SUM('Stavební rozpočet'!W12:W449)</f>
        <v>0</v>
      </c>
      <c r="D19" s="163"/>
      <c r="E19" s="164"/>
      <c r="F19" s="38"/>
      <c r="G19" s="163" t="s">
        <v>846</v>
      </c>
      <c r="H19" s="164"/>
      <c r="I19" s="37">
        <f>VORN!I26</f>
        <v>0</v>
      </c>
      <c r="J19" s="14"/>
    </row>
    <row r="20" spans="1:10" ht="15" customHeight="1">
      <c r="A20" s="161" t="s">
        <v>819</v>
      </c>
      <c r="B20" s="162"/>
      <c r="C20" s="37">
        <f>SUM('Stavební rozpočet'!X12:X449)</f>
        <v>0</v>
      </c>
      <c r="D20" s="163"/>
      <c r="E20" s="164"/>
      <c r="F20" s="38"/>
      <c r="G20" s="163"/>
      <c r="H20" s="164"/>
      <c r="I20" s="38"/>
      <c r="J20" s="14"/>
    </row>
    <row r="21" spans="1:10" ht="15" customHeight="1">
      <c r="A21" s="161" t="s">
        <v>820</v>
      </c>
      <c r="B21" s="162"/>
      <c r="C21" s="37">
        <f>SUM('Stavební rozpočet'!P12:P449)</f>
        <v>0</v>
      </c>
      <c r="D21" s="163"/>
      <c r="E21" s="164"/>
      <c r="F21" s="38"/>
      <c r="G21" s="163"/>
      <c r="H21" s="164"/>
      <c r="I21" s="38"/>
      <c r="J21" s="14"/>
    </row>
    <row r="22" spans="1:10" ht="16.5" customHeight="1">
      <c r="A22" s="161" t="s">
        <v>821</v>
      </c>
      <c r="B22" s="162"/>
      <c r="C22" s="37">
        <f>SUM(C14:C21)</f>
        <v>0</v>
      </c>
      <c r="D22" s="161" t="s">
        <v>834</v>
      </c>
      <c r="E22" s="162"/>
      <c r="F22" s="37">
        <f>SUM(F14:F21)</f>
        <v>0</v>
      </c>
      <c r="G22" s="161" t="s">
        <v>847</v>
      </c>
      <c r="H22" s="162"/>
      <c r="I22" s="37">
        <f>SUM(I14:I21)</f>
        <v>0</v>
      </c>
      <c r="J22" s="14"/>
    </row>
    <row r="23" spans="1:10" ht="15" customHeight="1">
      <c r="A23" s="2"/>
      <c r="B23" s="2"/>
      <c r="C23" s="35"/>
      <c r="D23" s="161" t="s">
        <v>835</v>
      </c>
      <c r="E23" s="162"/>
      <c r="F23" s="39">
        <v>0</v>
      </c>
      <c r="G23" s="161" t="s">
        <v>848</v>
      </c>
      <c r="H23" s="162"/>
      <c r="I23" s="37">
        <v>2360.35</v>
      </c>
      <c r="J23" s="14"/>
    </row>
    <row r="24" spans="4:10" ht="15" customHeight="1">
      <c r="D24" s="2"/>
      <c r="E24" s="2"/>
      <c r="F24" s="40"/>
      <c r="G24" s="161" t="s">
        <v>849</v>
      </c>
      <c r="H24" s="162"/>
      <c r="I24" s="37">
        <f>vorn_sum</f>
        <v>0</v>
      </c>
      <c r="J24" s="14"/>
    </row>
    <row r="25" spans="6:10" ht="15" customHeight="1">
      <c r="F25" s="41"/>
      <c r="G25" s="161" t="s">
        <v>850</v>
      </c>
      <c r="H25" s="162"/>
      <c r="I25" s="37">
        <v>0</v>
      </c>
      <c r="J25" s="14"/>
    </row>
    <row r="26" spans="1:9" ht="12.75">
      <c r="A26" s="27"/>
      <c r="B26" s="27"/>
      <c r="C26" s="27"/>
      <c r="G26" s="2"/>
      <c r="H26" s="2"/>
      <c r="I26" s="2"/>
    </row>
    <row r="27" spans="1:9" ht="15" customHeight="1">
      <c r="A27" s="156" t="s">
        <v>822</v>
      </c>
      <c r="B27" s="157"/>
      <c r="C27" s="42">
        <f>SUM('Stavební rozpočet'!Z12:Z449)</f>
        <v>0</v>
      </c>
      <c r="D27" s="36"/>
      <c r="E27" s="27"/>
      <c r="F27" s="27"/>
      <c r="G27" s="27"/>
      <c r="H27" s="27"/>
      <c r="I27" s="27"/>
    </row>
    <row r="28" spans="1:10" ht="15" customHeight="1">
      <c r="A28" s="156" t="s">
        <v>823</v>
      </c>
      <c r="B28" s="157"/>
      <c r="C28" s="42">
        <f>SUM('Stavební rozpočet'!AA12:AA449)</f>
        <v>0</v>
      </c>
      <c r="D28" s="156" t="s">
        <v>836</v>
      </c>
      <c r="E28" s="157"/>
      <c r="F28" s="42">
        <f>ROUND(C28*(15/100),2)</f>
        <v>0</v>
      </c>
      <c r="G28" s="156" t="s">
        <v>851</v>
      </c>
      <c r="H28" s="157"/>
      <c r="I28" s="42">
        <f>SUM(C27:C29)</f>
        <v>2360.35</v>
      </c>
      <c r="J28" s="14"/>
    </row>
    <row r="29" spans="1:10" ht="15" customHeight="1">
      <c r="A29" s="156" t="s">
        <v>824</v>
      </c>
      <c r="B29" s="157"/>
      <c r="C29" s="42">
        <f>SUM('Stavební rozpočet'!AB12:AB449)+(F22+I22+F23+I23+I24+I25)</f>
        <v>2360.35</v>
      </c>
      <c r="D29" s="156" t="s">
        <v>837</v>
      </c>
      <c r="E29" s="157"/>
      <c r="F29" s="42">
        <f>ROUND(C29*(21/100),2)</f>
        <v>495.67</v>
      </c>
      <c r="G29" s="156" t="s">
        <v>852</v>
      </c>
      <c r="H29" s="157"/>
      <c r="I29" s="42">
        <f>SUM(F28:F29)+I28</f>
        <v>2856.02</v>
      </c>
      <c r="J29" s="14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10" ht="14.25" customHeight="1">
      <c r="A31" s="158" t="s">
        <v>825</v>
      </c>
      <c r="B31" s="159"/>
      <c r="C31" s="160"/>
      <c r="D31" s="158" t="s">
        <v>838</v>
      </c>
      <c r="E31" s="159"/>
      <c r="F31" s="160"/>
      <c r="G31" s="158" t="s">
        <v>853</v>
      </c>
      <c r="H31" s="159"/>
      <c r="I31" s="160"/>
      <c r="J31" s="15"/>
    </row>
    <row r="32" spans="1:10" ht="14.25" customHeight="1">
      <c r="A32" s="152"/>
      <c r="B32" s="153"/>
      <c r="C32" s="145"/>
      <c r="D32" s="152"/>
      <c r="E32" s="153"/>
      <c r="F32" s="145"/>
      <c r="G32" s="152"/>
      <c r="H32" s="153"/>
      <c r="I32" s="145"/>
      <c r="J32" s="15"/>
    </row>
    <row r="33" spans="1:10" ht="14.25" customHeight="1">
      <c r="A33" s="152"/>
      <c r="B33" s="153"/>
      <c r="C33" s="145"/>
      <c r="D33" s="152"/>
      <c r="E33" s="153"/>
      <c r="F33" s="145"/>
      <c r="G33" s="152"/>
      <c r="H33" s="153"/>
      <c r="I33" s="145"/>
      <c r="J33" s="15"/>
    </row>
    <row r="34" spans="1:10" ht="14.25" customHeight="1">
      <c r="A34" s="152"/>
      <c r="B34" s="153"/>
      <c r="C34" s="145"/>
      <c r="D34" s="152"/>
      <c r="E34" s="153"/>
      <c r="F34" s="145"/>
      <c r="G34" s="152"/>
      <c r="H34" s="153"/>
      <c r="I34" s="145"/>
      <c r="J34" s="15"/>
    </row>
    <row r="35" spans="1:10" ht="14.25" customHeight="1">
      <c r="A35" s="146" t="s">
        <v>826</v>
      </c>
      <c r="B35" s="154"/>
      <c r="C35" s="155"/>
      <c r="D35" s="146" t="s">
        <v>826</v>
      </c>
      <c r="E35" s="154"/>
      <c r="F35" s="155"/>
      <c r="G35" s="146" t="s">
        <v>826</v>
      </c>
      <c r="H35" s="154"/>
      <c r="I35" s="155"/>
      <c r="J35" s="15"/>
    </row>
    <row r="36" spans="1:9" ht="11.25" customHeight="1">
      <c r="A36" s="32" t="s">
        <v>204</v>
      </c>
      <c r="B36" s="34"/>
      <c r="C36" s="34"/>
      <c r="D36" s="34"/>
      <c r="E36" s="34"/>
      <c r="F36" s="34"/>
      <c r="G36" s="34"/>
      <c r="H36" s="34"/>
      <c r="I36" s="34"/>
    </row>
    <row r="37" spans="1:9" ht="409.5" customHeight="1" hidden="1">
      <c r="A37" s="147"/>
      <c r="B37" s="148"/>
      <c r="C37" s="148"/>
      <c r="D37" s="148"/>
      <c r="E37" s="148"/>
      <c r="F37" s="148"/>
      <c r="G37" s="148"/>
      <c r="H37" s="148"/>
      <c r="I37" s="148"/>
    </row>
  </sheetData>
  <mergeCells count="83">
    <mergeCell ref="H2:H3"/>
    <mergeCell ref="I2:I3"/>
    <mergeCell ref="A2:B3"/>
    <mergeCell ref="C2:D3"/>
    <mergeCell ref="E2:E3"/>
    <mergeCell ref="F2:G3"/>
    <mergeCell ref="A4:B5"/>
    <mergeCell ref="C4:D5"/>
    <mergeCell ref="E4:E5"/>
    <mergeCell ref="F4:G5"/>
    <mergeCell ref="H8:H9"/>
    <mergeCell ref="I8:I9"/>
    <mergeCell ref="A6:B7"/>
    <mergeCell ref="C6:D7"/>
    <mergeCell ref="E6:E7"/>
    <mergeCell ref="F6:G7"/>
    <mergeCell ref="H4:H5"/>
    <mergeCell ref="I4:I5"/>
    <mergeCell ref="H6:H7"/>
    <mergeCell ref="I6:I7"/>
    <mergeCell ref="H10:H11"/>
    <mergeCell ref="I10:I11"/>
    <mergeCell ref="A8:B9"/>
    <mergeCell ref="C8:D9"/>
    <mergeCell ref="A10:B11"/>
    <mergeCell ref="C10:D11"/>
    <mergeCell ref="E10:E11"/>
    <mergeCell ref="F10:G11"/>
    <mergeCell ref="E8:E9"/>
    <mergeCell ref="F8:G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G32:I32"/>
    <mergeCell ref="A33:C33"/>
    <mergeCell ref="D33:F33"/>
    <mergeCell ref="G33:I33"/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3" sqref="A13:E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40.5" customHeight="1">
      <c r="A1" s="149" t="s">
        <v>866</v>
      </c>
      <c r="B1" s="150"/>
      <c r="C1" s="150"/>
      <c r="D1" s="150"/>
      <c r="E1" s="150"/>
      <c r="F1" s="150"/>
      <c r="G1" s="150"/>
      <c r="H1" s="150"/>
      <c r="I1" s="151"/>
    </row>
    <row r="2" spans="1:10" ht="12.75">
      <c r="A2" s="180" t="s">
        <v>1</v>
      </c>
      <c r="B2" s="181"/>
      <c r="C2" s="182" t="s">
        <v>410</v>
      </c>
      <c r="D2" s="183"/>
      <c r="E2" s="178" t="s">
        <v>745</v>
      </c>
      <c r="F2" s="178" t="s">
        <v>750</v>
      </c>
      <c r="G2" s="181"/>
      <c r="H2" s="178" t="s">
        <v>854</v>
      </c>
      <c r="I2" s="179"/>
      <c r="J2" s="14"/>
    </row>
    <row r="3" spans="1:10" ht="12.75">
      <c r="A3" s="174"/>
      <c r="B3" s="148"/>
      <c r="C3" s="184"/>
      <c r="D3" s="184"/>
      <c r="E3" s="148"/>
      <c r="F3" s="148"/>
      <c r="G3" s="148"/>
      <c r="H3" s="148"/>
      <c r="I3" s="177"/>
      <c r="J3" s="14"/>
    </row>
    <row r="4" spans="1:10" ht="12.75">
      <c r="A4" s="173" t="s">
        <v>2</v>
      </c>
      <c r="B4" s="148"/>
      <c r="C4" s="147"/>
      <c r="D4" s="148"/>
      <c r="E4" s="147" t="s">
        <v>746</v>
      </c>
      <c r="F4" s="147" t="s">
        <v>751</v>
      </c>
      <c r="G4" s="148"/>
      <c r="H4" s="147" t="s">
        <v>854</v>
      </c>
      <c r="I4" s="176"/>
      <c r="J4" s="14"/>
    </row>
    <row r="5" spans="1:10" ht="12.75">
      <c r="A5" s="174"/>
      <c r="B5" s="148"/>
      <c r="C5" s="148"/>
      <c r="D5" s="148"/>
      <c r="E5" s="148"/>
      <c r="F5" s="148"/>
      <c r="G5" s="148"/>
      <c r="H5" s="148"/>
      <c r="I5" s="177"/>
      <c r="J5" s="14"/>
    </row>
    <row r="6" spans="1:10" ht="12.75">
      <c r="A6" s="173" t="s">
        <v>3</v>
      </c>
      <c r="B6" s="148"/>
      <c r="C6" s="147" t="s">
        <v>411</v>
      </c>
      <c r="D6" s="148"/>
      <c r="E6" s="147" t="s">
        <v>747</v>
      </c>
      <c r="F6" s="147" t="s">
        <v>752</v>
      </c>
      <c r="G6" s="148"/>
      <c r="H6" s="147" t="s">
        <v>854</v>
      </c>
      <c r="I6" s="176"/>
      <c r="J6" s="14"/>
    </row>
    <row r="7" spans="1:10" ht="12.75">
      <c r="A7" s="174"/>
      <c r="B7" s="148"/>
      <c r="C7" s="148"/>
      <c r="D7" s="148"/>
      <c r="E7" s="148"/>
      <c r="F7" s="148"/>
      <c r="G7" s="148"/>
      <c r="H7" s="148"/>
      <c r="I7" s="177"/>
      <c r="J7" s="14"/>
    </row>
    <row r="8" spans="1:10" ht="12.75">
      <c r="A8" s="173" t="s">
        <v>726</v>
      </c>
      <c r="B8" s="148"/>
      <c r="C8" s="169" t="s">
        <v>6</v>
      </c>
      <c r="D8" s="148"/>
      <c r="E8" s="147" t="s">
        <v>727</v>
      </c>
      <c r="F8" s="148"/>
      <c r="G8" s="148"/>
      <c r="H8" s="169" t="s">
        <v>855</v>
      </c>
      <c r="I8" s="176" t="s">
        <v>203</v>
      </c>
      <c r="J8" s="14"/>
    </row>
    <row r="9" spans="1:10" ht="12.75">
      <c r="A9" s="174"/>
      <c r="B9" s="148"/>
      <c r="C9" s="148"/>
      <c r="D9" s="148"/>
      <c r="E9" s="148"/>
      <c r="F9" s="148"/>
      <c r="G9" s="148"/>
      <c r="H9" s="148"/>
      <c r="I9" s="177"/>
      <c r="J9" s="14"/>
    </row>
    <row r="10" spans="1:10" ht="12.75">
      <c r="A10" s="173" t="s">
        <v>4</v>
      </c>
      <c r="B10" s="148"/>
      <c r="C10" s="147">
        <v>8118999</v>
      </c>
      <c r="D10" s="148"/>
      <c r="E10" s="147" t="s">
        <v>748</v>
      </c>
      <c r="F10" s="147" t="s">
        <v>753</v>
      </c>
      <c r="G10" s="148"/>
      <c r="H10" s="169" t="s">
        <v>856</v>
      </c>
      <c r="I10" s="171">
        <v>42348</v>
      </c>
      <c r="J10" s="14"/>
    </row>
    <row r="11" spans="1:10" ht="12.75">
      <c r="A11" s="175"/>
      <c r="B11" s="170"/>
      <c r="C11" s="170"/>
      <c r="D11" s="170"/>
      <c r="E11" s="170"/>
      <c r="F11" s="170"/>
      <c r="G11" s="170"/>
      <c r="H11" s="170"/>
      <c r="I11" s="172"/>
      <c r="J11" s="14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>
      <c r="A13" s="185" t="s">
        <v>858</v>
      </c>
      <c r="B13" s="186"/>
      <c r="C13" s="186"/>
      <c r="D13" s="186"/>
      <c r="E13" s="186"/>
      <c r="F13" s="44"/>
      <c r="G13" s="44"/>
      <c r="H13" s="44"/>
      <c r="I13" s="44"/>
    </row>
    <row r="14" spans="1:10" ht="12.75">
      <c r="A14" s="187" t="s">
        <v>859</v>
      </c>
      <c r="B14" s="188"/>
      <c r="C14" s="188"/>
      <c r="D14" s="188"/>
      <c r="E14" s="189"/>
      <c r="F14" s="45" t="s">
        <v>867</v>
      </c>
      <c r="G14" s="45" t="s">
        <v>736</v>
      </c>
      <c r="H14" s="45" t="s">
        <v>868</v>
      </c>
      <c r="I14" s="45" t="s">
        <v>867</v>
      </c>
      <c r="J14" s="15"/>
    </row>
    <row r="15" spans="1:10" ht="12.75">
      <c r="A15" s="202" t="s">
        <v>831</v>
      </c>
      <c r="B15" s="203"/>
      <c r="C15" s="203"/>
      <c r="D15" s="203"/>
      <c r="E15" s="204"/>
      <c r="F15" s="46">
        <v>0</v>
      </c>
      <c r="G15" s="49"/>
      <c r="H15" s="49"/>
      <c r="I15" s="46">
        <f>F15</f>
        <v>0</v>
      </c>
      <c r="J15" s="14"/>
    </row>
    <row r="16" spans="1:10" ht="12.75">
      <c r="A16" s="202" t="s">
        <v>832</v>
      </c>
      <c r="B16" s="203"/>
      <c r="C16" s="203"/>
      <c r="D16" s="203"/>
      <c r="E16" s="204"/>
      <c r="F16" s="46">
        <v>0</v>
      </c>
      <c r="G16" s="49"/>
      <c r="H16" s="49"/>
      <c r="I16" s="46">
        <f>F16</f>
        <v>0</v>
      </c>
      <c r="J16" s="14"/>
    </row>
    <row r="17" spans="1:10" ht="12.75">
      <c r="A17" s="190" t="s">
        <v>833</v>
      </c>
      <c r="B17" s="191"/>
      <c r="C17" s="191"/>
      <c r="D17" s="191"/>
      <c r="E17" s="192"/>
      <c r="F17" s="47">
        <v>0</v>
      </c>
      <c r="G17" s="50"/>
      <c r="H17" s="50"/>
      <c r="I17" s="47">
        <f>F17</f>
        <v>0</v>
      </c>
      <c r="J17" s="14"/>
    </row>
    <row r="18" spans="1:10" ht="12.75">
      <c r="A18" s="193" t="s">
        <v>860</v>
      </c>
      <c r="B18" s="194"/>
      <c r="C18" s="194"/>
      <c r="D18" s="194"/>
      <c r="E18" s="195"/>
      <c r="F18" s="48"/>
      <c r="G18" s="51"/>
      <c r="H18" s="51"/>
      <c r="I18" s="52">
        <f>SUM(I15:I17)</f>
        <v>0</v>
      </c>
      <c r="J18" s="15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10" ht="12.75">
      <c r="A20" s="187" t="s">
        <v>857</v>
      </c>
      <c r="B20" s="188"/>
      <c r="C20" s="188"/>
      <c r="D20" s="188"/>
      <c r="E20" s="189"/>
      <c r="F20" s="45" t="s">
        <v>867</v>
      </c>
      <c r="G20" s="45" t="s">
        <v>736</v>
      </c>
      <c r="H20" s="45" t="s">
        <v>868</v>
      </c>
      <c r="I20" s="45" t="s">
        <v>867</v>
      </c>
      <c r="J20" s="15"/>
    </row>
    <row r="21" spans="1:10" ht="12.75">
      <c r="A21" s="202" t="s">
        <v>841</v>
      </c>
      <c r="B21" s="203"/>
      <c r="C21" s="203"/>
      <c r="D21" s="203"/>
      <c r="E21" s="204"/>
      <c r="F21" s="49"/>
      <c r="G21" s="46">
        <v>1.4</v>
      </c>
      <c r="H21" s="46">
        <f>'Krycí list rozpočtu'!C22</f>
        <v>0</v>
      </c>
      <c r="I21" s="46">
        <f>(G21/100)*H21</f>
        <v>0</v>
      </c>
      <c r="J21" s="14"/>
    </row>
    <row r="22" spans="1:10" ht="12.75">
      <c r="A22" s="202" t="s">
        <v>842</v>
      </c>
      <c r="B22" s="203"/>
      <c r="C22" s="203"/>
      <c r="D22" s="203"/>
      <c r="E22" s="204"/>
      <c r="F22" s="46">
        <v>0</v>
      </c>
      <c r="G22" s="49"/>
      <c r="H22" s="49"/>
      <c r="I22" s="46">
        <f>F22</f>
        <v>0</v>
      </c>
      <c r="J22" s="14"/>
    </row>
    <row r="23" spans="1:10" ht="12.75">
      <c r="A23" s="202" t="s">
        <v>843</v>
      </c>
      <c r="B23" s="203"/>
      <c r="C23" s="203"/>
      <c r="D23" s="203"/>
      <c r="E23" s="204"/>
      <c r="F23" s="46">
        <v>0</v>
      </c>
      <c r="G23" s="49"/>
      <c r="H23" s="49"/>
      <c r="I23" s="46">
        <f>F23</f>
        <v>0</v>
      </c>
      <c r="J23" s="14"/>
    </row>
    <row r="24" spans="1:10" ht="12.75">
      <c r="A24" s="202" t="s">
        <v>844</v>
      </c>
      <c r="B24" s="203"/>
      <c r="C24" s="203"/>
      <c r="D24" s="203"/>
      <c r="E24" s="204"/>
      <c r="F24" s="46">
        <v>0</v>
      </c>
      <c r="G24" s="49"/>
      <c r="H24" s="49"/>
      <c r="I24" s="46">
        <f>F24</f>
        <v>0</v>
      </c>
      <c r="J24" s="14"/>
    </row>
    <row r="25" spans="1:10" ht="12.75">
      <c r="A25" s="202" t="s">
        <v>845</v>
      </c>
      <c r="B25" s="203"/>
      <c r="C25" s="203"/>
      <c r="D25" s="203"/>
      <c r="E25" s="204"/>
      <c r="F25" s="46">
        <v>0</v>
      </c>
      <c r="G25" s="49"/>
      <c r="H25" s="49"/>
      <c r="I25" s="46">
        <f>F25</f>
        <v>0</v>
      </c>
      <c r="J25" s="14"/>
    </row>
    <row r="26" spans="1:10" ht="12.75">
      <c r="A26" s="190" t="s">
        <v>846</v>
      </c>
      <c r="B26" s="191"/>
      <c r="C26" s="191"/>
      <c r="D26" s="191"/>
      <c r="E26" s="192"/>
      <c r="F26" s="47">
        <v>0</v>
      </c>
      <c r="G26" s="50"/>
      <c r="H26" s="50"/>
      <c r="I26" s="47">
        <f>F26</f>
        <v>0</v>
      </c>
      <c r="J26" s="14"/>
    </row>
    <row r="27" spans="1:10" ht="12.75">
      <c r="A27" s="193" t="s">
        <v>861</v>
      </c>
      <c r="B27" s="194"/>
      <c r="C27" s="194"/>
      <c r="D27" s="194"/>
      <c r="E27" s="195"/>
      <c r="F27" s="48"/>
      <c r="G27" s="51"/>
      <c r="H27" s="51"/>
      <c r="I27" s="52">
        <f>SUM(I21:I26)</f>
        <v>0</v>
      </c>
      <c r="J27" s="15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43"/>
    </row>
    <row r="29" spans="1:10" ht="15" customHeight="1">
      <c r="A29" s="196" t="s">
        <v>862</v>
      </c>
      <c r="B29" s="197"/>
      <c r="C29" s="197"/>
      <c r="D29" s="197"/>
      <c r="E29" s="198"/>
      <c r="F29" s="199">
        <f>I18+I27</f>
        <v>0</v>
      </c>
      <c r="G29" s="200"/>
      <c r="H29" s="200"/>
      <c r="I29" s="201"/>
      <c r="J29" s="15"/>
    </row>
    <row r="30" spans="1:9" ht="12.75">
      <c r="A30" s="34"/>
      <c r="B30" s="34"/>
      <c r="C30" s="34"/>
      <c r="D30" s="34"/>
      <c r="E30" s="34"/>
      <c r="F30" s="34"/>
      <c r="G30" s="34"/>
      <c r="H30" s="34"/>
      <c r="I30" s="34"/>
    </row>
    <row r="33" spans="1:9" ht="15" customHeight="1">
      <c r="A33" s="185" t="s">
        <v>863</v>
      </c>
      <c r="B33" s="186"/>
      <c r="C33" s="186"/>
      <c r="D33" s="186"/>
      <c r="E33" s="186"/>
      <c r="F33" s="44"/>
      <c r="G33" s="44"/>
      <c r="H33" s="44"/>
      <c r="I33" s="44"/>
    </row>
    <row r="34" spans="1:10" ht="12.75">
      <c r="A34" s="187" t="s">
        <v>864</v>
      </c>
      <c r="B34" s="188"/>
      <c r="C34" s="188"/>
      <c r="D34" s="188"/>
      <c r="E34" s="189"/>
      <c r="F34" s="45" t="s">
        <v>867</v>
      </c>
      <c r="G34" s="45" t="s">
        <v>736</v>
      </c>
      <c r="H34" s="45" t="s">
        <v>868</v>
      </c>
      <c r="I34" s="45" t="s">
        <v>867</v>
      </c>
      <c r="J34" s="15"/>
    </row>
    <row r="35" spans="1:10" ht="12.75">
      <c r="A35" s="190"/>
      <c r="B35" s="191"/>
      <c r="C35" s="191"/>
      <c r="D35" s="191"/>
      <c r="E35" s="192"/>
      <c r="F35" s="47">
        <v>0</v>
      </c>
      <c r="G35" s="50"/>
      <c r="H35" s="50"/>
      <c r="I35" s="47">
        <f>F35</f>
        <v>0</v>
      </c>
      <c r="J35" s="14"/>
    </row>
    <row r="36" spans="1:10" ht="12.75">
      <c r="A36" s="193" t="s">
        <v>865</v>
      </c>
      <c r="B36" s="194"/>
      <c r="C36" s="194"/>
      <c r="D36" s="194"/>
      <c r="E36" s="195"/>
      <c r="F36" s="48"/>
      <c r="G36" s="51"/>
      <c r="H36" s="51"/>
      <c r="I36" s="52">
        <f>SUM(I35:I35)</f>
        <v>0</v>
      </c>
      <c r="J36" s="15"/>
    </row>
    <row r="37" spans="1:9" ht="12.75">
      <c r="A37" s="34"/>
      <c r="B37" s="34"/>
      <c r="C37" s="34"/>
      <c r="D37" s="34"/>
      <c r="E37" s="34"/>
      <c r="F37" s="34"/>
      <c r="G37" s="34"/>
      <c r="H37" s="34"/>
      <c r="I37" s="34"/>
    </row>
  </sheetData>
  <mergeCells count="51">
    <mergeCell ref="H2:H3"/>
    <mergeCell ref="I2:I3"/>
    <mergeCell ref="A1:I1"/>
    <mergeCell ref="A2:B3"/>
    <mergeCell ref="C2:D3"/>
    <mergeCell ref="E2:E3"/>
    <mergeCell ref="F2:G3"/>
    <mergeCell ref="A4:B5"/>
    <mergeCell ref="C4:D5"/>
    <mergeCell ref="E4:E5"/>
    <mergeCell ref="F4:G5"/>
    <mergeCell ref="H8:H9"/>
    <mergeCell ref="I8:I9"/>
    <mergeCell ref="A6:B7"/>
    <mergeCell ref="C6:D7"/>
    <mergeCell ref="E6:E7"/>
    <mergeCell ref="F6:G7"/>
    <mergeCell ref="H4:H5"/>
    <mergeCell ref="I4:I5"/>
    <mergeCell ref="H6:H7"/>
    <mergeCell ref="I6:I7"/>
    <mergeCell ref="H10:H11"/>
    <mergeCell ref="I10:I11"/>
    <mergeCell ref="A8:B9"/>
    <mergeCell ref="C8:D9"/>
    <mergeCell ref="A10:B11"/>
    <mergeCell ref="C10:D11"/>
    <mergeCell ref="E10:E11"/>
    <mergeCell ref="F10:G11"/>
    <mergeCell ref="E8:E9"/>
    <mergeCell ref="F8:G9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K17" sqref="K17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10" width="14.28125" style="0" hidden="1" customWidth="1"/>
    <col min="11" max="11" width="14.28125" style="0" customWidth="1"/>
    <col min="12" max="12" width="11.7109375" style="0" customWidth="1"/>
    <col min="13" max="14" width="12.140625" style="0" hidden="1" customWidth="1"/>
  </cols>
  <sheetData>
    <row r="1" spans="1:12" ht="41.25" customHeight="1">
      <c r="A1" s="221" t="s">
        <v>940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ht="12.75">
      <c r="A2" s="180" t="s">
        <v>1</v>
      </c>
      <c r="B2" s="181"/>
      <c r="C2" s="181"/>
      <c r="D2" s="182" t="s">
        <v>410</v>
      </c>
      <c r="E2" s="223" t="s">
        <v>745</v>
      </c>
      <c r="F2" s="181"/>
      <c r="G2" s="223"/>
      <c r="H2" s="181"/>
      <c r="I2" s="178" t="s">
        <v>745</v>
      </c>
      <c r="J2" s="178" t="s">
        <v>750</v>
      </c>
      <c r="K2" s="181"/>
      <c r="L2" s="224"/>
      <c r="M2" s="14"/>
    </row>
    <row r="3" spans="1:13" ht="12.75">
      <c r="A3" s="174"/>
      <c r="B3" s="148"/>
      <c r="C3" s="148"/>
      <c r="D3" s="184"/>
      <c r="E3" s="148"/>
      <c r="F3" s="148"/>
      <c r="G3" s="148"/>
      <c r="H3" s="148"/>
      <c r="I3" s="148"/>
      <c r="J3" s="148"/>
      <c r="K3" s="148"/>
      <c r="L3" s="177"/>
      <c r="M3" s="14"/>
    </row>
    <row r="4" spans="1:13" ht="12.75">
      <c r="A4" s="173" t="s">
        <v>2</v>
      </c>
      <c r="B4" s="148"/>
      <c r="C4" s="148"/>
      <c r="D4" s="147"/>
      <c r="E4" s="169" t="s">
        <v>746</v>
      </c>
      <c r="F4" s="148"/>
      <c r="G4" s="169" t="s">
        <v>6</v>
      </c>
      <c r="H4" s="148"/>
      <c r="I4" s="147" t="s">
        <v>746</v>
      </c>
      <c r="J4" s="147" t="s">
        <v>751</v>
      </c>
      <c r="K4" s="148"/>
      <c r="L4" s="177"/>
      <c r="M4" s="14"/>
    </row>
    <row r="5" spans="1:13" ht="12.75">
      <c r="A5" s="174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77"/>
      <c r="M5" s="14"/>
    </row>
    <row r="6" spans="1:13" ht="12.75">
      <c r="A6" s="173" t="s">
        <v>3</v>
      </c>
      <c r="B6" s="148"/>
      <c r="C6" s="148"/>
      <c r="D6" s="147" t="s">
        <v>411</v>
      </c>
      <c r="E6" s="169" t="s">
        <v>747</v>
      </c>
      <c r="F6" s="148"/>
      <c r="G6" s="148"/>
      <c r="H6" s="148"/>
      <c r="I6" s="147" t="s">
        <v>747</v>
      </c>
      <c r="J6" s="147" t="s">
        <v>752</v>
      </c>
      <c r="K6" s="148"/>
      <c r="L6" s="177"/>
      <c r="M6" s="14"/>
    </row>
    <row r="7" spans="1:13" ht="12.75">
      <c r="A7" s="174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77"/>
      <c r="M7" s="14"/>
    </row>
    <row r="8" spans="1:13" ht="12.75">
      <c r="A8" s="173" t="s">
        <v>4</v>
      </c>
      <c r="B8" s="148"/>
      <c r="C8" s="148"/>
      <c r="D8" s="147">
        <v>8118999</v>
      </c>
      <c r="E8" s="169" t="s">
        <v>748</v>
      </c>
      <c r="F8" s="148"/>
      <c r="G8" s="220">
        <v>42348</v>
      </c>
      <c r="H8" s="148"/>
      <c r="I8" s="147" t="s">
        <v>748</v>
      </c>
      <c r="J8" s="147" t="s">
        <v>753</v>
      </c>
      <c r="K8" s="148"/>
      <c r="L8" s="177"/>
      <c r="M8" s="14"/>
    </row>
    <row r="9" spans="1:13" ht="12.75">
      <c r="A9" s="219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3"/>
      <c r="M9" s="14"/>
    </row>
    <row r="10" spans="1:13" ht="12.75">
      <c r="A10" s="21" t="s">
        <v>6</v>
      </c>
      <c r="B10" s="214" t="s">
        <v>6</v>
      </c>
      <c r="C10" s="211"/>
      <c r="D10" s="211"/>
      <c r="E10" s="211"/>
      <c r="F10" s="211"/>
      <c r="G10" s="211"/>
      <c r="H10" s="215"/>
      <c r="I10" s="216" t="s">
        <v>742</v>
      </c>
      <c r="J10" s="217"/>
      <c r="K10" s="218"/>
      <c r="L10" s="26" t="s">
        <v>755</v>
      </c>
      <c r="M10" s="15"/>
    </row>
    <row r="11" spans="1:13" ht="12.75">
      <c r="A11" s="4" t="s">
        <v>205</v>
      </c>
      <c r="B11" s="207" t="s">
        <v>412</v>
      </c>
      <c r="C11" s="208"/>
      <c r="D11" s="208"/>
      <c r="E11" s="208"/>
      <c r="F11" s="208"/>
      <c r="G11" s="208"/>
      <c r="H11" s="209"/>
      <c r="I11" s="8" t="s">
        <v>743</v>
      </c>
      <c r="J11" s="9" t="s">
        <v>749</v>
      </c>
      <c r="K11" s="9" t="s">
        <v>754</v>
      </c>
      <c r="L11" s="10" t="s">
        <v>754</v>
      </c>
      <c r="M11" s="15"/>
    </row>
    <row r="12" spans="1:14" ht="12.75">
      <c r="A12" s="22" t="s">
        <v>206</v>
      </c>
      <c r="B12" s="210" t="s">
        <v>414</v>
      </c>
      <c r="C12" s="211"/>
      <c r="D12" s="211"/>
      <c r="E12" s="211"/>
      <c r="F12" s="211"/>
      <c r="G12" s="211"/>
      <c r="H12" s="211"/>
      <c r="I12" s="24">
        <v>669294.815</v>
      </c>
      <c r="J12" s="24">
        <v>734950.155405</v>
      </c>
      <c r="K12" s="24">
        <f>'Stavební rozpočet'!I12</f>
        <v>0</v>
      </c>
      <c r="L12" s="24">
        <v>524.22485</v>
      </c>
      <c r="M12" s="16" t="s">
        <v>813</v>
      </c>
      <c r="N12" s="16">
        <f>IF(M12="T",0,K12)</f>
        <v>0</v>
      </c>
    </row>
    <row r="13" spans="1:14" ht="12.75">
      <c r="A13" s="5" t="s">
        <v>207</v>
      </c>
      <c r="B13" s="169" t="s">
        <v>444</v>
      </c>
      <c r="C13" s="148"/>
      <c r="D13" s="148"/>
      <c r="E13" s="148"/>
      <c r="F13" s="148"/>
      <c r="G13" s="148"/>
      <c r="H13" s="148"/>
      <c r="I13" s="16">
        <v>9210424.77150001</v>
      </c>
      <c r="J13" s="16">
        <v>2272488.177405</v>
      </c>
      <c r="K13" s="16">
        <f>'Stavební rozpočet'!J46</f>
        <v>0</v>
      </c>
      <c r="L13" s="16">
        <v>1624.57272</v>
      </c>
      <c r="M13" s="16" t="s">
        <v>813</v>
      </c>
      <c r="N13" s="16">
        <f>IF(M13="T",0,K13)</f>
        <v>0</v>
      </c>
    </row>
    <row r="14" spans="1:14" ht="12.75">
      <c r="A14" s="5" t="s">
        <v>208</v>
      </c>
      <c r="B14" s="169" t="s">
        <v>646</v>
      </c>
      <c r="C14" s="148"/>
      <c r="D14" s="148"/>
      <c r="E14" s="148"/>
      <c r="F14" s="148"/>
      <c r="G14" s="148"/>
      <c r="H14" s="148"/>
      <c r="I14" s="16">
        <v>43866.5896</v>
      </c>
      <c r="J14" s="16">
        <v>48027.2008873</v>
      </c>
      <c r="K14" s="16">
        <f>'Stavební rozpočet'!J347</f>
        <v>0</v>
      </c>
      <c r="L14" s="16">
        <v>52.09453</v>
      </c>
      <c r="M14" s="16" t="s">
        <v>813</v>
      </c>
      <c r="N14" s="16">
        <f>IF(M14="T",0,K14)</f>
        <v>0</v>
      </c>
    </row>
    <row r="15" spans="1:14" ht="12.75">
      <c r="A15" s="5" t="s">
        <v>209</v>
      </c>
      <c r="B15" s="169" t="s">
        <v>660</v>
      </c>
      <c r="C15" s="148"/>
      <c r="D15" s="148"/>
      <c r="E15" s="148"/>
      <c r="F15" s="148"/>
      <c r="G15" s="148"/>
      <c r="H15" s="148"/>
      <c r="I15" s="16">
        <v>109894.346</v>
      </c>
      <c r="J15" s="16">
        <v>58702.11316</v>
      </c>
      <c r="K15" s="16">
        <f>'Stavební rozpočet'!J366</f>
        <v>0</v>
      </c>
      <c r="L15" s="16">
        <v>103.01785</v>
      </c>
      <c r="M15" s="16" t="s">
        <v>813</v>
      </c>
      <c r="N15" s="16">
        <f>IF(M15="T",0,K15)</f>
        <v>0</v>
      </c>
    </row>
    <row r="16" spans="1:14" ht="12.75">
      <c r="A16" s="23" t="s">
        <v>210</v>
      </c>
      <c r="B16" s="205" t="s">
        <v>676</v>
      </c>
      <c r="C16" s="170"/>
      <c r="D16" s="170"/>
      <c r="E16" s="170"/>
      <c r="F16" s="170"/>
      <c r="G16" s="170"/>
      <c r="H16" s="170"/>
      <c r="I16" s="25">
        <f>'Stavební rozpočet'!H394</f>
        <v>0</v>
      </c>
      <c r="J16" s="25">
        <f>'Stavební rozpočet'!I394</f>
        <v>0</v>
      </c>
      <c r="K16" s="25">
        <f>'Stavební rozpočet'!J394</f>
        <v>0</v>
      </c>
      <c r="L16" s="25">
        <v>1008.6782</v>
      </c>
      <c r="M16" s="16" t="s">
        <v>813</v>
      </c>
      <c r="N16" s="16">
        <f>IF(M16="T",0,K16)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06" t="s">
        <v>744</v>
      </c>
      <c r="J17" s="183"/>
      <c r="K17" s="19">
        <f>SUM(K12:K16)</f>
        <v>0</v>
      </c>
      <c r="L17" s="2"/>
    </row>
  </sheetData>
  <mergeCells count="34">
    <mergeCell ref="G4:H5"/>
    <mergeCell ref="A1:L1"/>
    <mergeCell ref="A2:C3"/>
    <mergeCell ref="D2:D3"/>
    <mergeCell ref="E2:F3"/>
    <mergeCell ref="G2:H3"/>
    <mergeCell ref="I2:I3"/>
    <mergeCell ref="J2:L3"/>
    <mergeCell ref="I4:I5"/>
    <mergeCell ref="J4:L5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I8:I9"/>
    <mergeCell ref="J8:L9"/>
    <mergeCell ref="B10:H10"/>
    <mergeCell ref="I10:K10"/>
    <mergeCell ref="A8:C9"/>
    <mergeCell ref="D8:D9"/>
    <mergeCell ref="E8:F9"/>
    <mergeCell ref="G8:H9"/>
    <mergeCell ref="B15:H15"/>
    <mergeCell ref="B16:H16"/>
    <mergeCell ref="I17:J17"/>
    <mergeCell ref="B11:H11"/>
    <mergeCell ref="B12:H12"/>
    <mergeCell ref="B13:H13"/>
    <mergeCell ref="B14:H14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2"/>
  <sheetViews>
    <sheetView tabSelected="1" workbookViewId="0" topLeftCell="A415">
      <selection activeCell="D460" sqref="D460"/>
    </sheetView>
  </sheetViews>
  <sheetFormatPr defaultColWidth="11.57421875" defaultRowHeight="12.75"/>
  <cols>
    <col min="1" max="1" width="3.7109375" style="0" customWidth="1"/>
    <col min="2" max="2" width="8.140625" style="0" customWidth="1"/>
    <col min="3" max="3" width="13.28125" style="0" customWidth="1"/>
    <col min="4" max="4" width="84.57421875" style="0" customWidth="1"/>
    <col min="5" max="5" width="7.00390625" style="0" customWidth="1"/>
    <col min="6" max="6" width="12.8515625" style="0" customWidth="1"/>
    <col min="7" max="7" width="12.421875" style="0" customWidth="1"/>
    <col min="8" max="9" width="12.421875" style="0" hidden="1" customWidth="1"/>
    <col min="10" max="10" width="12.421875" style="0" customWidth="1"/>
    <col min="11" max="11" width="11.7109375" style="0" hidden="1" customWidth="1"/>
    <col min="12" max="13" width="11.7109375" style="0" customWidth="1"/>
    <col min="14" max="14" width="0" style="0" hidden="1" customWidth="1"/>
    <col min="15" max="47" width="12.140625" style="0" hidden="1" customWidth="1"/>
  </cols>
  <sheetData>
    <row r="1" spans="1:13" ht="38.25" customHeight="1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4" ht="12.75">
      <c r="A2" s="248" t="s">
        <v>1</v>
      </c>
      <c r="B2" s="249"/>
      <c r="C2" s="249"/>
      <c r="D2" s="250" t="s">
        <v>410</v>
      </c>
      <c r="E2" s="252" t="s">
        <v>745</v>
      </c>
      <c r="F2" s="249"/>
      <c r="G2" s="252"/>
      <c r="H2" s="249"/>
      <c r="I2" s="253" t="s">
        <v>745</v>
      </c>
      <c r="J2" s="253" t="s">
        <v>750</v>
      </c>
      <c r="K2" s="249"/>
      <c r="L2" s="249"/>
      <c r="M2" s="254"/>
      <c r="N2" s="14"/>
    </row>
    <row r="3" spans="1:14" ht="12.75">
      <c r="A3" s="245"/>
      <c r="B3" s="235"/>
      <c r="C3" s="235"/>
      <c r="D3" s="251"/>
      <c r="E3" s="235"/>
      <c r="F3" s="235"/>
      <c r="G3" s="235"/>
      <c r="H3" s="235"/>
      <c r="I3" s="235"/>
      <c r="J3" s="235"/>
      <c r="K3" s="235"/>
      <c r="L3" s="235"/>
      <c r="M3" s="236"/>
      <c r="N3" s="14"/>
    </row>
    <row r="4" spans="1:14" ht="12.75">
      <c r="A4" s="241" t="s">
        <v>2</v>
      </c>
      <c r="B4" s="235"/>
      <c r="C4" s="235"/>
      <c r="D4" s="233"/>
      <c r="E4" s="243" t="s">
        <v>746</v>
      </c>
      <c r="F4" s="235"/>
      <c r="G4" s="243" t="s">
        <v>6</v>
      </c>
      <c r="H4" s="235"/>
      <c r="I4" s="233" t="s">
        <v>746</v>
      </c>
      <c r="J4" s="233" t="s">
        <v>751</v>
      </c>
      <c r="K4" s="235"/>
      <c r="L4" s="235"/>
      <c r="M4" s="236"/>
      <c r="N4" s="14"/>
    </row>
    <row r="5" spans="1:14" ht="12.75">
      <c r="A5" s="24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6"/>
      <c r="N5" s="14"/>
    </row>
    <row r="6" spans="1:14" ht="12.75">
      <c r="A6" s="241" t="s">
        <v>3</v>
      </c>
      <c r="B6" s="235"/>
      <c r="C6" s="235"/>
      <c r="D6" s="233" t="s">
        <v>411</v>
      </c>
      <c r="E6" s="243" t="s">
        <v>747</v>
      </c>
      <c r="F6" s="235"/>
      <c r="G6" s="235"/>
      <c r="H6" s="235"/>
      <c r="I6" s="233" t="s">
        <v>747</v>
      </c>
      <c r="J6" s="233" t="s">
        <v>752</v>
      </c>
      <c r="K6" s="235"/>
      <c r="L6" s="235"/>
      <c r="M6" s="236"/>
      <c r="N6" s="14"/>
    </row>
    <row r="7" spans="1:14" ht="12.75">
      <c r="A7" s="24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14"/>
    </row>
    <row r="8" spans="1:14" ht="12.75">
      <c r="A8" s="241" t="s">
        <v>4</v>
      </c>
      <c r="B8" s="235"/>
      <c r="C8" s="235"/>
      <c r="D8" s="233">
        <v>8118999</v>
      </c>
      <c r="E8" s="243" t="s">
        <v>748</v>
      </c>
      <c r="F8" s="235"/>
      <c r="G8" s="244">
        <v>42348</v>
      </c>
      <c r="H8" s="235"/>
      <c r="I8" s="233" t="s">
        <v>748</v>
      </c>
      <c r="J8" s="233" t="s">
        <v>753</v>
      </c>
      <c r="K8" s="235"/>
      <c r="L8" s="235"/>
      <c r="M8" s="236"/>
      <c r="N8" s="14"/>
    </row>
    <row r="9" spans="1:14" ht="12.75">
      <c r="A9" s="242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7"/>
      <c r="N9" s="14"/>
    </row>
    <row r="10" spans="1:14" ht="12.75">
      <c r="A10" s="53" t="s">
        <v>5</v>
      </c>
      <c r="B10" s="54" t="s">
        <v>205</v>
      </c>
      <c r="C10" s="54" t="s">
        <v>211</v>
      </c>
      <c r="D10" s="54" t="s">
        <v>412</v>
      </c>
      <c r="E10" s="54" t="s">
        <v>728</v>
      </c>
      <c r="F10" s="55" t="s">
        <v>739</v>
      </c>
      <c r="G10" s="56" t="s">
        <v>740</v>
      </c>
      <c r="H10" s="238" t="s">
        <v>742</v>
      </c>
      <c r="I10" s="239"/>
      <c r="J10" s="240"/>
      <c r="K10" s="238" t="s">
        <v>755</v>
      </c>
      <c r="L10" s="240"/>
      <c r="M10" s="57" t="s">
        <v>756</v>
      </c>
      <c r="N10" s="15"/>
    </row>
    <row r="11" spans="1:24" ht="12.75">
      <c r="A11" s="58" t="s">
        <v>6</v>
      </c>
      <c r="B11" s="59" t="s">
        <v>6</v>
      </c>
      <c r="C11" s="59" t="s">
        <v>6</v>
      </c>
      <c r="D11" s="60" t="s">
        <v>413</v>
      </c>
      <c r="E11" s="59" t="s">
        <v>6</v>
      </c>
      <c r="F11" s="59" t="s">
        <v>6</v>
      </c>
      <c r="G11" s="61" t="s">
        <v>741</v>
      </c>
      <c r="H11" s="62" t="s">
        <v>743</v>
      </c>
      <c r="I11" s="63" t="s">
        <v>749</v>
      </c>
      <c r="J11" s="64" t="s">
        <v>754</v>
      </c>
      <c r="K11" s="62" t="s">
        <v>740</v>
      </c>
      <c r="L11" s="64" t="s">
        <v>754</v>
      </c>
      <c r="M11" s="65" t="s">
        <v>757</v>
      </c>
      <c r="N11" s="15"/>
      <c r="P11" s="11" t="s">
        <v>762</v>
      </c>
      <c r="Q11" s="11" t="s">
        <v>763</v>
      </c>
      <c r="R11" s="11" t="s">
        <v>767</v>
      </c>
      <c r="S11" s="11" t="s">
        <v>768</v>
      </c>
      <c r="T11" s="11" t="s">
        <v>769</v>
      </c>
      <c r="U11" s="11" t="s">
        <v>770</v>
      </c>
      <c r="V11" s="11" t="s">
        <v>771</v>
      </c>
      <c r="W11" s="11" t="s">
        <v>772</v>
      </c>
      <c r="X11" s="11" t="s">
        <v>773</v>
      </c>
    </row>
    <row r="12" spans="1:13" ht="12.75">
      <c r="A12" s="66"/>
      <c r="B12" s="67" t="s">
        <v>206</v>
      </c>
      <c r="C12" s="67"/>
      <c r="D12" s="231" t="s">
        <v>414</v>
      </c>
      <c r="E12" s="232"/>
      <c r="F12" s="232"/>
      <c r="G12" s="232"/>
      <c r="H12" s="68">
        <f>H13+H30+H33+H36+H39+H42</f>
        <v>0</v>
      </c>
      <c r="I12" s="68">
        <f>I13+I30+I33+I36+I39+I42</f>
        <v>0</v>
      </c>
      <c r="J12" s="68">
        <f>H12+I12</f>
        <v>0</v>
      </c>
      <c r="K12" s="69"/>
      <c r="L12" s="68">
        <f>L13+L30+L33+L36+L39+L42</f>
        <v>524.22485</v>
      </c>
      <c r="M12" s="69"/>
    </row>
    <row r="13" spans="1:37" ht="12.75">
      <c r="A13" s="70"/>
      <c r="B13" s="71" t="s">
        <v>206</v>
      </c>
      <c r="C13" s="71" t="s">
        <v>7</v>
      </c>
      <c r="D13" s="225" t="s">
        <v>415</v>
      </c>
      <c r="E13" s="226"/>
      <c r="F13" s="226"/>
      <c r="G13" s="226"/>
      <c r="H13" s="72">
        <f>SUM(H14:H28)</f>
        <v>0</v>
      </c>
      <c r="I13" s="72">
        <f>SUM(I14:I28)</f>
        <v>0</v>
      </c>
      <c r="J13" s="72">
        <f>H13+I13</f>
        <v>0</v>
      </c>
      <c r="K13" s="73"/>
      <c r="L13" s="72">
        <f>SUM(L14:L28)</f>
        <v>0</v>
      </c>
      <c r="M13" s="73"/>
      <c r="P13" s="18">
        <f>IF(Q13="PR",J13,SUM(O14:O28))</f>
        <v>0</v>
      </c>
      <c r="Q13" s="11" t="s">
        <v>764</v>
      </c>
      <c r="R13" s="18">
        <f>IF(Q13="HS",H13,0)</f>
        <v>0</v>
      </c>
      <c r="S13" s="18">
        <f>IF(Q13="HS",I13-P13,0)</f>
        <v>0</v>
      </c>
      <c r="T13" s="18">
        <f>IF(Q13="PS",H13,0)</f>
        <v>0</v>
      </c>
      <c r="U13" s="18">
        <f>IF(Q13="PS",I13-P13,0)</f>
        <v>0</v>
      </c>
      <c r="V13" s="18">
        <f>IF(Q13="MP",H13,0)</f>
        <v>0</v>
      </c>
      <c r="W13" s="18">
        <f>IF(Q13="MP",I13-P13,0)</f>
        <v>0</v>
      </c>
      <c r="X13" s="18">
        <f>IF(Q13="OM",H13,0)</f>
        <v>0</v>
      </c>
      <c r="Y13" s="11" t="s">
        <v>206</v>
      </c>
      <c r="AI13" s="18">
        <f>SUM(Z14:Z28)</f>
        <v>0</v>
      </c>
      <c r="AJ13" s="18">
        <f>SUM(AA14:AA28)</f>
        <v>0</v>
      </c>
      <c r="AK13" s="18">
        <f>SUM(AB14:AB28)</f>
        <v>0</v>
      </c>
    </row>
    <row r="14" spans="1:43" ht="12.75">
      <c r="A14" s="74" t="s">
        <v>7</v>
      </c>
      <c r="B14" s="74" t="s">
        <v>206</v>
      </c>
      <c r="C14" s="74" t="s">
        <v>212</v>
      </c>
      <c r="D14" s="74" t="s">
        <v>416</v>
      </c>
      <c r="E14" s="74" t="s">
        <v>729</v>
      </c>
      <c r="F14" s="75">
        <v>68</v>
      </c>
      <c r="G14" s="75"/>
      <c r="H14" s="75">
        <f>F14*AE14</f>
        <v>0</v>
      </c>
      <c r="I14" s="75">
        <f>J14-H14</f>
        <v>0</v>
      </c>
      <c r="J14" s="75">
        <f>F14*G14</f>
        <v>0</v>
      </c>
      <c r="K14" s="75">
        <v>0</v>
      </c>
      <c r="L14" s="75">
        <f>F14*K14</f>
        <v>0</v>
      </c>
      <c r="M14" s="76" t="s">
        <v>758</v>
      </c>
      <c r="N14" s="12" t="s">
        <v>7</v>
      </c>
      <c r="O14" s="6">
        <f>IF(N14="5",I14,0)</f>
        <v>0</v>
      </c>
      <c r="Z14" s="6">
        <f>IF(AD14=0,J14,0)</f>
        <v>0</v>
      </c>
      <c r="AA14" s="6">
        <f>IF(AD14=15,J14,0)</f>
        <v>0</v>
      </c>
      <c r="AB14" s="6">
        <f>IF(AD14=21,J14,0)</f>
        <v>0</v>
      </c>
      <c r="AD14" s="16">
        <v>21</v>
      </c>
      <c r="AE14" s="16">
        <f>G14*0</f>
        <v>0</v>
      </c>
      <c r="AF14" s="16">
        <f>G14*(1-0)</f>
        <v>0</v>
      </c>
      <c r="AM14" s="16">
        <f>F14*AE14</f>
        <v>0</v>
      </c>
      <c r="AN14" s="16">
        <f>F14*AF14</f>
        <v>0</v>
      </c>
      <c r="AO14" s="17" t="s">
        <v>774</v>
      </c>
      <c r="AP14" s="17" t="s">
        <v>774</v>
      </c>
      <c r="AQ14" s="11" t="s">
        <v>808</v>
      </c>
    </row>
    <row r="15" spans="1:13" ht="12.75">
      <c r="A15" s="77"/>
      <c r="B15" s="77"/>
      <c r="C15" s="77"/>
      <c r="D15" s="78" t="s">
        <v>74</v>
      </c>
      <c r="E15" s="77"/>
      <c r="F15" s="79">
        <v>68</v>
      </c>
      <c r="G15" s="77"/>
      <c r="H15" s="77"/>
      <c r="I15" s="77"/>
      <c r="J15" s="77"/>
      <c r="K15" s="77"/>
      <c r="L15" s="77"/>
      <c r="M15" s="77"/>
    </row>
    <row r="16" spans="1:43" ht="12.75">
      <c r="A16" s="74" t="s">
        <v>8</v>
      </c>
      <c r="B16" s="74" t="s">
        <v>206</v>
      </c>
      <c r="C16" s="74" t="s">
        <v>213</v>
      </c>
      <c r="D16" s="74" t="s">
        <v>417</v>
      </c>
      <c r="E16" s="74" t="s">
        <v>729</v>
      </c>
      <c r="F16" s="75">
        <v>68</v>
      </c>
      <c r="G16" s="75"/>
      <c r="H16" s="75">
        <f>F16*AE16</f>
        <v>0</v>
      </c>
      <c r="I16" s="75">
        <f>J16-H16</f>
        <v>0</v>
      </c>
      <c r="J16" s="75">
        <f>F16*G16</f>
        <v>0</v>
      </c>
      <c r="K16" s="75">
        <v>0</v>
      </c>
      <c r="L16" s="75">
        <f>F16*K16</f>
        <v>0</v>
      </c>
      <c r="M16" s="76" t="s">
        <v>758</v>
      </c>
      <c r="N16" s="12" t="s">
        <v>7</v>
      </c>
      <c r="O16" s="6">
        <f>IF(N16="5",I16,0)</f>
        <v>0</v>
      </c>
      <c r="Z16" s="6">
        <f>IF(AD16=0,J16,0)</f>
        <v>0</v>
      </c>
      <c r="AA16" s="6">
        <f>IF(AD16=15,J16,0)</f>
        <v>0</v>
      </c>
      <c r="AB16" s="6">
        <f>IF(AD16=21,J16,0)</f>
        <v>0</v>
      </c>
      <c r="AD16" s="16">
        <v>21</v>
      </c>
      <c r="AE16" s="16">
        <f>G16*0</f>
        <v>0</v>
      </c>
      <c r="AF16" s="16">
        <f>G16*(1-0)</f>
        <v>0</v>
      </c>
      <c r="AM16" s="16">
        <f>F16*AE16</f>
        <v>0</v>
      </c>
      <c r="AN16" s="16">
        <f>F16*AF16</f>
        <v>0</v>
      </c>
      <c r="AO16" s="17" t="s">
        <v>774</v>
      </c>
      <c r="AP16" s="17" t="s">
        <v>774</v>
      </c>
      <c r="AQ16" s="11" t="s">
        <v>808</v>
      </c>
    </row>
    <row r="17" spans="1:13" ht="12.75">
      <c r="A17" s="77"/>
      <c r="B17" s="77"/>
      <c r="C17" s="77"/>
      <c r="D17" s="78" t="s">
        <v>74</v>
      </c>
      <c r="E17" s="77"/>
      <c r="F17" s="79">
        <v>68</v>
      </c>
      <c r="G17" s="77"/>
      <c r="H17" s="77"/>
      <c r="I17" s="77"/>
      <c r="J17" s="77"/>
      <c r="K17" s="77"/>
      <c r="L17" s="77"/>
      <c r="M17" s="77"/>
    </row>
    <row r="18" spans="1:43" ht="12.75">
      <c r="A18" s="74" t="s">
        <v>9</v>
      </c>
      <c r="B18" s="74" t="s">
        <v>206</v>
      </c>
      <c r="C18" s="74" t="s">
        <v>214</v>
      </c>
      <c r="D18" s="74" t="s">
        <v>418</v>
      </c>
      <c r="E18" s="74" t="s">
        <v>730</v>
      </c>
      <c r="F18" s="75">
        <v>1536</v>
      </c>
      <c r="G18" s="75"/>
      <c r="H18" s="75">
        <f>F18*AE18</f>
        <v>0</v>
      </c>
      <c r="I18" s="75">
        <f>J18-H18</f>
        <v>0</v>
      </c>
      <c r="J18" s="75">
        <f>F18*G18</f>
        <v>0</v>
      </c>
      <c r="K18" s="75">
        <v>0</v>
      </c>
      <c r="L18" s="75">
        <f>F18*K18</f>
        <v>0</v>
      </c>
      <c r="M18" s="76" t="s">
        <v>758</v>
      </c>
      <c r="N18" s="12" t="s">
        <v>7</v>
      </c>
      <c r="O18" s="6">
        <f>IF(N18="5",I18,0)</f>
        <v>0</v>
      </c>
      <c r="Z18" s="6">
        <f>IF(AD18=0,J18,0)</f>
        <v>0</v>
      </c>
      <c r="AA18" s="6">
        <f>IF(AD18=15,J18,0)</f>
        <v>0</v>
      </c>
      <c r="AB18" s="6">
        <f>IF(AD18=21,J18,0)</f>
        <v>0</v>
      </c>
      <c r="AD18" s="16">
        <v>21</v>
      </c>
      <c r="AE18" s="16">
        <f>G18*0</f>
        <v>0</v>
      </c>
      <c r="AF18" s="16">
        <f>G18*(1-0)</f>
        <v>0</v>
      </c>
      <c r="AM18" s="16">
        <f>F18*AE18</f>
        <v>0</v>
      </c>
      <c r="AN18" s="16">
        <f>F18*AF18</f>
        <v>0</v>
      </c>
      <c r="AO18" s="17" t="s">
        <v>774</v>
      </c>
      <c r="AP18" s="17" t="s">
        <v>774</v>
      </c>
      <c r="AQ18" s="11" t="s">
        <v>808</v>
      </c>
    </row>
    <row r="19" spans="1:13" ht="12.75">
      <c r="A19" s="77"/>
      <c r="B19" s="77"/>
      <c r="C19" s="77"/>
      <c r="D19" s="78" t="s">
        <v>419</v>
      </c>
      <c r="E19" s="77"/>
      <c r="F19" s="79">
        <v>1536</v>
      </c>
      <c r="G19" s="77"/>
      <c r="H19" s="77"/>
      <c r="I19" s="77"/>
      <c r="J19" s="77"/>
      <c r="K19" s="77"/>
      <c r="L19" s="77"/>
      <c r="M19" s="77"/>
    </row>
    <row r="20" spans="1:43" ht="12.75">
      <c r="A20" s="74" t="s">
        <v>10</v>
      </c>
      <c r="B20" s="74" t="s">
        <v>206</v>
      </c>
      <c r="C20" s="74" t="s">
        <v>215</v>
      </c>
      <c r="D20" s="74" t="s">
        <v>420</v>
      </c>
      <c r="E20" s="74" t="s">
        <v>731</v>
      </c>
      <c r="F20" s="75">
        <v>153.6</v>
      </c>
      <c r="G20" s="75"/>
      <c r="H20" s="75">
        <f>F20*AE20</f>
        <v>0</v>
      </c>
      <c r="I20" s="75">
        <f>J20-H20</f>
        <v>0</v>
      </c>
      <c r="J20" s="75">
        <f>F20*G20</f>
        <v>0</v>
      </c>
      <c r="K20" s="75">
        <v>0</v>
      </c>
      <c r="L20" s="75">
        <f>F20*K20</f>
        <v>0</v>
      </c>
      <c r="M20" s="76" t="s">
        <v>758</v>
      </c>
      <c r="N20" s="12" t="s">
        <v>7</v>
      </c>
      <c r="O20" s="6">
        <f>IF(N20="5",I20,0)</f>
        <v>0</v>
      </c>
      <c r="Z20" s="6">
        <f>IF(AD20=0,J20,0)</f>
        <v>0</v>
      </c>
      <c r="AA20" s="6">
        <f>IF(AD20=15,J20,0)</f>
        <v>0</v>
      </c>
      <c r="AB20" s="6">
        <f>IF(AD20=21,J20,0)</f>
        <v>0</v>
      </c>
      <c r="AD20" s="16">
        <v>21</v>
      </c>
      <c r="AE20" s="16">
        <f>G20*0</f>
        <v>0</v>
      </c>
      <c r="AF20" s="16">
        <f>G20*(1-0)</f>
        <v>0</v>
      </c>
      <c r="AM20" s="16">
        <f>F20*AE20</f>
        <v>0</v>
      </c>
      <c r="AN20" s="16">
        <f>F20*AF20</f>
        <v>0</v>
      </c>
      <c r="AO20" s="17" t="s">
        <v>774</v>
      </c>
      <c r="AP20" s="17" t="s">
        <v>774</v>
      </c>
      <c r="AQ20" s="11" t="s">
        <v>808</v>
      </c>
    </row>
    <row r="21" spans="1:13" ht="12.75">
      <c r="A21" s="77"/>
      <c r="B21" s="77"/>
      <c r="C21" s="77"/>
      <c r="D21" s="78" t="s">
        <v>421</v>
      </c>
      <c r="E21" s="77"/>
      <c r="F21" s="79">
        <v>153.6</v>
      </c>
      <c r="G21" s="77"/>
      <c r="H21" s="77"/>
      <c r="I21" s="77"/>
      <c r="J21" s="77"/>
      <c r="K21" s="77"/>
      <c r="L21" s="77"/>
      <c r="M21" s="77"/>
    </row>
    <row r="22" spans="1:43" ht="12.75">
      <c r="A22" s="74" t="s">
        <v>11</v>
      </c>
      <c r="B22" s="74" t="s">
        <v>206</v>
      </c>
      <c r="C22" s="74" t="s">
        <v>216</v>
      </c>
      <c r="D22" s="74" t="s">
        <v>422</v>
      </c>
      <c r="E22" s="74" t="s">
        <v>731</v>
      </c>
      <c r="F22" s="75">
        <v>2918.4</v>
      </c>
      <c r="G22" s="75"/>
      <c r="H22" s="75">
        <f>F22*AE22</f>
        <v>0</v>
      </c>
      <c r="I22" s="75">
        <f>J22-H22</f>
        <v>0</v>
      </c>
      <c r="J22" s="75">
        <f>F22*G22</f>
        <v>0</v>
      </c>
      <c r="K22" s="75">
        <v>0</v>
      </c>
      <c r="L22" s="75">
        <f>F22*K22</f>
        <v>0</v>
      </c>
      <c r="M22" s="76" t="s">
        <v>758</v>
      </c>
      <c r="N22" s="12" t="s">
        <v>7</v>
      </c>
      <c r="O22" s="6">
        <f>IF(N22="5",I22,0)</f>
        <v>0</v>
      </c>
      <c r="Z22" s="6">
        <f>IF(AD22=0,J22,0)</f>
        <v>0</v>
      </c>
      <c r="AA22" s="6">
        <f>IF(AD22=15,J22,0)</f>
        <v>0</v>
      </c>
      <c r="AB22" s="6">
        <f>IF(AD22=21,J22,0)</f>
        <v>0</v>
      </c>
      <c r="AD22" s="16">
        <v>21</v>
      </c>
      <c r="AE22" s="16">
        <f>G22*0</f>
        <v>0</v>
      </c>
      <c r="AF22" s="16">
        <f>G22*(1-0)</f>
        <v>0</v>
      </c>
      <c r="AM22" s="16">
        <f>F22*AE22</f>
        <v>0</v>
      </c>
      <c r="AN22" s="16">
        <f>F22*AF22</f>
        <v>0</v>
      </c>
      <c r="AO22" s="17" t="s">
        <v>774</v>
      </c>
      <c r="AP22" s="17" t="s">
        <v>774</v>
      </c>
      <c r="AQ22" s="11" t="s">
        <v>808</v>
      </c>
    </row>
    <row r="23" spans="1:13" ht="12.75">
      <c r="A23" s="77"/>
      <c r="B23" s="77"/>
      <c r="C23" s="77"/>
      <c r="D23" s="78" t="s">
        <v>423</v>
      </c>
      <c r="E23" s="77"/>
      <c r="F23" s="79">
        <v>2918.4</v>
      </c>
      <c r="G23" s="77"/>
      <c r="H23" s="77"/>
      <c r="I23" s="77"/>
      <c r="J23" s="77"/>
      <c r="K23" s="77"/>
      <c r="L23" s="77"/>
      <c r="M23" s="77"/>
    </row>
    <row r="24" spans="1:43" ht="12.75">
      <c r="A24" s="74" t="s">
        <v>12</v>
      </c>
      <c r="B24" s="74" t="s">
        <v>206</v>
      </c>
      <c r="C24" s="74" t="s">
        <v>217</v>
      </c>
      <c r="D24" s="74" t="s">
        <v>424</v>
      </c>
      <c r="E24" s="74" t="s">
        <v>731</v>
      </c>
      <c r="F24" s="75">
        <v>2918.4</v>
      </c>
      <c r="G24" s="75"/>
      <c r="H24" s="75">
        <f>F24*AE24</f>
        <v>0</v>
      </c>
      <c r="I24" s="75">
        <f>J24-H24</f>
        <v>0</v>
      </c>
      <c r="J24" s="75">
        <f>F24*G24</f>
        <v>0</v>
      </c>
      <c r="K24" s="75">
        <v>0</v>
      </c>
      <c r="L24" s="75">
        <f>F24*K24</f>
        <v>0</v>
      </c>
      <c r="M24" s="76" t="s">
        <v>758</v>
      </c>
      <c r="N24" s="12" t="s">
        <v>7</v>
      </c>
      <c r="O24" s="6">
        <f>IF(N24="5",I24,0)</f>
        <v>0</v>
      </c>
      <c r="Z24" s="6">
        <f>IF(AD24=0,J24,0)</f>
        <v>0</v>
      </c>
      <c r="AA24" s="6">
        <f>IF(AD24=15,J24,0)</f>
        <v>0</v>
      </c>
      <c r="AB24" s="6">
        <f>IF(AD24=21,J24,0)</f>
        <v>0</v>
      </c>
      <c r="AD24" s="16">
        <v>21</v>
      </c>
      <c r="AE24" s="16">
        <f>G24*0</f>
        <v>0</v>
      </c>
      <c r="AF24" s="16">
        <f>G24*(1-0)</f>
        <v>0</v>
      </c>
      <c r="AM24" s="16">
        <f>F24*AE24</f>
        <v>0</v>
      </c>
      <c r="AN24" s="16">
        <f>F24*AF24</f>
        <v>0</v>
      </c>
      <c r="AO24" s="17" t="s">
        <v>774</v>
      </c>
      <c r="AP24" s="17" t="s">
        <v>774</v>
      </c>
      <c r="AQ24" s="11" t="s">
        <v>808</v>
      </c>
    </row>
    <row r="25" spans="1:13" ht="12.75">
      <c r="A25" s="77"/>
      <c r="B25" s="77"/>
      <c r="C25" s="77"/>
      <c r="D25" s="78" t="s">
        <v>425</v>
      </c>
      <c r="E25" s="77"/>
      <c r="F25" s="79">
        <v>2918.4</v>
      </c>
      <c r="G25" s="77"/>
      <c r="H25" s="77"/>
      <c r="I25" s="77"/>
      <c r="J25" s="77"/>
      <c r="K25" s="77"/>
      <c r="L25" s="77"/>
      <c r="M25" s="77"/>
    </row>
    <row r="26" spans="1:43" ht="12.75">
      <c r="A26" s="74" t="s">
        <v>13</v>
      </c>
      <c r="B26" s="74" t="s">
        <v>206</v>
      </c>
      <c r="C26" s="74" t="s">
        <v>218</v>
      </c>
      <c r="D26" s="74" t="s">
        <v>426</v>
      </c>
      <c r="E26" s="74" t="s">
        <v>731</v>
      </c>
      <c r="F26" s="75">
        <v>2902.4</v>
      </c>
      <c r="G26" s="75"/>
      <c r="H26" s="75">
        <f>F26*AE26</f>
        <v>0</v>
      </c>
      <c r="I26" s="75">
        <f>J26-H26</f>
        <v>0</v>
      </c>
      <c r="J26" s="75">
        <f>F26*G26</f>
        <v>0</v>
      </c>
      <c r="K26" s="75">
        <v>0</v>
      </c>
      <c r="L26" s="75">
        <f>F26*K26</f>
        <v>0</v>
      </c>
      <c r="M26" s="76" t="s">
        <v>758</v>
      </c>
      <c r="N26" s="12" t="s">
        <v>7</v>
      </c>
      <c r="O26" s="6">
        <f>IF(N26="5",I26,0)</f>
        <v>0</v>
      </c>
      <c r="Z26" s="6">
        <f>IF(AD26=0,J26,0)</f>
        <v>0</v>
      </c>
      <c r="AA26" s="6">
        <f>IF(AD26=15,J26,0)</f>
        <v>0</v>
      </c>
      <c r="AB26" s="6">
        <f>IF(AD26=21,J26,0)</f>
        <v>0</v>
      </c>
      <c r="AD26" s="16">
        <v>21</v>
      </c>
      <c r="AE26" s="16">
        <f>G26*0</f>
        <v>0</v>
      </c>
      <c r="AF26" s="16">
        <f>G26*(1-0)</f>
        <v>0</v>
      </c>
      <c r="AM26" s="16">
        <f>F26*AE26</f>
        <v>0</v>
      </c>
      <c r="AN26" s="16">
        <f>F26*AF26</f>
        <v>0</v>
      </c>
      <c r="AO26" s="17" t="s">
        <v>774</v>
      </c>
      <c r="AP26" s="17" t="s">
        <v>774</v>
      </c>
      <c r="AQ26" s="11" t="s">
        <v>808</v>
      </c>
    </row>
    <row r="27" spans="1:13" ht="12.75">
      <c r="A27" s="77"/>
      <c r="B27" s="77"/>
      <c r="C27" s="77"/>
      <c r="D27" s="78" t="s">
        <v>427</v>
      </c>
      <c r="E27" s="77"/>
      <c r="F27" s="79">
        <v>2902.4</v>
      </c>
      <c r="G27" s="77"/>
      <c r="H27" s="77"/>
      <c r="I27" s="77"/>
      <c r="J27" s="77"/>
      <c r="K27" s="77"/>
      <c r="L27" s="77"/>
      <c r="M27" s="77"/>
    </row>
    <row r="28" spans="1:43" ht="12.75">
      <c r="A28" s="74" t="s">
        <v>14</v>
      </c>
      <c r="B28" s="74" t="s">
        <v>206</v>
      </c>
      <c r="C28" s="74" t="s">
        <v>219</v>
      </c>
      <c r="D28" s="74" t="s">
        <v>428</v>
      </c>
      <c r="E28" s="74" t="s">
        <v>731</v>
      </c>
      <c r="F28" s="75">
        <v>60.3</v>
      </c>
      <c r="G28" s="75"/>
      <c r="H28" s="75">
        <f>F28*AE28</f>
        <v>0</v>
      </c>
      <c r="I28" s="75">
        <f>J28-H28</f>
        <v>0</v>
      </c>
      <c r="J28" s="75">
        <f>F28*G28</f>
        <v>0</v>
      </c>
      <c r="K28" s="75">
        <v>0</v>
      </c>
      <c r="L28" s="75">
        <f>F28*K28</f>
        <v>0</v>
      </c>
      <c r="M28" s="76" t="s">
        <v>758</v>
      </c>
      <c r="N28" s="12" t="s">
        <v>7</v>
      </c>
      <c r="O28" s="6">
        <f>IF(N28="5",I28,0)</f>
        <v>0</v>
      </c>
      <c r="Z28" s="6">
        <f>IF(AD28=0,J28,0)</f>
        <v>0</v>
      </c>
      <c r="AA28" s="6">
        <f>IF(AD28=15,J28,0)</f>
        <v>0</v>
      </c>
      <c r="AB28" s="6">
        <f>IF(AD28=21,J28,0)</f>
        <v>0</v>
      </c>
      <c r="AD28" s="16">
        <v>21</v>
      </c>
      <c r="AE28" s="16">
        <f>G28*0</f>
        <v>0</v>
      </c>
      <c r="AF28" s="16">
        <f>G28*(1-0)</f>
        <v>0</v>
      </c>
      <c r="AM28" s="16">
        <f>F28*AE28</f>
        <v>0</v>
      </c>
      <c r="AN28" s="16">
        <f>F28*AF28</f>
        <v>0</v>
      </c>
      <c r="AO28" s="17" t="s">
        <v>774</v>
      </c>
      <c r="AP28" s="17" t="s">
        <v>774</v>
      </c>
      <c r="AQ28" s="11" t="s">
        <v>808</v>
      </c>
    </row>
    <row r="29" spans="1:13" ht="12.75">
      <c r="A29" s="77"/>
      <c r="B29" s="77"/>
      <c r="C29" s="77"/>
      <c r="D29" s="78" t="s">
        <v>429</v>
      </c>
      <c r="E29" s="77"/>
      <c r="F29" s="79">
        <v>60.3</v>
      </c>
      <c r="G29" s="77"/>
      <c r="H29" s="77"/>
      <c r="I29" s="77"/>
      <c r="J29" s="77"/>
      <c r="K29" s="77"/>
      <c r="L29" s="77"/>
      <c r="M29" s="77"/>
    </row>
    <row r="30" spans="1:37" ht="12.75">
      <c r="A30" s="70"/>
      <c r="B30" s="71" t="s">
        <v>206</v>
      </c>
      <c r="C30" s="71" t="s">
        <v>27</v>
      </c>
      <c r="D30" s="225" t="s">
        <v>430</v>
      </c>
      <c r="E30" s="226"/>
      <c r="F30" s="226"/>
      <c r="G30" s="226"/>
      <c r="H30" s="72">
        <f>SUM(H31:H31)</f>
        <v>0</v>
      </c>
      <c r="I30" s="72">
        <f>SUM(I31:I31)</f>
        <v>0</v>
      </c>
      <c r="J30" s="72">
        <f>H30+I30</f>
        <v>0</v>
      </c>
      <c r="K30" s="73"/>
      <c r="L30" s="72">
        <f>SUM(L31:L31)</f>
        <v>29.27468</v>
      </c>
      <c r="M30" s="73"/>
      <c r="P30" s="18">
        <f>IF(Q30="PR",J30,SUM(O31:O31))</f>
        <v>0</v>
      </c>
      <c r="Q30" s="11" t="s">
        <v>764</v>
      </c>
      <c r="R30" s="18">
        <f>IF(Q30="HS",H30,0)</f>
        <v>0</v>
      </c>
      <c r="S30" s="18">
        <f>IF(Q30="HS",I30-P30,0)</f>
        <v>0</v>
      </c>
      <c r="T30" s="18">
        <f>IF(Q30="PS",H30,0)</f>
        <v>0</v>
      </c>
      <c r="U30" s="18">
        <f>IF(Q30="PS",I30-P30,0)</f>
        <v>0</v>
      </c>
      <c r="V30" s="18">
        <f>IF(Q30="MP",H30,0)</f>
        <v>0</v>
      </c>
      <c r="W30" s="18">
        <f>IF(Q30="MP",I30-P30,0)</f>
        <v>0</v>
      </c>
      <c r="X30" s="18">
        <f>IF(Q30="OM",H30,0)</f>
        <v>0</v>
      </c>
      <c r="Y30" s="11" t="s">
        <v>206</v>
      </c>
      <c r="AI30" s="18">
        <f>SUM(Z31:Z31)</f>
        <v>0</v>
      </c>
      <c r="AJ30" s="18">
        <f>SUM(AA31:AA31)</f>
        <v>0</v>
      </c>
      <c r="AK30" s="18">
        <f>SUM(AB31:AB31)</f>
        <v>0</v>
      </c>
    </row>
    <row r="31" spans="1:43" ht="12.75">
      <c r="A31" s="74" t="s">
        <v>15</v>
      </c>
      <c r="B31" s="74" t="s">
        <v>206</v>
      </c>
      <c r="C31" s="74" t="s">
        <v>220</v>
      </c>
      <c r="D31" s="74" t="s">
        <v>431</v>
      </c>
      <c r="E31" s="74" t="s">
        <v>729</v>
      </c>
      <c r="F31" s="75">
        <v>68</v>
      </c>
      <c r="G31" s="75"/>
      <c r="H31" s="75">
        <f>F31*AE31</f>
        <v>0</v>
      </c>
      <c r="I31" s="75">
        <f>J31-H31</f>
        <v>0</v>
      </c>
      <c r="J31" s="75">
        <f>F31*G31</f>
        <v>0</v>
      </c>
      <c r="K31" s="75">
        <v>0.43051</v>
      </c>
      <c r="L31" s="75">
        <f>F31*K31</f>
        <v>29.27468</v>
      </c>
      <c r="M31" s="76" t="s">
        <v>758</v>
      </c>
      <c r="N31" s="12" t="s">
        <v>9</v>
      </c>
      <c r="O31" s="6">
        <f>IF(N31="5",I31,0)</f>
        <v>0</v>
      </c>
      <c r="Z31" s="6">
        <f>IF(AD31=0,J31,0)</f>
        <v>0</v>
      </c>
      <c r="AA31" s="6">
        <f>IF(AD31=15,J31,0)</f>
        <v>0</v>
      </c>
      <c r="AB31" s="6">
        <f>IF(AD31=21,J31,0)</f>
        <v>0</v>
      </c>
      <c r="AD31" s="16">
        <v>21</v>
      </c>
      <c r="AE31" s="16">
        <f>G31*0.397851500789889</f>
        <v>0</v>
      </c>
      <c r="AF31" s="16">
        <f>G31*(1-0.397851500789889)</f>
        <v>0</v>
      </c>
      <c r="AM31" s="16">
        <f>F31*AE31</f>
        <v>0</v>
      </c>
      <c r="AN31" s="16">
        <f>F31*AF31</f>
        <v>0</v>
      </c>
      <c r="AO31" s="17" t="s">
        <v>775</v>
      </c>
      <c r="AP31" s="17" t="s">
        <v>799</v>
      </c>
      <c r="AQ31" s="11" t="s">
        <v>808</v>
      </c>
    </row>
    <row r="32" spans="1:13" ht="12.75">
      <c r="A32" s="77"/>
      <c r="B32" s="77"/>
      <c r="C32" s="77"/>
      <c r="D32" s="78" t="s">
        <v>74</v>
      </c>
      <c r="E32" s="77"/>
      <c r="F32" s="79">
        <v>68</v>
      </c>
      <c r="G32" s="77"/>
      <c r="H32" s="77"/>
      <c r="I32" s="77"/>
      <c r="J32" s="77"/>
      <c r="K32" s="77"/>
      <c r="L32" s="77"/>
      <c r="M32" s="77"/>
    </row>
    <row r="33" spans="1:37" ht="12.75">
      <c r="A33" s="70"/>
      <c r="B33" s="71" t="s">
        <v>206</v>
      </c>
      <c r="C33" s="71" t="s">
        <v>33</v>
      </c>
      <c r="D33" s="225" t="s">
        <v>432</v>
      </c>
      <c r="E33" s="226"/>
      <c r="F33" s="226"/>
      <c r="G33" s="226"/>
      <c r="H33" s="72">
        <f>SUM(H34:H34)</f>
        <v>0</v>
      </c>
      <c r="I33" s="72">
        <f>SUM(I34:I34)</f>
        <v>0</v>
      </c>
      <c r="J33" s="72">
        <f>H33+I33</f>
        <v>0</v>
      </c>
      <c r="K33" s="73"/>
      <c r="L33" s="72">
        <f>SUM(L34:L34)</f>
        <v>152.2575</v>
      </c>
      <c r="M33" s="73"/>
      <c r="P33" s="18">
        <f>IF(Q33="PR",J33,SUM(O34:O34))</f>
        <v>0</v>
      </c>
      <c r="Q33" s="11" t="s">
        <v>764</v>
      </c>
      <c r="R33" s="18">
        <f>IF(Q33="HS",H33,0)</f>
        <v>0</v>
      </c>
      <c r="S33" s="18">
        <f>IF(Q33="HS",I33-P33,0)</f>
        <v>0</v>
      </c>
      <c r="T33" s="18">
        <f>IF(Q33="PS",H33,0)</f>
        <v>0</v>
      </c>
      <c r="U33" s="18">
        <f>IF(Q33="PS",I33-P33,0)</f>
        <v>0</v>
      </c>
      <c r="V33" s="18">
        <f>IF(Q33="MP",H33,0)</f>
        <v>0</v>
      </c>
      <c r="W33" s="18">
        <f>IF(Q33="MP",I33-P33,0)</f>
        <v>0</v>
      </c>
      <c r="X33" s="18">
        <f>IF(Q33="OM",H33,0)</f>
        <v>0</v>
      </c>
      <c r="Y33" s="11" t="s">
        <v>206</v>
      </c>
      <c r="AI33" s="18">
        <f>SUM(Z34:Z34)</f>
        <v>0</v>
      </c>
      <c r="AJ33" s="18">
        <f>SUM(AA34:AA34)</f>
        <v>0</v>
      </c>
      <c r="AK33" s="18">
        <f>SUM(AB34:AB34)</f>
        <v>0</v>
      </c>
    </row>
    <row r="34" spans="1:43" ht="12.75">
      <c r="A34" s="74" t="s">
        <v>16</v>
      </c>
      <c r="B34" s="74" t="s">
        <v>206</v>
      </c>
      <c r="C34" s="74" t="s">
        <v>221</v>
      </c>
      <c r="D34" s="74" t="s">
        <v>433</v>
      </c>
      <c r="E34" s="74" t="s">
        <v>731</v>
      </c>
      <c r="F34" s="75">
        <v>60.3</v>
      </c>
      <c r="G34" s="75"/>
      <c r="H34" s="75">
        <f>F34*AE34</f>
        <v>0</v>
      </c>
      <c r="I34" s="75">
        <f>J34-H34</f>
        <v>0</v>
      </c>
      <c r="J34" s="75">
        <f>F34*G34</f>
        <v>0</v>
      </c>
      <c r="K34" s="75">
        <v>2.525</v>
      </c>
      <c r="L34" s="75">
        <f>F34*K34</f>
        <v>152.2575</v>
      </c>
      <c r="M34" s="76" t="s">
        <v>758</v>
      </c>
      <c r="N34" s="12" t="s">
        <v>7</v>
      </c>
      <c r="O34" s="6">
        <f>IF(N34="5",I34,0)</f>
        <v>0</v>
      </c>
      <c r="Z34" s="6">
        <f>IF(AD34=0,J34,0)</f>
        <v>0</v>
      </c>
      <c r="AA34" s="6">
        <f>IF(AD34=15,J34,0)</f>
        <v>0</v>
      </c>
      <c r="AB34" s="6">
        <f>IF(AD34=21,J34,0)</f>
        <v>0</v>
      </c>
      <c r="AD34" s="16">
        <v>21</v>
      </c>
      <c r="AE34" s="16">
        <f>G34*0.910353834681747</f>
        <v>0</v>
      </c>
      <c r="AF34" s="16">
        <f>G34*(1-0.910353834681747)</f>
        <v>0</v>
      </c>
      <c r="AM34" s="16">
        <f>F34*AE34</f>
        <v>0</v>
      </c>
      <c r="AN34" s="16">
        <f>F34*AF34</f>
        <v>0</v>
      </c>
      <c r="AO34" s="17" t="s">
        <v>776</v>
      </c>
      <c r="AP34" s="17" t="s">
        <v>799</v>
      </c>
      <c r="AQ34" s="11" t="s">
        <v>808</v>
      </c>
    </row>
    <row r="35" spans="1:13" ht="12.75">
      <c r="A35" s="77"/>
      <c r="B35" s="77"/>
      <c r="C35" s="77"/>
      <c r="D35" s="78" t="s">
        <v>434</v>
      </c>
      <c r="E35" s="77"/>
      <c r="F35" s="79">
        <v>60.3</v>
      </c>
      <c r="G35" s="77"/>
      <c r="H35" s="77"/>
      <c r="I35" s="77"/>
      <c r="J35" s="77"/>
      <c r="K35" s="77"/>
      <c r="L35" s="77"/>
      <c r="M35" s="77"/>
    </row>
    <row r="36" spans="1:37" ht="12.75">
      <c r="A36" s="70"/>
      <c r="B36" s="71" t="s">
        <v>206</v>
      </c>
      <c r="C36" s="71" t="s">
        <v>38</v>
      </c>
      <c r="D36" s="225" t="s">
        <v>435</v>
      </c>
      <c r="E36" s="226"/>
      <c r="F36" s="226"/>
      <c r="G36" s="226"/>
      <c r="H36" s="72">
        <f>SUM(H37:H37)</f>
        <v>0</v>
      </c>
      <c r="I36" s="72">
        <f>SUM(I37:I37)</f>
        <v>0</v>
      </c>
      <c r="J36" s="72">
        <f>H36+I36</f>
        <v>0</v>
      </c>
      <c r="K36" s="73"/>
      <c r="L36" s="72">
        <f>SUM(L37:L37)</f>
        <v>311.99354</v>
      </c>
      <c r="M36" s="73"/>
      <c r="P36" s="18">
        <f>IF(Q36="PR",J36,SUM(O37:O37))</f>
        <v>0</v>
      </c>
      <c r="Q36" s="11" t="s">
        <v>764</v>
      </c>
      <c r="R36" s="18">
        <f>IF(Q36="HS",H36,0)</f>
        <v>0</v>
      </c>
      <c r="S36" s="18">
        <f>IF(Q36="HS",I36-P36,0)</f>
        <v>0</v>
      </c>
      <c r="T36" s="18">
        <f>IF(Q36="PS",H36,0)</f>
        <v>0</v>
      </c>
      <c r="U36" s="18">
        <f>IF(Q36="PS",I36-P36,0)</f>
        <v>0</v>
      </c>
      <c r="V36" s="18">
        <f>IF(Q36="MP",H36,0)</f>
        <v>0</v>
      </c>
      <c r="W36" s="18">
        <f>IF(Q36="MP",I36-P36,0)</f>
        <v>0</v>
      </c>
      <c r="X36" s="18">
        <f>IF(Q36="OM",H36,0)</f>
        <v>0</v>
      </c>
      <c r="Y36" s="11" t="s">
        <v>206</v>
      </c>
      <c r="AI36" s="18">
        <f>SUM(Z37:Z37)</f>
        <v>0</v>
      </c>
      <c r="AJ36" s="18">
        <f>SUM(AA37:AA37)</f>
        <v>0</v>
      </c>
      <c r="AK36" s="18">
        <f>SUM(AB37:AB37)</f>
        <v>0</v>
      </c>
    </row>
    <row r="37" spans="1:43" ht="12.75">
      <c r="A37" s="74" t="s">
        <v>17</v>
      </c>
      <c r="B37" s="74" t="s">
        <v>206</v>
      </c>
      <c r="C37" s="74" t="s">
        <v>222</v>
      </c>
      <c r="D37" s="74" t="s">
        <v>436</v>
      </c>
      <c r="E37" s="74" t="s">
        <v>731</v>
      </c>
      <c r="F37" s="75">
        <v>134</v>
      </c>
      <c r="G37" s="75"/>
      <c r="H37" s="75">
        <f>F37*AE37</f>
        <v>0</v>
      </c>
      <c r="I37" s="75">
        <f>J37-H37</f>
        <v>0</v>
      </c>
      <c r="J37" s="75">
        <f>F37*G37</f>
        <v>0</v>
      </c>
      <c r="K37" s="75">
        <v>2.32831</v>
      </c>
      <c r="L37" s="75">
        <f>F37*K37</f>
        <v>311.99354</v>
      </c>
      <c r="M37" s="76" t="s">
        <v>758</v>
      </c>
      <c r="N37" s="12" t="s">
        <v>7</v>
      </c>
      <c r="O37" s="6">
        <f>IF(N37="5",I37,0)</f>
        <v>0</v>
      </c>
      <c r="Z37" s="6">
        <f>IF(AD37=0,J37,0)</f>
        <v>0</v>
      </c>
      <c r="AA37" s="6">
        <f>IF(AD37=15,J37,0)</f>
        <v>0</v>
      </c>
      <c r="AB37" s="6">
        <f>IF(AD37=21,J37,0)</f>
        <v>0</v>
      </c>
      <c r="AD37" s="16">
        <v>21</v>
      </c>
      <c r="AE37" s="16">
        <f>G37*0.868693586698337</f>
        <v>0</v>
      </c>
      <c r="AF37" s="16">
        <f>G37*(1-0.868693586698337)</f>
        <v>0</v>
      </c>
      <c r="AM37" s="16">
        <f>F37*AE37</f>
        <v>0</v>
      </c>
      <c r="AN37" s="16">
        <f>F37*AF37</f>
        <v>0</v>
      </c>
      <c r="AO37" s="17" t="s">
        <v>777</v>
      </c>
      <c r="AP37" s="17" t="s">
        <v>800</v>
      </c>
      <c r="AQ37" s="11" t="s">
        <v>808</v>
      </c>
    </row>
    <row r="38" spans="1:13" ht="12.75">
      <c r="A38" s="77"/>
      <c r="B38" s="77"/>
      <c r="C38" s="77"/>
      <c r="D38" s="78" t="s">
        <v>437</v>
      </c>
      <c r="E38" s="77"/>
      <c r="F38" s="79">
        <v>134</v>
      </c>
      <c r="G38" s="77"/>
      <c r="H38" s="77"/>
      <c r="I38" s="77"/>
      <c r="J38" s="77"/>
      <c r="K38" s="77"/>
      <c r="L38" s="77"/>
      <c r="M38" s="77"/>
    </row>
    <row r="39" spans="1:37" ht="12.75">
      <c r="A39" s="70"/>
      <c r="B39" s="71" t="s">
        <v>206</v>
      </c>
      <c r="C39" s="71" t="s">
        <v>69</v>
      </c>
      <c r="D39" s="225" t="s">
        <v>438</v>
      </c>
      <c r="E39" s="226"/>
      <c r="F39" s="226"/>
      <c r="G39" s="226"/>
      <c r="H39" s="72">
        <f>SUM(H40:H40)</f>
        <v>0</v>
      </c>
      <c r="I39" s="72">
        <f>SUM(I40:I40)</f>
        <v>0</v>
      </c>
      <c r="J39" s="72">
        <f>H39+I39</f>
        <v>0</v>
      </c>
      <c r="K39" s="73"/>
      <c r="L39" s="72">
        <f>SUM(L40:L40)</f>
        <v>12.18868</v>
      </c>
      <c r="M39" s="73"/>
      <c r="P39" s="18">
        <f>IF(Q39="PR",J39,SUM(O40:O40))</f>
        <v>0</v>
      </c>
      <c r="Q39" s="11" t="s">
        <v>764</v>
      </c>
      <c r="R39" s="18">
        <f>IF(Q39="HS",H39,0)</f>
        <v>0</v>
      </c>
      <c r="S39" s="18">
        <f>IF(Q39="HS",I39-P39,0)</f>
        <v>0</v>
      </c>
      <c r="T39" s="18">
        <f>IF(Q39="PS",H39,0)</f>
        <v>0</v>
      </c>
      <c r="U39" s="18">
        <f>IF(Q39="PS",I39-P39,0)</f>
        <v>0</v>
      </c>
      <c r="V39" s="18">
        <f>IF(Q39="MP",H39,0)</f>
        <v>0</v>
      </c>
      <c r="W39" s="18">
        <f>IF(Q39="MP",I39-P39,0)</f>
        <v>0</v>
      </c>
      <c r="X39" s="18">
        <f>IF(Q39="OM",H39,0)</f>
        <v>0</v>
      </c>
      <c r="Y39" s="11" t="s">
        <v>206</v>
      </c>
      <c r="AI39" s="18">
        <f>SUM(Z40:Z40)</f>
        <v>0</v>
      </c>
      <c r="AJ39" s="18">
        <f>SUM(AA40:AA40)</f>
        <v>0</v>
      </c>
      <c r="AK39" s="18">
        <f>SUM(AB40:AB40)</f>
        <v>0</v>
      </c>
    </row>
    <row r="40" spans="1:43" ht="12.75">
      <c r="A40" s="74" t="s">
        <v>18</v>
      </c>
      <c r="B40" s="74" t="s">
        <v>206</v>
      </c>
      <c r="C40" s="74" t="s">
        <v>223</v>
      </c>
      <c r="D40" s="74" t="s">
        <v>439</v>
      </c>
      <c r="E40" s="74" t="s">
        <v>729</v>
      </c>
      <c r="F40" s="75">
        <v>101</v>
      </c>
      <c r="G40" s="75"/>
      <c r="H40" s="75">
        <f>F40*AE40</f>
        <v>0</v>
      </c>
      <c r="I40" s="75">
        <f>J40-H40</f>
        <v>0</v>
      </c>
      <c r="J40" s="75">
        <f>F40*G40</f>
        <v>0</v>
      </c>
      <c r="K40" s="75">
        <v>0.12068</v>
      </c>
      <c r="L40" s="75">
        <f>F40*K40</f>
        <v>12.18868</v>
      </c>
      <c r="M40" s="76" t="s">
        <v>758</v>
      </c>
      <c r="N40" s="12" t="s">
        <v>7</v>
      </c>
      <c r="O40" s="6">
        <f>IF(N40="5",I40,0)</f>
        <v>0</v>
      </c>
      <c r="Z40" s="6">
        <f>IF(AD40=0,J40,0)</f>
        <v>0</v>
      </c>
      <c r="AA40" s="6">
        <f>IF(AD40=15,J40,0)</f>
        <v>0</v>
      </c>
      <c r="AB40" s="6">
        <f>IF(AD40=21,J40,0)</f>
        <v>0</v>
      </c>
      <c r="AD40" s="16">
        <v>21</v>
      </c>
      <c r="AE40" s="16">
        <f>G40*0.766612466124661</f>
        <v>0</v>
      </c>
      <c r="AF40" s="16">
        <f>G40*(1-0.766612466124661)</f>
        <v>0</v>
      </c>
      <c r="AM40" s="16">
        <f>F40*AE40</f>
        <v>0</v>
      </c>
      <c r="AN40" s="16">
        <f>F40*AF40</f>
        <v>0</v>
      </c>
      <c r="AO40" s="17" t="s">
        <v>778</v>
      </c>
      <c r="AP40" s="17" t="s">
        <v>801</v>
      </c>
      <c r="AQ40" s="11" t="s">
        <v>808</v>
      </c>
    </row>
    <row r="41" spans="1:13" ht="12.75">
      <c r="A41" s="77"/>
      <c r="B41" s="77"/>
      <c r="C41" s="77"/>
      <c r="D41" s="78" t="s">
        <v>107</v>
      </c>
      <c r="E41" s="77"/>
      <c r="F41" s="79">
        <v>101</v>
      </c>
      <c r="G41" s="77"/>
      <c r="H41" s="77"/>
      <c r="I41" s="77"/>
      <c r="J41" s="77"/>
      <c r="K41" s="77"/>
      <c r="L41" s="77"/>
      <c r="M41" s="77"/>
    </row>
    <row r="42" spans="1:37" ht="12.75">
      <c r="A42" s="70"/>
      <c r="B42" s="71" t="s">
        <v>206</v>
      </c>
      <c r="C42" s="71" t="s">
        <v>97</v>
      </c>
      <c r="D42" s="225" t="s">
        <v>440</v>
      </c>
      <c r="E42" s="226"/>
      <c r="F42" s="226"/>
      <c r="G42" s="226"/>
      <c r="H42" s="72">
        <f>SUM(H43:H45)</f>
        <v>0</v>
      </c>
      <c r="I42" s="72">
        <f>SUM(I43:I45)</f>
        <v>0</v>
      </c>
      <c r="J42" s="72">
        <f>H42+I42</f>
        <v>0</v>
      </c>
      <c r="K42" s="73"/>
      <c r="L42" s="72">
        <f>SUM(L43:L45)</f>
        <v>18.510450000000002</v>
      </c>
      <c r="M42" s="73"/>
      <c r="P42" s="18">
        <f>IF(Q42="PR",J42,SUM(O43:O45))</f>
        <v>0</v>
      </c>
      <c r="Q42" s="11" t="s">
        <v>764</v>
      </c>
      <c r="R42" s="18">
        <f>IF(Q42="HS",H42,0)</f>
        <v>0</v>
      </c>
      <c r="S42" s="18">
        <f>IF(Q42="HS",I42-P42,0)</f>
        <v>0</v>
      </c>
      <c r="T42" s="18">
        <f>IF(Q42="PS",H42,0)</f>
        <v>0</v>
      </c>
      <c r="U42" s="18">
        <f>IF(Q42="PS",I42-P42,0)</f>
        <v>0</v>
      </c>
      <c r="V42" s="18">
        <f>IF(Q42="MP",H42,0)</f>
        <v>0</v>
      </c>
      <c r="W42" s="18">
        <f>IF(Q42="MP",I42-P42,0)</f>
        <v>0</v>
      </c>
      <c r="X42" s="18">
        <f>IF(Q42="OM",H42,0)</f>
        <v>0</v>
      </c>
      <c r="Y42" s="11" t="s">
        <v>206</v>
      </c>
      <c r="AI42" s="18">
        <f>SUM(Z43:Z45)</f>
        <v>0</v>
      </c>
      <c r="AJ42" s="18">
        <f>SUM(AA43:AA45)</f>
        <v>0</v>
      </c>
      <c r="AK42" s="18">
        <f>SUM(AB43:AB45)</f>
        <v>0</v>
      </c>
    </row>
    <row r="43" spans="1:43" ht="12.75">
      <c r="A43" s="74" t="s">
        <v>19</v>
      </c>
      <c r="B43" s="74" t="s">
        <v>206</v>
      </c>
      <c r="C43" s="74" t="s">
        <v>224</v>
      </c>
      <c r="D43" s="74" t="s">
        <v>441</v>
      </c>
      <c r="E43" s="74" t="s">
        <v>729</v>
      </c>
      <c r="F43" s="75">
        <v>85.4</v>
      </c>
      <c r="G43" s="75"/>
      <c r="H43" s="75">
        <f>F43*AE43</f>
        <v>0</v>
      </c>
      <c r="I43" s="75">
        <f>J43-H43</f>
        <v>0</v>
      </c>
      <c r="J43" s="75">
        <f>F43*G43</f>
        <v>0</v>
      </c>
      <c r="K43" s="75">
        <v>0.21675</v>
      </c>
      <c r="L43" s="75">
        <f>F43*K43</f>
        <v>18.510450000000002</v>
      </c>
      <c r="M43" s="76" t="s">
        <v>758</v>
      </c>
      <c r="N43" s="12" t="s">
        <v>7</v>
      </c>
      <c r="O43" s="6">
        <f>IF(N43="5",I43,0)</f>
        <v>0</v>
      </c>
      <c r="Z43" s="6">
        <f>IF(AD43=0,J43,0)</f>
        <v>0</v>
      </c>
      <c r="AA43" s="6">
        <f>IF(AD43=15,J43,0)</f>
        <v>0</v>
      </c>
      <c r="AB43" s="6">
        <f>IF(AD43=21,J43,0)</f>
        <v>0</v>
      </c>
      <c r="AD43" s="16">
        <v>21</v>
      </c>
      <c r="AE43" s="16">
        <f>G43*0.802592741268979</f>
        <v>0</v>
      </c>
      <c r="AF43" s="16">
        <f>G43*(1-0.802592741268979)</f>
        <v>0</v>
      </c>
      <c r="AM43" s="16">
        <f>F43*AE43</f>
        <v>0</v>
      </c>
      <c r="AN43" s="16">
        <f>F43*AF43</f>
        <v>0</v>
      </c>
      <c r="AO43" s="17" t="s">
        <v>779</v>
      </c>
      <c r="AP43" s="17" t="s">
        <v>802</v>
      </c>
      <c r="AQ43" s="11" t="s">
        <v>808</v>
      </c>
    </row>
    <row r="44" spans="1:13" ht="12.75">
      <c r="A44" s="77"/>
      <c r="B44" s="77"/>
      <c r="C44" s="77"/>
      <c r="D44" s="78" t="s">
        <v>442</v>
      </c>
      <c r="E44" s="77"/>
      <c r="F44" s="79">
        <v>85.4</v>
      </c>
      <c r="G44" s="77"/>
      <c r="H44" s="77"/>
      <c r="I44" s="77"/>
      <c r="J44" s="77"/>
      <c r="K44" s="77"/>
      <c r="L44" s="77"/>
      <c r="M44" s="77"/>
    </row>
    <row r="45" spans="1:43" ht="12.75">
      <c r="A45" s="74" t="s">
        <v>20</v>
      </c>
      <c r="B45" s="74" t="s">
        <v>206</v>
      </c>
      <c r="C45" s="74" t="s">
        <v>225</v>
      </c>
      <c r="D45" s="74" t="s">
        <v>443</v>
      </c>
      <c r="E45" s="74" t="s">
        <v>732</v>
      </c>
      <c r="F45" s="75">
        <v>524.22485</v>
      </c>
      <c r="G45" s="75"/>
      <c r="H45" s="75">
        <f>F45*AE45</f>
        <v>0</v>
      </c>
      <c r="I45" s="75">
        <f>J45-H45</f>
        <v>0</v>
      </c>
      <c r="J45" s="75">
        <f>F45*G45</f>
        <v>0</v>
      </c>
      <c r="K45" s="75">
        <v>0</v>
      </c>
      <c r="L45" s="75">
        <f>F45*K45</f>
        <v>0</v>
      </c>
      <c r="M45" s="76" t="s">
        <v>758</v>
      </c>
      <c r="N45" s="12" t="s">
        <v>11</v>
      </c>
      <c r="O45" s="6">
        <f>IF(N45="5",I45,0)</f>
        <v>0</v>
      </c>
      <c r="Z45" s="6">
        <f>IF(AD45=0,J45,0)</f>
        <v>0</v>
      </c>
      <c r="AA45" s="6">
        <f>IF(AD45=15,J45,0)</f>
        <v>0</v>
      </c>
      <c r="AB45" s="6">
        <f>IF(AD45=21,J45,0)</f>
        <v>0</v>
      </c>
      <c r="AD45" s="16">
        <v>21</v>
      </c>
      <c r="AE45" s="16">
        <f>G45*0</f>
        <v>0</v>
      </c>
      <c r="AF45" s="16">
        <f>G45*(1-0)</f>
        <v>0</v>
      </c>
      <c r="AM45" s="16">
        <f>F45*AE45</f>
        <v>0</v>
      </c>
      <c r="AN45" s="16">
        <f>F45*AF45</f>
        <v>0</v>
      </c>
      <c r="AO45" s="17" t="s">
        <v>779</v>
      </c>
      <c r="AP45" s="17" t="s">
        <v>802</v>
      </c>
      <c r="AQ45" s="11" t="s">
        <v>808</v>
      </c>
    </row>
    <row r="46" spans="1:13" ht="12.75">
      <c r="A46" s="80"/>
      <c r="B46" s="81" t="s">
        <v>207</v>
      </c>
      <c r="C46" s="81"/>
      <c r="D46" s="229" t="s">
        <v>444</v>
      </c>
      <c r="E46" s="230"/>
      <c r="F46" s="230"/>
      <c r="G46" s="230"/>
      <c r="H46" s="82">
        <f>H47+H55+H62+H67+H80+H89+H94+H115+H127+H156+H174+H341+H344</f>
        <v>0</v>
      </c>
      <c r="I46" s="82">
        <f>I47+I55+I62+I67+I80+I89+I94+I115+I127+I156+I174+I341+I344</f>
        <v>0</v>
      </c>
      <c r="J46" s="82">
        <f>H46+I46</f>
        <v>0</v>
      </c>
      <c r="K46" s="83"/>
      <c r="L46" s="82">
        <f>L47+L55+L62+L67+L80+L89+L94+L115+L127+L156+L174+L341+L344</f>
        <v>1624.5727405</v>
      </c>
      <c r="M46" s="83"/>
    </row>
    <row r="47" spans="1:37" ht="12.75">
      <c r="A47" s="70"/>
      <c r="B47" s="71" t="s">
        <v>207</v>
      </c>
      <c r="C47" s="71" t="s">
        <v>7</v>
      </c>
      <c r="D47" s="225" t="s">
        <v>415</v>
      </c>
      <c r="E47" s="226"/>
      <c r="F47" s="226"/>
      <c r="G47" s="226"/>
      <c r="H47" s="72">
        <f>SUM(H48:H53)</f>
        <v>0</v>
      </c>
      <c r="I47" s="72">
        <f>SUM(I48:I53)</f>
        <v>0</v>
      </c>
      <c r="J47" s="72">
        <f>H47+I47</f>
        <v>0</v>
      </c>
      <c r="K47" s="73"/>
      <c r="L47" s="72">
        <f>SUM(L48:L53)</f>
        <v>0</v>
      </c>
      <c r="M47" s="73"/>
      <c r="P47" s="18">
        <f>IF(Q47="PR",J47,SUM(O48:O53))</f>
        <v>0</v>
      </c>
      <c r="Q47" s="11" t="s">
        <v>764</v>
      </c>
      <c r="R47" s="18">
        <f>IF(Q47="HS",H47,0)</f>
        <v>0</v>
      </c>
      <c r="S47" s="18">
        <f>IF(Q47="HS",I47-P47,0)</f>
        <v>0</v>
      </c>
      <c r="T47" s="18">
        <f>IF(Q47="PS",H47,0)</f>
        <v>0</v>
      </c>
      <c r="U47" s="18">
        <f>IF(Q47="PS",I47-P47,0)</f>
        <v>0</v>
      </c>
      <c r="V47" s="18">
        <f>IF(Q47="MP",H47,0)</f>
        <v>0</v>
      </c>
      <c r="W47" s="18">
        <f>IF(Q47="MP",I47-P47,0)</f>
        <v>0</v>
      </c>
      <c r="X47" s="18">
        <f>IF(Q47="OM",H47,0)</f>
        <v>0</v>
      </c>
      <c r="Y47" s="11" t="s">
        <v>207</v>
      </c>
      <c r="AI47" s="18">
        <f>SUM(Z48:Z53)</f>
        <v>0</v>
      </c>
      <c r="AJ47" s="18">
        <f>SUM(AA48:AA53)</f>
        <v>0</v>
      </c>
      <c r="AK47" s="18">
        <f>SUM(AB48:AB53)</f>
        <v>0</v>
      </c>
    </row>
    <row r="48" spans="1:43" ht="12.75">
      <c r="A48" s="74" t="s">
        <v>21</v>
      </c>
      <c r="B48" s="74" t="s">
        <v>207</v>
      </c>
      <c r="C48" s="74" t="s">
        <v>226</v>
      </c>
      <c r="D48" s="74" t="s">
        <v>445</v>
      </c>
      <c r="E48" s="74" t="s">
        <v>731</v>
      </c>
      <c r="F48" s="75">
        <v>113.18</v>
      </c>
      <c r="G48" s="75"/>
      <c r="H48" s="75">
        <f>F48*AE48</f>
        <v>0</v>
      </c>
      <c r="I48" s="75">
        <f>J48-H48</f>
        <v>0</v>
      </c>
      <c r="J48" s="75">
        <f>F48*G48</f>
        <v>0</v>
      </c>
      <c r="K48" s="75">
        <v>0</v>
      </c>
      <c r="L48" s="75">
        <f>F48*K48</f>
        <v>0</v>
      </c>
      <c r="M48" s="76" t="s">
        <v>758</v>
      </c>
      <c r="N48" s="12" t="s">
        <v>7</v>
      </c>
      <c r="O48" s="6">
        <f>IF(N48="5",I48,0)</f>
        <v>0</v>
      </c>
      <c r="Z48" s="6">
        <f>IF(AD48=0,J48,0)</f>
        <v>0</v>
      </c>
      <c r="AA48" s="6">
        <f>IF(AD48=15,J48,0)</f>
        <v>0</v>
      </c>
      <c r="AB48" s="6">
        <f>IF(AD48=21,J48,0)</f>
        <v>0</v>
      </c>
      <c r="AD48" s="16">
        <v>21</v>
      </c>
      <c r="AE48" s="16">
        <f>G48*0</f>
        <v>0</v>
      </c>
      <c r="AF48" s="16">
        <f>G48*(1-0)</f>
        <v>0</v>
      </c>
      <c r="AM48" s="16">
        <f>F48*AE48</f>
        <v>0</v>
      </c>
      <c r="AN48" s="16">
        <f>F48*AF48</f>
        <v>0</v>
      </c>
      <c r="AO48" s="17" t="s">
        <v>774</v>
      </c>
      <c r="AP48" s="17" t="s">
        <v>774</v>
      </c>
      <c r="AQ48" s="11" t="s">
        <v>809</v>
      </c>
    </row>
    <row r="49" spans="1:13" ht="12.75">
      <c r="A49" s="77"/>
      <c r="B49" s="77"/>
      <c r="C49" s="77"/>
      <c r="D49" s="78" t="s">
        <v>446</v>
      </c>
      <c r="E49" s="77"/>
      <c r="F49" s="79">
        <v>26.13</v>
      </c>
      <c r="G49" s="77"/>
      <c r="H49" s="77"/>
      <c r="I49" s="77"/>
      <c r="J49" s="77"/>
      <c r="K49" s="77"/>
      <c r="L49" s="77"/>
      <c r="M49" s="77"/>
    </row>
    <row r="50" spans="1:13" ht="12.75">
      <c r="A50" s="77"/>
      <c r="B50" s="77"/>
      <c r="C50" s="77"/>
      <c r="D50" s="78" t="s">
        <v>447</v>
      </c>
      <c r="E50" s="77"/>
      <c r="F50" s="79">
        <v>87.05</v>
      </c>
      <c r="G50" s="77"/>
      <c r="H50" s="77"/>
      <c r="I50" s="77"/>
      <c r="J50" s="77"/>
      <c r="K50" s="77"/>
      <c r="L50" s="77"/>
      <c r="M50" s="77"/>
    </row>
    <row r="51" spans="1:43" ht="12.75">
      <c r="A51" s="74" t="s">
        <v>22</v>
      </c>
      <c r="B51" s="74" t="s">
        <v>207</v>
      </c>
      <c r="C51" s="74" t="s">
        <v>217</v>
      </c>
      <c r="D51" s="74" t="s">
        <v>424</v>
      </c>
      <c r="E51" s="74" t="s">
        <v>731</v>
      </c>
      <c r="F51" s="75">
        <v>57.19</v>
      </c>
      <c r="G51" s="75"/>
      <c r="H51" s="75">
        <f>F51*AE51</f>
        <v>0</v>
      </c>
      <c r="I51" s="75">
        <f>J51-H51</f>
        <v>0</v>
      </c>
      <c r="J51" s="75">
        <f>F51*G51</f>
        <v>0</v>
      </c>
      <c r="K51" s="75">
        <v>0</v>
      </c>
      <c r="L51" s="75">
        <f>F51*K51</f>
        <v>0</v>
      </c>
      <c r="M51" s="76" t="s">
        <v>758</v>
      </c>
      <c r="N51" s="12" t="s">
        <v>7</v>
      </c>
      <c r="O51" s="6">
        <f>IF(N51="5",I51,0)</f>
        <v>0</v>
      </c>
      <c r="Z51" s="6">
        <f>IF(AD51=0,J51,0)</f>
        <v>0</v>
      </c>
      <c r="AA51" s="6">
        <f>IF(AD51=15,J51,0)</f>
        <v>0</v>
      </c>
      <c r="AB51" s="6">
        <f>IF(AD51=21,J51,0)</f>
        <v>0</v>
      </c>
      <c r="AD51" s="16">
        <v>21</v>
      </c>
      <c r="AE51" s="16">
        <f>G51*0</f>
        <v>0</v>
      </c>
      <c r="AF51" s="16">
        <f>G51*(1-0)</f>
        <v>0</v>
      </c>
      <c r="AM51" s="16">
        <f>F51*AE51</f>
        <v>0</v>
      </c>
      <c r="AN51" s="16">
        <f>F51*AF51</f>
        <v>0</v>
      </c>
      <c r="AO51" s="17" t="s">
        <v>774</v>
      </c>
      <c r="AP51" s="17" t="s">
        <v>774</v>
      </c>
      <c r="AQ51" s="11" t="s">
        <v>809</v>
      </c>
    </row>
    <row r="52" spans="1:13" ht="12.75">
      <c r="A52" s="77"/>
      <c r="B52" s="77"/>
      <c r="C52" s="77"/>
      <c r="D52" s="78" t="s">
        <v>448</v>
      </c>
      <c r="E52" s="77"/>
      <c r="F52" s="79">
        <v>57.19</v>
      </c>
      <c r="G52" s="77"/>
      <c r="H52" s="77"/>
      <c r="I52" s="77"/>
      <c r="J52" s="77"/>
      <c r="K52" s="77"/>
      <c r="L52" s="77"/>
      <c r="M52" s="77"/>
    </row>
    <row r="53" spans="1:43" ht="12.75">
      <c r="A53" s="74" t="s">
        <v>23</v>
      </c>
      <c r="B53" s="74" t="s">
        <v>207</v>
      </c>
      <c r="C53" s="74" t="s">
        <v>227</v>
      </c>
      <c r="D53" s="74" t="s">
        <v>449</v>
      </c>
      <c r="E53" s="74" t="s">
        <v>731</v>
      </c>
      <c r="F53" s="75">
        <v>55.99</v>
      </c>
      <c r="G53" s="75"/>
      <c r="H53" s="75">
        <f>F53*AE53</f>
        <v>0</v>
      </c>
      <c r="I53" s="75">
        <f>J53-H53</f>
        <v>0</v>
      </c>
      <c r="J53" s="75">
        <f>F53*G53</f>
        <v>0</v>
      </c>
      <c r="K53" s="75">
        <v>0</v>
      </c>
      <c r="L53" s="75">
        <f>F53*K53</f>
        <v>0</v>
      </c>
      <c r="M53" s="76" t="s">
        <v>758</v>
      </c>
      <c r="N53" s="12" t="s">
        <v>7</v>
      </c>
      <c r="O53" s="6">
        <f>IF(N53="5",I53,0)</f>
        <v>0</v>
      </c>
      <c r="Z53" s="6">
        <f>IF(AD53=0,J53,0)</f>
        <v>0</v>
      </c>
      <c r="AA53" s="6">
        <f>IF(AD53=15,J53,0)</f>
        <v>0</v>
      </c>
      <c r="AB53" s="6">
        <f>IF(AD53=21,J53,0)</f>
        <v>0</v>
      </c>
      <c r="AD53" s="16">
        <v>21</v>
      </c>
      <c r="AE53" s="16">
        <f>G53*0</f>
        <v>0</v>
      </c>
      <c r="AF53" s="16">
        <f>G53*(1-0)</f>
        <v>0</v>
      </c>
      <c r="AM53" s="16">
        <f>F53*AE53</f>
        <v>0</v>
      </c>
      <c r="AN53" s="16">
        <f>F53*AF53</f>
        <v>0</v>
      </c>
      <c r="AO53" s="17" t="s">
        <v>774</v>
      </c>
      <c r="AP53" s="17" t="s">
        <v>774</v>
      </c>
      <c r="AQ53" s="11" t="s">
        <v>809</v>
      </c>
    </row>
    <row r="54" spans="1:13" ht="12.75">
      <c r="A54" s="77"/>
      <c r="B54" s="77"/>
      <c r="C54" s="77"/>
      <c r="D54" s="78" t="s">
        <v>450</v>
      </c>
      <c r="E54" s="77"/>
      <c r="F54" s="79">
        <v>55.99</v>
      </c>
      <c r="G54" s="77"/>
      <c r="H54" s="77"/>
      <c r="I54" s="77"/>
      <c r="J54" s="77"/>
      <c r="K54" s="77"/>
      <c r="L54" s="77"/>
      <c r="M54" s="77"/>
    </row>
    <row r="55" spans="1:37" ht="12.75">
      <c r="A55" s="70"/>
      <c r="B55" s="71" t="s">
        <v>207</v>
      </c>
      <c r="C55" s="71" t="s">
        <v>28</v>
      </c>
      <c r="D55" s="225" t="s">
        <v>451</v>
      </c>
      <c r="E55" s="226"/>
      <c r="F55" s="226"/>
      <c r="G55" s="226"/>
      <c r="H55" s="72">
        <f>SUM(H56:H60)</f>
        <v>0</v>
      </c>
      <c r="I55" s="72">
        <f>SUM(I56:I60)</f>
        <v>0</v>
      </c>
      <c r="J55" s="72">
        <f>H55+I55</f>
        <v>0</v>
      </c>
      <c r="K55" s="73"/>
      <c r="L55" s="72">
        <f>SUM(L56:L60)</f>
        <v>127.57351239999998</v>
      </c>
      <c r="M55" s="73"/>
      <c r="P55" s="18">
        <f>IF(Q55="PR",J55,SUM(O56:O60))</f>
        <v>0</v>
      </c>
      <c r="Q55" s="11" t="s">
        <v>764</v>
      </c>
      <c r="R55" s="18">
        <f>IF(Q55="HS",H55,0)</f>
        <v>0</v>
      </c>
      <c r="S55" s="18">
        <f>IF(Q55="HS",I55-P55,0)</f>
        <v>0</v>
      </c>
      <c r="T55" s="18">
        <f>IF(Q55="PS",H55,0)</f>
        <v>0</v>
      </c>
      <c r="U55" s="18">
        <f>IF(Q55="PS",I55-P55,0)</f>
        <v>0</v>
      </c>
      <c r="V55" s="18">
        <f>IF(Q55="MP",H55,0)</f>
        <v>0</v>
      </c>
      <c r="W55" s="18">
        <f>IF(Q55="MP",I55-P55,0)</f>
        <v>0</v>
      </c>
      <c r="X55" s="18">
        <f>IF(Q55="OM",H55,0)</f>
        <v>0</v>
      </c>
      <c r="Y55" s="11" t="s">
        <v>207</v>
      </c>
      <c r="AI55" s="18">
        <f>SUM(Z56:Z60)</f>
        <v>0</v>
      </c>
      <c r="AJ55" s="18">
        <f>SUM(AA56:AA60)</f>
        <v>0</v>
      </c>
      <c r="AK55" s="18">
        <f>SUM(AB56:AB60)</f>
        <v>0</v>
      </c>
    </row>
    <row r="56" spans="1:43" ht="12.75">
      <c r="A56" s="74" t="s">
        <v>24</v>
      </c>
      <c r="B56" s="74" t="s">
        <v>207</v>
      </c>
      <c r="C56" s="74" t="s">
        <v>228</v>
      </c>
      <c r="D56" s="74" t="s">
        <v>452</v>
      </c>
      <c r="E56" s="74" t="s">
        <v>731</v>
      </c>
      <c r="F56" s="75">
        <v>49</v>
      </c>
      <c r="G56" s="75"/>
      <c r="H56" s="75">
        <f>F56*AE56</f>
        <v>0</v>
      </c>
      <c r="I56" s="75">
        <f>J56-H56</f>
        <v>0</v>
      </c>
      <c r="J56" s="75">
        <f>F56*G56</f>
        <v>0</v>
      </c>
      <c r="K56" s="75">
        <v>2.55</v>
      </c>
      <c r="L56" s="75">
        <f>F56*K56</f>
        <v>124.94999999999999</v>
      </c>
      <c r="M56" s="76" t="s">
        <v>758</v>
      </c>
      <c r="N56" s="12" t="s">
        <v>7</v>
      </c>
      <c r="O56" s="6">
        <f>IF(N56="5",I56,0)</f>
        <v>0</v>
      </c>
      <c r="Z56" s="6">
        <f>IF(AD56=0,J56,0)</f>
        <v>0</v>
      </c>
      <c r="AA56" s="6">
        <f>IF(AD56=15,J56,0)</f>
        <v>0</v>
      </c>
      <c r="AB56" s="6">
        <f>IF(AD56=21,J56,0)</f>
        <v>0</v>
      </c>
      <c r="AD56" s="16">
        <v>21</v>
      </c>
      <c r="AE56" s="16">
        <f>G56*1</f>
        <v>0</v>
      </c>
      <c r="AF56" s="16">
        <f>G56*(1-1)</f>
        <v>0</v>
      </c>
      <c r="AM56" s="16">
        <f>F56*AE56</f>
        <v>0</v>
      </c>
      <c r="AN56" s="16">
        <f>F56*AF56</f>
        <v>0</v>
      </c>
      <c r="AO56" s="17" t="s">
        <v>780</v>
      </c>
      <c r="AP56" s="17" t="s">
        <v>799</v>
      </c>
      <c r="AQ56" s="11" t="s">
        <v>809</v>
      </c>
    </row>
    <row r="57" spans="1:13" ht="12.75">
      <c r="A57" s="77"/>
      <c r="B57" s="77"/>
      <c r="C57" s="77"/>
      <c r="D57" s="78" t="s">
        <v>453</v>
      </c>
      <c r="E57" s="77"/>
      <c r="F57" s="79">
        <v>49</v>
      </c>
      <c r="G57" s="77"/>
      <c r="H57" s="77"/>
      <c r="I57" s="77"/>
      <c r="J57" s="77"/>
      <c r="K57" s="77"/>
      <c r="L57" s="77"/>
      <c r="M57" s="77"/>
    </row>
    <row r="58" spans="1:43" ht="12.75">
      <c r="A58" s="74" t="s">
        <v>25</v>
      </c>
      <c r="B58" s="74" t="s">
        <v>207</v>
      </c>
      <c r="C58" s="74" t="s">
        <v>229</v>
      </c>
      <c r="D58" s="74" t="s">
        <v>454</v>
      </c>
      <c r="E58" s="74" t="s">
        <v>732</v>
      </c>
      <c r="F58" s="75">
        <v>2.44</v>
      </c>
      <c r="G58" s="75"/>
      <c r="H58" s="75">
        <f>F58*AE58</f>
        <v>0</v>
      </c>
      <c r="I58" s="75">
        <f>J58-H58</f>
        <v>0</v>
      </c>
      <c r="J58" s="75">
        <f>F58*G58</f>
        <v>0</v>
      </c>
      <c r="K58" s="75">
        <v>1.07521</v>
      </c>
      <c r="L58" s="75">
        <f>F58*K58</f>
        <v>2.6235124</v>
      </c>
      <c r="M58" s="76" t="s">
        <v>758</v>
      </c>
      <c r="N58" s="12" t="s">
        <v>7</v>
      </c>
      <c r="O58" s="6">
        <f>IF(N58="5",I58,0)</f>
        <v>0</v>
      </c>
      <c r="Z58" s="6">
        <f>IF(AD58=0,J58,0)</f>
        <v>0</v>
      </c>
      <c r="AA58" s="6">
        <f>IF(AD58=15,J58,0)</f>
        <v>0</v>
      </c>
      <c r="AB58" s="6">
        <f>IF(AD58=21,J58,0)</f>
        <v>0</v>
      </c>
      <c r="AD58" s="16">
        <v>21</v>
      </c>
      <c r="AE58" s="16">
        <f>G58*0.61177409887609</f>
        <v>0</v>
      </c>
      <c r="AF58" s="16">
        <f>G58*(1-0.61177409887609)</f>
        <v>0</v>
      </c>
      <c r="AM58" s="16">
        <f>F58*AE58</f>
        <v>0</v>
      </c>
      <c r="AN58" s="16">
        <f>F58*AF58</f>
        <v>0</v>
      </c>
      <c r="AO58" s="17" t="s">
        <v>780</v>
      </c>
      <c r="AP58" s="17" t="s">
        <v>799</v>
      </c>
      <c r="AQ58" s="11" t="s">
        <v>809</v>
      </c>
    </row>
    <row r="59" spans="1:13" ht="12.75">
      <c r="A59" s="77"/>
      <c r="B59" s="77"/>
      <c r="C59" s="77"/>
      <c r="D59" s="78" t="s">
        <v>455</v>
      </c>
      <c r="E59" s="77"/>
      <c r="F59" s="79">
        <v>2.44</v>
      </c>
      <c r="G59" s="77"/>
      <c r="H59" s="77"/>
      <c r="I59" s="77"/>
      <c r="J59" s="77"/>
      <c r="K59" s="77"/>
      <c r="L59" s="77"/>
      <c r="M59" s="77"/>
    </row>
    <row r="60" spans="1:43" ht="12.75">
      <c r="A60" s="74" t="s">
        <v>26</v>
      </c>
      <c r="B60" s="74" t="s">
        <v>207</v>
      </c>
      <c r="C60" s="74" t="s">
        <v>230</v>
      </c>
      <c r="D60" s="74" t="s">
        <v>456</v>
      </c>
      <c r="E60" s="74" t="s">
        <v>731</v>
      </c>
      <c r="F60" s="75">
        <v>8.7</v>
      </c>
      <c r="G60" s="75"/>
      <c r="H60" s="75">
        <f>F60*AE60</f>
        <v>0</v>
      </c>
      <c r="I60" s="75">
        <f>J60-H60</f>
        <v>0</v>
      </c>
      <c r="J60" s="75">
        <f>F60*G60</f>
        <v>0</v>
      </c>
      <c r="K60" s="75">
        <v>0</v>
      </c>
      <c r="L60" s="75">
        <f>F60*K60</f>
        <v>0</v>
      </c>
      <c r="M60" s="76" t="s">
        <v>758</v>
      </c>
      <c r="N60" s="12" t="s">
        <v>7</v>
      </c>
      <c r="O60" s="6">
        <f>IF(N60="5",I60,0)</f>
        <v>0</v>
      </c>
      <c r="Z60" s="6">
        <f>IF(AD60=0,J60,0)</f>
        <v>0</v>
      </c>
      <c r="AA60" s="6">
        <f>IF(AD60=15,J60,0)</f>
        <v>0</v>
      </c>
      <c r="AB60" s="6">
        <f>IF(AD60=21,J60,0)</f>
        <v>0</v>
      </c>
      <c r="AD60" s="16">
        <v>21</v>
      </c>
      <c r="AE60" s="16">
        <f>G60*0</f>
        <v>0</v>
      </c>
      <c r="AF60" s="16">
        <f>G60*(1-0)</f>
        <v>0</v>
      </c>
      <c r="AM60" s="16">
        <f>F60*AE60</f>
        <v>0</v>
      </c>
      <c r="AN60" s="16">
        <f>F60*AF60</f>
        <v>0</v>
      </c>
      <c r="AO60" s="17" t="s">
        <v>780</v>
      </c>
      <c r="AP60" s="17" t="s">
        <v>799</v>
      </c>
      <c r="AQ60" s="11" t="s">
        <v>809</v>
      </c>
    </row>
    <row r="61" spans="1:13" ht="12.75">
      <c r="A61" s="77"/>
      <c r="B61" s="77"/>
      <c r="C61" s="77"/>
      <c r="D61" s="78" t="s">
        <v>457</v>
      </c>
      <c r="E61" s="77"/>
      <c r="F61" s="79">
        <v>8.7</v>
      </c>
      <c r="G61" s="77"/>
      <c r="H61" s="77"/>
      <c r="I61" s="77"/>
      <c r="J61" s="77"/>
      <c r="K61" s="77"/>
      <c r="L61" s="77"/>
      <c r="M61" s="77"/>
    </row>
    <row r="62" spans="1:37" ht="12.75">
      <c r="A62" s="70"/>
      <c r="B62" s="71" t="s">
        <v>207</v>
      </c>
      <c r="C62" s="71" t="s">
        <v>32</v>
      </c>
      <c r="D62" s="225" t="s">
        <v>458</v>
      </c>
      <c r="E62" s="226"/>
      <c r="F62" s="226"/>
      <c r="G62" s="226"/>
      <c r="H62" s="72">
        <f>SUM(H63:H65)</f>
        <v>0</v>
      </c>
      <c r="I62" s="72">
        <f>SUM(I63:I65)</f>
        <v>0</v>
      </c>
      <c r="J62" s="72">
        <f>H62+I62</f>
        <v>0</v>
      </c>
      <c r="K62" s="73"/>
      <c r="L62" s="72">
        <f>SUM(L63:L65)</f>
        <v>0.6277785</v>
      </c>
      <c r="M62" s="73"/>
      <c r="P62" s="18">
        <f>IF(Q62="PR",J62,SUM(O63:O65))</f>
        <v>0</v>
      </c>
      <c r="Q62" s="11" t="s">
        <v>764</v>
      </c>
      <c r="R62" s="18">
        <f>IF(Q62="HS",H62,0)</f>
        <v>0</v>
      </c>
      <c r="S62" s="18">
        <f>IF(Q62="HS",I62-P62,0)</f>
        <v>0</v>
      </c>
      <c r="T62" s="18">
        <f>IF(Q62="PS",H62,0)</f>
        <v>0</v>
      </c>
      <c r="U62" s="18">
        <f>IF(Q62="PS",I62-P62,0)</f>
        <v>0</v>
      </c>
      <c r="V62" s="18">
        <f>IF(Q62="MP",H62,0)</f>
        <v>0</v>
      </c>
      <c r="W62" s="18">
        <f>IF(Q62="MP",I62-P62,0)</f>
        <v>0</v>
      </c>
      <c r="X62" s="18">
        <f>IF(Q62="OM",H62,0)</f>
        <v>0</v>
      </c>
      <c r="Y62" s="11" t="s">
        <v>207</v>
      </c>
      <c r="AI62" s="18">
        <f>SUM(Z63:Z65)</f>
        <v>0</v>
      </c>
      <c r="AJ62" s="18">
        <f>SUM(AA63:AA65)</f>
        <v>0</v>
      </c>
      <c r="AK62" s="18">
        <f>SUM(AB63:AB65)</f>
        <v>0</v>
      </c>
    </row>
    <row r="63" spans="1:43" ht="12.75">
      <c r="A63" s="74" t="s">
        <v>27</v>
      </c>
      <c r="B63" s="74" t="s">
        <v>207</v>
      </c>
      <c r="C63" s="74" t="s">
        <v>231</v>
      </c>
      <c r="D63" s="74" t="s">
        <v>459</v>
      </c>
      <c r="E63" s="74" t="s">
        <v>729</v>
      </c>
      <c r="F63" s="75">
        <v>40.25</v>
      </c>
      <c r="G63" s="75"/>
      <c r="H63" s="75">
        <f>F63*AE63</f>
        <v>0</v>
      </c>
      <c r="I63" s="75">
        <f>J63-H63</f>
        <v>0</v>
      </c>
      <c r="J63" s="75">
        <f>F63*G63</f>
        <v>0</v>
      </c>
      <c r="K63" s="75">
        <v>0.01125</v>
      </c>
      <c r="L63" s="75">
        <f>F63*K63</f>
        <v>0.4528125</v>
      </c>
      <c r="M63" s="76" t="s">
        <v>758</v>
      </c>
      <c r="N63" s="12" t="s">
        <v>7</v>
      </c>
      <c r="O63" s="6">
        <f>IF(N63="5",I63,0)</f>
        <v>0</v>
      </c>
      <c r="Z63" s="6">
        <f>IF(AD63=0,J63,0)</f>
        <v>0</v>
      </c>
      <c r="AA63" s="6">
        <f>IF(AD63=15,J63,0)</f>
        <v>0</v>
      </c>
      <c r="AB63" s="6">
        <f>IF(AD63=21,J63,0)</f>
        <v>0</v>
      </c>
      <c r="AD63" s="16">
        <v>21</v>
      </c>
      <c r="AE63" s="16">
        <f>G63*0.454080332409972</f>
        <v>0</v>
      </c>
      <c r="AF63" s="16">
        <f>G63*(1-0.454080332409972)</f>
        <v>0</v>
      </c>
      <c r="AM63" s="16">
        <f>F63*AE63</f>
        <v>0</v>
      </c>
      <c r="AN63" s="16">
        <f>F63*AF63</f>
        <v>0</v>
      </c>
      <c r="AO63" s="17" t="s">
        <v>781</v>
      </c>
      <c r="AP63" s="17" t="s">
        <v>799</v>
      </c>
      <c r="AQ63" s="11" t="s">
        <v>809</v>
      </c>
    </row>
    <row r="64" spans="1:13" ht="12.75">
      <c r="A64" s="77"/>
      <c r="B64" s="77"/>
      <c r="C64" s="77"/>
      <c r="D64" s="78" t="s">
        <v>460</v>
      </c>
      <c r="E64" s="77"/>
      <c r="F64" s="79">
        <v>40.25</v>
      </c>
      <c r="G64" s="77"/>
      <c r="H64" s="77"/>
      <c r="I64" s="77"/>
      <c r="J64" s="77"/>
      <c r="K64" s="77"/>
      <c r="L64" s="77"/>
      <c r="M64" s="77"/>
    </row>
    <row r="65" spans="1:43" ht="12.75">
      <c r="A65" s="74" t="s">
        <v>28</v>
      </c>
      <c r="B65" s="74" t="s">
        <v>207</v>
      </c>
      <c r="C65" s="74" t="s">
        <v>232</v>
      </c>
      <c r="D65" s="74" t="s">
        <v>461</v>
      </c>
      <c r="E65" s="74" t="s">
        <v>729</v>
      </c>
      <c r="F65" s="75">
        <v>24.2</v>
      </c>
      <c r="G65" s="75"/>
      <c r="H65" s="75">
        <f>F65*AE65</f>
        <v>0</v>
      </c>
      <c r="I65" s="75">
        <f>J65-H65</f>
        <v>0</v>
      </c>
      <c r="J65" s="75">
        <f>F65*G65</f>
        <v>0</v>
      </c>
      <c r="K65" s="75">
        <v>0.00723</v>
      </c>
      <c r="L65" s="75">
        <f>F65*K65</f>
        <v>0.174966</v>
      </c>
      <c r="M65" s="76" t="s">
        <v>758</v>
      </c>
      <c r="N65" s="12" t="s">
        <v>7</v>
      </c>
      <c r="O65" s="6">
        <f>IF(N65="5",I65,0)</f>
        <v>0</v>
      </c>
      <c r="Z65" s="6">
        <f>IF(AD65=0,J65,0)</f>
        <v>0</v>
      </c>
      <c r="AA65" s="6">
        <f>IF(AD65=15,J65,0)</f>
        <v>0</v>
      </c>
      <c r="AB65" s="6">
        <f>IF(AD65=21,J65,0)</f>
        <v>0</v>
      </c>
      <c r="AD65" s="16">
        <v>21</v>
      </c>
      <c r="AE65" s="16">
        <f>G65*0.49742300515399</f>
        <v>0</v>
      </c>
      <c r="AF65" s="16">
        <f>G65*(1-0.49742300515399)</f>
        <v>0</v>
      </c>
      <c r="AM65" s="16">
        <f>F65*AE65</f>
        <v>0</v>
      </c>
      <c r="AN65" s="16">
        <f>F65*AF65</f>
        <v>0</v>
      </c>
      <c r="AO65" s="17" t="s">
        <v>781</v>
      </c>
      <c r="AP65" s="17" t="s">
        <v>799</v>
      </c>
      <c r="AQ65" s="11" t="s">
        <v>809</v>
      </c>
    </row>
    <row r="66" spans="1:13" ht="12.75">
      <c r="A66" s="77"/>
      <c r="B66" s="77"/>
      <c r="C66" s="77"/>
      <c r="D66" s="78" t="s">
        <v>462</v>
      </c>
      <c r="E66" s="77"/>
      <c r="F66" s="79">
        <v>24.2</v>
      </c>
      <c r="G66" s="77"/>
      <c r="H66" s="77"/>
      <c r="I66" s="77"/>
      <c r="J66" s="77"/>
      <c r="K66" s="77"/>
      <c r="L66" s="77"/>
      <c r="M66" s="77"/>
    </row>
    <row r="67" spans="1:37" ht="12.75">
      <c r="A67" s="70"/>
      <c r="B67" s="71" t="s">
        <v>207</v>
      </c>
      <c r="C67" s="71" t="s">
        <v>33</v>
      </c>
      <c r="D67" s="225" t="s">
        <v>432</v>
      </c>
      <c r="E67" s="226"/>
      <c r="F67" s="226"/>
      <c r="G67" s="226"/>
      <c r="H67" s="72">
        <f>SUM(H68:H78)</f>
        <v>0</v>
      </c>
      <c r="I67" s="72">
        <f>SUM(I68:I78)</f>
        <v>0</v>
      </c>
      <c r="J67" s="72">
        <f>H67+I67</f>
        <v>0</v>
      </c>
      <c r="K67" s="73"/>
      <c r="L67" s="72">
        <f>SUM(L68:L78)</f>
        <v>153.9550044</v>
      </c>
      <c r="M67" s="73"/>
      <c r="P67" s="18">
        <f>IF(Q67="PR",J67,SUM(O68:O78))</f>
        <v>0</v>
      </c>
      <c r="Q67" s="11" t="s">
        <v>764</v>
      </c>
      <c r="R67" s="18">
        <f>IF(Q67="HS",H67,0)</f>
        <v>0</v>
      </c>
      <c r="S67" s="18">
        <f>IF(Q67="HS",I67-P67,0)</f>
        <v>0</v>
      </c>
      <c r="T67" s="18">
        <f>IF(Q67="PS",H67,0)</f>
        <v>0</v>
      </c>
      <c r="U67" s="18">
        <f>IF(Q67="PS",I67-P67,0)</f>
        <v>0</v>
      </c>
      <c r="V67" s="18">
        <f>IF(Q67="MP",H67,0)</f>
        <v>0</v>
      </c>
      <c r="W67" s="18">
        <f>IF(Q67="MP",I67-P67,0)</f>
        <v>0</v>
      </c>
      <c r="X67" s="18">
        <f>IF(Q67="OM",H67,0)</f>
        <v>0</v>
      </c>
      <c r="Y67" s="11" t="s">
        <v>207</v>
      </c>
      <c r="AI67" s="18">
        <f>SUM(Z68:Z78)</f>
        <v>0</v>
      </c>
      <c r="AJ67" s="18">
        <f>SUM(AA68:AA78)</f>
        <v>0</v>
      </c>
      <c r="AK67" s="18">
        <f>SUM(AB68:AB78)</f>
        <v>0</v>
      </c>
    </row>
    <row r="68" spans="1:43" ht="12.75">
      <c r="A68" s="74" t="s">
        <v>29</v>
      </c>
      <c r="B68" s="74" t="s">
        <v>207</v>
      </c>
      <c r="C68" s="74" t="s">
        <v>233</v>
      </c>
      <c r="D68" s="74" t="s">
        <v>463</v>
      </c>
      <c r="E68" s="74" t="s">
        <v>731</v>
      </c>
      <c r="F68" s="75">
        <v>0.49</v>
      </c>
      <c r="G68" s="75"/>
      <c r="H68" s="75">
        <f>F68*AE68</f>
        <v>0</v>
      </c>
      <c r="I68" s="75">
        <f>J68-H68</f>
        <v>0</v>
      </c>
      <c r="J68" s="75">
        <f>F68*G68</f>
        <v>0</v>
      </c>
      <c r="K68" s="75">
        <v>2.525</v>
      </c>
      <c r="L68" s="75">
        <f>F68*K68</f>
        <v>1.23725</v>
      </c>
      <c r="M68" s="76" t="s">
        <v>758</v>
      </c>
      <c r="N68" s="12" t="s">
        <v>7</v>
      </c>
      <c r="O68" s="6">
        <f>IF(N68="5",I68,0)</f>
        <v>0</v>
      </c>
      <c r="Z68" s="6">
        <f>IF(AD68=0,J68,0)</f>
        <v>0</v>
      </c>
      <c r="AA68" s="6">
        <f>IF(AD68=15,J68,0)</f>
        <v>0</v>
      </c>
      <c r="AB68" s="6">
        <f>IF(AD68=21,J68,0)</f>
        <v>0</v>
      </c>
      <c r="AD68" s="16">
        <v>21</v>
      </c>
      <c r="AE68" s="16">
        <f>G68*0.900010096105307</f>
        <v>0</v>
      </c>
      <c r="AF68" s="16">
        <f>G68*(1-0.900010096105307)</f>
        <v>0</v>
      </c>
      <c r="AM68" s="16">
        <f>F68*AE68</f>
        <v>0</v>
      </c>
      <c r="AN68" s="16">
        <f>F68*AF68</f>
        <v>0</v>
      </c>
      <c r="AO68" s="17" t="s">
        <v>776</v>
      </c>
      <c r="AP68" s="17" t="s">
        <v>799</v>
      </c>
      <c r="AQ68" s="11" t="s">
        <v>809</v>
      </c>
    </row>
    <row r="69" spans="1:13" ht="12.75">
      <c r="A69" s="77"/>
      <c r="B69" s="77"/>
      <c r="C69" s="77"/>
      <c r="D69" s="78" t="s">
        <v>464</v>
      </c>
      <c r="E69" s="77"/>
      <c r="F69" s="79">
        <v>0.49</v>
      </c>
      <c r="G69" s="77"/>
      <c r="H69" s="77"/>
      <c r="I69" s="77"/>
      <c r="J69" s="77"/>
      <c r="K69" s="77"/>
      <c r="L69" s="77"/>
      <c r="M69" s="77"/>
    </row>
    <row r="70" spans="1:43" ht="12.75">
      <c r="A70" s="74" t="s">
        <v>30</v>
      </c>
      <c r="B70" s="74" t="s">
        <v>207</v>
      </c>
      <c r="C70" s="74" t="s">
        <v>234</v>
      </c>
      <c r="D70" s="74" t="s">
        <v>465</v>
      </c>
      <c r="E70" s="74" t="s">
        <v>731</v>
      </c>
      <c r="F70" s="75">
        <v>51.36</v>
      </c>
      <c r="G70" s="75"/>
      <c r="H70" s="75">
        <f>F70*AE70</f>
        <v>0</v>
      </c>
      <c r="I70" s="75">
        <f>J70-H70</f>
        <v>0</v>
      </c>
      <c r="J70" s="75">
        <f>F70*G70</f>
        <v>0</v>
      </c>
      <c r="K70" s="75">
        <v>2.525</v>
      </c>
      <c r="L70" s="75">
        <f>F70*K70</f>
        <v>129.684</v>
      </c>
      <c r="M70" s="76" t="s">
        <v>758</v>
      </c>
      <c r="N70" s="12" t="s">
        <v>7</v>
      </c>
      <c r="O70" s="6">
        <f>IF(N70="5",I70,0)</f>
        <v>0</v>
      </c>
      <c r="Z70" s="6">
        <f>IF(AD70=0,J70,0)</f>
        <v>0</v>
      </c>
      <c r="AA70" s="6">
        <f>IF(AD70=15,J70,0)</f>
        <v>0</v>
      </c>
      <c r="AB70" s="6">
        <f>IF(AD70=21,J70,0)</f>
        <v>0</v>
      </c>
      <c r="AD70" s="16">
        <v>21</v>
      </c>
      <c r="AE70" s="16">
        <f>G70*0.917165009940358</f>
        <v>0</v>
      </c>
      <c r="AF70" s="16">
        <f>G70*(1-0.917165009940358)</f>
        <v>0</v>
      </c>
      <c r="AM70" s="16">
        <f>F70*AE70</f>
        <v>0</v>
      </c>
      <c r="AN70" s="16">
        <f>F70*AF70</f>
        <v>0</v>
      </c>
      <c r="AO70" s="17" t="s">
        <v>776</v>
      </c>
      <c r="AP70" s="17" t="s">
        <v>799</v>
      </c>
      <c r="AQ70" s="11" t="s">
        <v>809</v>
      </c>
    </row>
    <row r="71" spans="1:13" ht="12.75">
      <c r="A71" s="77"/>
      <c r="B71" s="77"/>
      <c r="C71" s="77"/>
      <c r="D71" s="78" t="s">
        <v>466</v>
      </c>
      <c r="E71" s="77"/>
      <c r="F71" s="79">
        <v>51.36</v>
      </c>
      <c r="G71" s="77"/>
      <c r="H71" s="77"/>
      <c r="I71" s="77"/>
      <c r="J71" s="77"/>
      <c r="K71" s="77"/>
      <c r="L71" s="77"/>
      <c r="M71" s="77"/>
    </row>
    <row r="72" spans="1:43" ht="12.75">
      <c r="A72" s="74" t="s">
        <v>31</v>
      </c>
      <c r="B72" s="74" t="s">
        <v>207</v>
      </c>
      <c r="C72" s="74" t="s">
        <v>235</v>
      </c>
      <c r="D72" s="74" t="s">
        <v>467</v>
      </c>
      <c r="E72" s="74" t="s">
        <v>730</v>
      </c>
      <c r="F72" s="75">
        <v>342.37</v>
      </c>
      <c r="G72" s="75"/>
      <c r="H72" s="75">
        <f>F72*AE72</f>
        <v>0</v>
      </c>
      <c r="I72" s="75">
        <f>J72-H72</f>
        <v>0</v>
      </c>
      <c r="J72" s="75">
        <f>F72*G72</f>
        <v>0</v>
      </c>
      <c r="K72" s="75">
        <v>0.03916</v>
      </c>
      <c r="L72" s="75">
        <f>F72*K72</f>
        <v>13.4072092</v>
      </c>
      <c r="M72" s="76" t="s">
        <v>758</v>
      </c>
      <c r="N72" s="12" t="s">
        <v>7</v>
      </c>
      <c r="O72" s="6">
        <f>IF(N72="5",I72,0)</f>
        <v>0</v>
      </c>
      <c r="Z72" s="6">
        <f>IF(AD72=0,J72,0)</f>
        <v>0</v>
      </c>
      <c r="AA72" s="6">
        <f>IF(AD72=15,J72,0)</f>
        <v>0</v>
      </c>
      <c r="AB72" s="6">
        <f>IF(AD72=21,J72,0)</f>
        <v>0</v>
      </c>
      <c r="AD72" s="16">
        <v>21</v>
      </c>
      <c r="AE72" s="16">
        <f>G72*0.362691853600944</f>
        <v>0</v>
      </c>
      <c r="AF72" s="16">
        <f>G72*(1-0.362691853600944)</f>
        <v>0</v>
      </c>
      <c r="AM72" s="16">
        <f>F72*AE72</f>
        <v>0</v>
      </c>
      <c r="AN72" s="16">
        <f>F72*AF72</f>
        <v>0</v>
      </c>
      <c r="AO72" s="17" t="s">
        <v>776</v>
      </c>
      <c r="AP72" s="17" t="s">
        <v>799</v>
      </c>
      <c r="AQ72" s="11" t="s">
        <v>809</v>
      </c>
    </row>
    <row r="73" spans="1:13" ht="12.75">
      <c r="A73" s="77"/>
      <c r="B73" s="77"/>
      <c r="C73" s="77"/>
      <c r="D73" s="78" t="s">
        <v>468</v>
      </c>
      <c r="E73" s="77"/>
      <c r="F73" s="79">
        <v>342.37</v>
      </c>
      <c r="G73" s="77"/>
      <c r="H73" s="77"/>
      <c r="I73" s="77"/>
      <c r="J73" s="77"/>
      <c r="K73" s="77"/>
      <c r="L73" s="77"/>
      <c r="M73" s="77"/>
    </row>
    <row r="74" spans="1:43" ht="12.75">
      <c r="A74" s="74" t="s">
        <v>32</v>
      </c>
      <c r="B74" s="74" t="s">
        <v>207</v>
      </c>
      <c r="C74" s="74" t="s">
        <v>236</v>
      </c>
      <c r="D74" s="74" t="s">
        <v>469</v>
      </c>
      <c r="E74" s="74" t="s">
        <v>730</v>
      </c>
      <c r="F74" s="75">
        <v>342.37</v>
      </c>
      <c r="G74" s="75"/>
      <c r="H74" s="75">
        <f>F74*AE74</f>
        <v>0</v>
      </c>
      <c r="I74" s="75">
        <f>J74-H74</f>
        <v>0</v>
      </c>
      <c r="J74" s="75">
        <f>F74*G74</f>
        <v>0</v>
      </c>
      <c r="K74" s="75">
        <v>0</v>
      </c>
      <c r="L74" s="75">
        <f>F74*K74</f>
        <v>0</v>
      </c>
      <c r="M74" s="76" t="s">
        <v>758</v>
      </c>
      <c r="N74" s="12" t="s">
        <v>7</v>
      </c>
      <c r="O74" s="6">
        <f>IF(N74="5",I74,0)</f>
        <v>0</v>
      </c>
      <c r="Z74" s="6">
        <f>IF(AD74=0,J74,0)</f>
        <v>0</v>
      </c>
      <c r="AA74" s="6">
        <f>IF(AD74=15,J74,0)</f>
        <v>0</v>
      </c>
      <c r="AB74" s="6">
        <f>IF(AD74=21,J74,0)</f>
        <v>0</v>
      </c>
      <c r="AD74" s="16">
        <v>21</v>
      </c>
      <c r="AE74" s="16">
        <f>G74*0</f>
        <v>0</v>
      </c>
      <c r="AF74" s="16">
        <f>G74*(1-0)</f>
        <v>0</v>
      </c>
      <c r="AM74" s="16">
        <f>F74*AE74</f>
        <v>0</v>
      </c>
      <c r="AN74" s="16">
        <f>F74*AF74</f>
        <v>0</v>
      </c>
      <c r="AO74" s="17" t="s">
        <v>776</v>
      </c>
      <c r="AP74" s="17" t="s">
        <v>799</v>
      </c>
      <c r="AQ74" s="11" t="s">
        <v>809</v>
      </c>
    </row>
    <row r="75" spans="1:13" ht="12.75">
      <c r="A75" s="77"/>
      <c r="B75" s="77"/>
      <c r="C75" s="77"/>
      <c r="D75" s="78" t="s">
        <v>470</v>
      </c>
      <c r="E75" s="77"/>
      <c r="F75" s="79">
        <v>342.37</v>
      </c>
      <c r="G75" s="77"/>
      <c r="H75" s="77"/>
      <c r="I75" s="77"/>
      <c r="J75" s="77"/>
      <c r="K75" s="77"/>
      <c r="L75" s="77"/>
      <c r="M75" s="77"/>
    </row>
    <row r="76" spans="1:43" ht="12.75">
      <c r="A76" s="74" t="s">
        <v>33</v>
      </c>
      <c r="B76" s="74" t="s">
        <v>207</v>
      </c>
      <c r="C76" s="74" t="s">
        <v>237</v>
      </c>
      <c r="D76" s="74" t="s">
        <v>471</v>
      </c>
      <c r="E76" s="74" t="s">
        <v>732</v>
      </c>
      <c r="F76" s="75">
        <v>7.67</v>
      </c>
      <c r="G76" s="75"/>
      <c r="H76" s="75">
        <f>F76*AE76</f>
        <v>0</v>
      </c>
      <c r="I76" s="75">
        <f>J76-H76</f>
        <v>0</v>
      </c>
      <c r="J76" s="75">
        <f>F76*G76</f>
        <v>0</v>
      </c>
      <c r="K76" s="75">
        <v>1.02116</v>
      </c>
      <c r="L76" s="75">
        <f>F76*K76</f>
        <v>7.8322972</v>
      </c>
      <c r="M76" s="76" t="s">
        <v>758</v>
      </c>
      <c r="N76" s="12" t="s">
        <v>7</v>
      </c>
      <c r="O76" s="6">
        <f>IF(N76="5",I76,0)</f>
        <v>0</v>
      </c>
      <c r="Z76" s="6">
        <f>IF(AD76=0,J76,0)</f>
        <v>0</v>
      </c>
      <c r="AA76" s="6">
        <f>IF(AD76=15,J76,0)</f>
        <v>0</v>
      </c>
      <c r="AB76" s="6">
        <f>IF(AD76=21,J76,0)</f>
        <v>0</v>
      </c>
      <c r="AD76" s="16">
        <v>21</v>
      </c>
      <c r="AE76" s="16">
        <f>G76*0.73155726128339</f>
        <v>0</v>
      </c>
      <c r="AF76" s="16">
        <f>G76*(1-0.73155726128339)</f>
        <v>0</v>
      </c>
      <c r="AM76" s="16">
        <f>F76*AE76</f>
        <v>0</v>
      </c>
      <c r="AN76" s="16">
        <f>F76*AF76</f>
        <v>0</v>
      </c>
      <c r="AO76" s="17" t="s">
        <v>776</v>
      </c>
      <c r="AP76" s="17" t="s">
        <v>799</v>
      </c>
      <c r="AQ76" s="11" t="s">
        <v>809</v>
      </c>
    </row>
    <row r="77" spans="1:13" ht="12.75">
      <c r="A77" s="77"/>
      <c r="B77" s="77"/>
      <c r="C77" s="77"/>
      <c r="D77" s="78" t="s">
        <v>472</v>
      </c>
      <c r="E77" s="77"/>
      <c r="F77" s="79">
        <v>7.67</v>
      </c>
      <c r="G77" s="77"/>
      <c r="H77" s="77"/>
      <c r="I77" s="77"/>
      <c r="J77" s="77"/>
      <c r="K77" s="77"/>
      <c r="L77" s="77"/>
      <c r="M77" s="77"/>
    </row>
    <row r="78" spans="1:43" ht="12.75">
      <c r="A78" s="74" t="s">
        <v>34</v>
      </c>
      <c r="B78" s="74" t="s">
        <v>207</v>
      </c>
      <c r="C78" s="74" t="s">
        <v>238</v>
      </c>
      <c r="D78" s="74" t="s">
        <v>473</v>
      </c>
      <c r="E78" s="74" t="s">
        <v>732</v>
      </c>
      <c r="F78" s="75">
        <v>1.7</v>
      </c>
      <c r="G78" s="75"/>
      <c r="H78" s="75">
        <f>F78*AE78</f>
        <v>0</v>
      </c>
      <c r="I78" s="75">
        <f>J78-H78</f>
        <v>0</v>
      </c>
      <c r="J78" s="75">
        <f>F78*G78</f>
        <v>0</v>
      </c>
      <c r="K78" s="75">
        <v>1.05544</v>
      </c>
      <c r="L78" s="75">
        <f>F78*K78</f>
        <v>1.7942479999999998</v>
      </c>
      <c r="M78" s="76" t="s">
        <v>758</v>
      </c>
      <c r="N78" s="12" t="s">
        <v>7</v>
      </c>
      <c r="O78" s="6">
        <f>IF(N78="5",I78,0)</f>
        <v>0</v>
      </c>
      <c r="Z78" s="6">
        <f>IF(AD78=0,J78,0)</f>
        <v>0</v>
      </c>
      <c r="AA78" s="6">
        <f>IF(AD78=15,J78,0)</f>
        <v>0</v>
      </c>
      <c r="AB78" s="6">
        <f>IF(AD78=21,J78,0)</f>
        <v>0</v>
      </c>
      <c r="AD78" s="16">
        <v>21</v>
      </c>
      <c r="AE78" s="16">
        <f>G78*0.844703657061311</f>
        <v>0</v>
      </c>
      <c r="AF78" s="16">
        <f>G78*(1-0.844703657061311)</f>
        <v>0</v>
      </c>
      <c r="AM78" s="16">
        <f>F78*AE78</f>
        <v>0</v>
      </c>
      <c r="AN78" s="16">
        <f>F78*AF78</f>
        <v>0</v>
      </c>
      <c r="AO78" s="17" t="s">
        <v>776</v>
      </c>
      <c r="AP78" s="17" t="s">
        <v>799</v>
      </c>
      <c r="AQ78" s="11" t="s">
        <v>809</v>
      </c>
    </row>
    <row r="79" spans="1:13" ht="12.75">
      <c r="A79" s="77"/>
      <c r="B79" s="77"/>
      <c r="C79" s="77"/>
      <c r="D79" s="78" t="s">
        <v>474</v>
      </c>
      <c r="E79" s="77"/>
      <c r="F79" s="79">
        <v>1.7</v>
      </c>
      <c r="G79" s="77"/>
      <c r="H79" s="77"/>
      <c r="I79" s="77"/>
      <c r="J79" s="77"/>
      <c r="K79" s="77"/>
      <c r="L79" s="77"/>
      <c r="M79" s="77"/>
    </row>
    <row r="80" spans="1:37" ht="12.75">
      <c r="A80" s="70"/>
      <c r="B80" s="71" t="s">
        <v>207</v>
      </c>
      <c r="C80" s="71" t="s">
        <v>38</v>
      </c>
      <c r="D80" s="225" t="s">
        <v>435</v>
      </c>
      <c r="E80" s="226"/>
      <c r="F80" s="226"/>
      <c r="G80" s="226"/>
      <c r="H80" s="72">
        <f>SUM(H81:H87)</f>
        <v>0</v>
      </c>
      <c r="I80" s="72">
        <f>SUM(I81:I87)</f>
        <v>0</v>
      </c>
      <c r="J80" s="72">
        <f>H80+I80</f>
        <v>0</v>
      </c>
      <c r="K80" s="73"/>
      <c r="L80" s="72">
        <f>SUM(L81:L87)</f>
        <v>97.0533085</v>
      </c>
      <c r="M80" s="73"/>
      <c r="P80" s="18">
        <f>IF(Q80="PR",J80,SUM(O81:O87))</f>
        <v>0</v>
      </c>
      <c r="Q80" s="11" t="s">
        <v>764</v>
      </c>
      <c r="R80" s="18">
        <f>IF(Q80="HS",H80,0)</f>
        <v>0</v>
      </c>
      <c r="S80" s="18">
        <f>IF(Q80="HS",I80-P80,0)</f>
        <v>0</v>
      </c>
      <c r="T80" s="18">
        <f>IF(Q80="PS",H80,0)</f>
        <v>0</v>
      </c>
      <c r="U80" s="18">
        <f>IF(Q80="PS",I80-P80,0)</f>
        <v>0</v>
      </c>
      <c r="V80" s="18">
        <f>IF(Q80="MP",H80,0)</f>
        <v>0</v>
      </c>
      <c r="W80" s="18">
        <f>IF(Q80="MP",I80-P80,0)</f>
        <v>0</v>
      </c>
      <c r="X80" s="18">
        <f>IF(Q80="OM",H80,0)</f>
        <v>0</v>
      </c>
      <c r="Y80" s="11" t="s">
        <v>207</v>
      </c>
      <c r="AI80" s="18">
        <f>SUM(Z81:Z87)</f>
        <v>0</v>
      </c>
      <c r="AJ80" s="18">
        <f>SUM(AA81:AA87)</f>
        <v>0</v>
      </c>
      <c r="AK80" s="18">
        <f>SUM(AB81:AB87)</f>
        <v>0</v>
      </c>
    </row>
    <row r="81" spans="1:43" ht="12.75">
      <c r="A81" s="74" t="s">
        <v>35</v>
      </c>
      <c r="B81" s="74" t="s">
        <v>207</v>
      </c>
      <c r="C81" s="74" t="s">
        <v>239</v>
      </c>
      <c r="D81" s="74" t="s">
        <v>475</v>
      </c>
      <c r="E81" s="74" t="s">
        <v>731</v>
      </c>
      <c r="F81" s="75">
        <v>30.71</v>
      </c>
      <c r="G81" s="75"/>
      <c r="H81" s="75">
        <f>F81*AE81</f>
        <v>0</v>
      </c>
      <c r="I81" s="75">
        <f>J81-H81</f>
        <v>0</v>
      </c>
      <c r="J81" s="75">
        <f>F81*G81</f>
        <v>0</v>
      </c>
      <c r="K81" s="75">
        <v>3.00265</v>
      </c>
      <c r="L81" s="75">
        <f>F81*K81</f>
        <v>92.2113815</v>
      </c>
      <c r="M81" s="76" t="s">
        <v>758</v>
      </c>
      <c r="N81" s="12" t="s">
        <v>7</v>
      </c>
      <c r="O81" s="6">
        <f>IF(N81="5",I81,0)</f>
        <v>0</v>
      </c>
      <c r="Z81" s="6">
        <f>IF(AD81=0,J81,0)</f>
        <v>0</v>
      </c>
      <c r="AA81" s="6">
        <f>IF(AD81=15,J81,0)</f>
        <v>0</v>
      </c>
      <c r="AB81" s="6">
        <f>IF(AD81=21,J81,0)</f>
        <v>0</v>
      </c>
      <c r="AD81" s="16">
        <v>21</v>
      </c>
      <c r="AE81" s="16">
        <f>G81*0.727174886329224</f>
        <v>0</v>
      </c>
      <c r="AF81" s="16">
        <f>G81*(1-0.727174886329224)</f>
        <v>0</v>
      </c>
      <c r="AM81" s="16">
        <f>F81*AE81</f>
        <v>0</v>
      </c>
      <c r="AN81" s="16">
        <f>F81*AF81</f>
        <v>0</v>
      </c>
      <c r="AO81" s="17" t="s">
        <v>777</v>
      </c>
      <c r="AP81" s="17" t="s">
        <v>800</v>
      </c>
      <c r="AQ81" s="11" t="s">
        <v>809</v>
      </c>
    </row>
    <row r="82" spans="1:13" ht="12.75">
      <c r="A82" s="77"/>
      <c r="B82" s="77"/>
      <c r="C82" s="77"/>
      <c r="D82" s="78" t="s">
        <v>476</v>
      </c>
      <c r="E82" s="77"/>
      <c r="F82" s="79">
        <v>30.71</v>
      </c>
      <c r="G82" s="77"/>
      <c r="H82" s="77"/>
      <c r="I82" s="77"/>
      <c r="J82" s="77"/>
      <c r="K82" s="77"/>
      <c r="L82" s="77"/>
      <c r="M82" s="77"/>
    </row>
    <row r="83" spans="1:43" ht="12.75">
      <c r="A83" s="74" t="s">
        <v>36</v>
      </c>
      <c r="B83" s="74" t="s">
        <v>207</v>
      </c>
      <c r="C83" s="74" t="s">
        <v>240</v>
      </c>
      <c r="D83" s="74" t="s">
        <v>477</v>
      </c>
      <c r="E83" s="74" t="s">
        <v>730</v>
      </c>
      <c r="F83" s="75">
        <v>123.77</v>
      </c>
      <c r="G83" s="75"/>
      <c r="H83" s="75">
        <f>F83*AE83</f>
        <v>0</v>
      </c>
      <c r="I83" s="75">
        <f>J83-H83</f>
        <v>0</v>
      </c>
      <c r="J83" s="75">
        <f>F83*G83</f>
        <v>0</v>
      </c>
      <c r="K83" s="75">
        <v>0.0145</v>
      </c>
      <c r="L83" s="75">
        <f>F83*K83</f>
        <v>1.794665</v>
      </c>
      <c r="M83" s="76" t="s">
        <v>758</v>
      </c>
      <c r="N83" s="12" t="s">
        <v>7</v>
      </c>
      <c r="O83" s="6">
        <f>IF(N83="5",I83,0)</f>
        <v>0</v>
      </c>
      <c r="Z83" s="6">
        <f>IF(AD83=0,J83,0)</f>
        <v>0</v>
      </c>
      <c r="AA83" s="6">
        <f>IF(AD83=15,J83,0)</f>
        <v>0</v>
      </c>
      <c r="AB83" s="6">
        <f>IF(AD83=21,J83,0)</f>
        <v>0</v>
      </c>
      <c r="AD83" s="16">
        <v>21</v>
      </c>
      <c r="AE83" s="16">
        <f>G83*0.240014939939035</f>
        <v>0</v>
      </c>
      <c r="AF83" s="16">
        <f>G83*(1-0.240014939939035)</f>
        <v>0</v>
      </c>
      <c r="AM83" s="16">
        <f>F83*AE83</f>
        <v>0</v>
      </c>
      <c r="AN83" s="16">
        <f>F83*AF83</f>
        <v>0</v>
      </c>
      <c r="AO83" s="17" t="s">
        <v>777</v>
      </c>
      <c r="AP83" s="17" t="s">
        <v>800</v>
      </c>
      <c r="AQ83" s="11" t="s">
        <v>809</v>
      </c>
    </row>
    <row r="84" spans="1:13" ht="12.75">
      <c r="A84" s="77"/>
      <c r="B84" s="77"/>
      <c r="C84" s="77"/>
      <c r="D84" s="78" t="s">
        <v>478</v>
      </c>
      <c r="E84" s="77"/>
      <c r="F84" s="79">
        <v>123.77</v>
      </c>
      <c r="G84" s="77"/>
      <c r="H84" s="77"/>
      <c r="I84" s="77"/>
      <c r="J84" s="77"/>
      <c r="K84" s="77"/>
      <c r="L84" s="77"/>
      <c r="M84" s="77"/>
    </row>
    <row r="85" spans="1:43" ht="12.75">
      <c r="A85" s="74" t="s">
        <v>37</v>
      </c>
      <c r="B85" s="74" t="s">
        <v>207</v>
      </c>
      <c r="C85" s="74" t="s">
        <v>241</v>
      </c>
      <c r="D85" s="74" t="s">
        <v>479</v>
      </c>
      <c r="E85" s="74" t="s">
        <v>730</v>
      </c>
      <c r="F85" s="75">
        <v>123.77</v>
      </c>
      <c r="G85" s="75"/>
      <c r="H85" s="75">
        <f>F85*AE85</f>
        <v>0</v>
      </c>
      <c r="I85" s="75">
        <f>J85-H85</f>
        <v>0</v>
      </c>
      <c r="J85" s="75">
        <f>F85*G85</f>
        <v>0</v>
      </c>
      <c r="K85" s="75">
        <v>0.00096</v>
      </c>
      <c r="L85" s="75">
        <f>F85*K85</f>
        <v>0.1188192</v>
      </c>
      <c r="M85" s="76" t="s">
        <v>758</v>
      </c>
      <c r="N85" s="12" t="s">
        <v>7</v>
      </c>
      <c r="O85" s="6">
        <f>IF(N85="5",I85,0)</f>
        <v>0</v>
      </c>
      <c r="Z85" s="6">
        <f>IF(AD85=0,J85,0)</f>
        <v>0</v>
      </c>
      <c r="AA85" s="6">
        <f>IF(AD85=15,J85,0)</f>
        <v>0</v>
      </c>
      <c r="AB85" s="6">
        <f>IF(AD85=21,J85,0)</f>
        <v>0</v>
      </c>
      <c r="AD85" s="16">
        <v>21</v>
      </c>
      <c r="AE85" s="16">
        <f>G85*0.198946809024591</f>
        <v>0</v>
      </c>
      <c r="AF85" s="16">
        <f>G85*(1-0.198946809024591)</f>
        <v>0</v>
      </c>
      <c r="AM85" s="16">
        <f>F85*AE85</f>
        <v>0</v>
      </c>
      <c r="AN85" s="16">
        <f>F85*AF85</f>
        <v>0</v>
      </c>
      <c r="AO85" s="17" t="s">
        <v>777</v>
      </c>
      <c r="AP85" s="17" t="s">
        <v>800</v>
      </c>
      <c r="AQ85" s="11" t="s">
        <v>809</v>
      </c>
    </row>
    <row r="86" spans="1:13" ht="12.75">
      <c r="A86" s="77"/>
      <c r="B86" s="77"/>
      <c r="C86" s="77"/>
      <c r="D86" s="78" t="s">
        <v>480</v>
      </c>
      <c r="E86" s="77"/>
      <c r="F86" s="79">
        <v>123.77</v>
      </c>
      <c r="G86" s="77"/>
      <c r="H86" s="77"/>
      <c r="I86" s="77"/>
      <c r="J86" s="77"/>
      <c r="K86" s="77"/>
      <c r="L86" s="77"/>
      <c r="M86" s="77"/>
    </row>
    <row r="87" spans="1:43" ht="12.75">
      <c r="A87" s="74" t="s">
        <v>38</v>
      </c>
      <c r="B87" s="74" t="s">
        <v>207</v>
      </c>
      <c r="C87" s="74" t="s">
        <v>242</v>
      </c>
      <c r="D87" s="74" t="s">
        <v>481</v>
      </c>
      <c r="E87" s="74" t="s">
        <v>732</v>
      </c>
      <c r="F87" s="75">
        <v>2.76</v>
      </c>
      <c r="G87" s="75"/>
      <c r="H87" s="75">
        <f>F87*AE87</f>
        <v>0</v>
      </c>
      <c r="I87" s="75">
        <f>J87-H87</f>
        <v>0</v>
      </c>
      <c r="J87" s="75">
        <f>F87*G87</f>
        <v>0</v>
      </c>
      <c r="K87" s="75">
        <v>1.06103</v>
      </c>
      <c r="L87" s="75">
        <f>F87*K87</f>
        <v>2.9284427999999996</v>
      </c>
      <c r="M87" s="76" t="s">
        <v>758</v>
      </c>
      <c r="N87" s="12" t="s">
        <v>7</v>
      </c>
      <c r="O87" s="6">
        <f>IF(N87="5",I87,0)</f>
        <v>0</v>
      </c>
      <c r="Z87" s="6">
        <f>IF(AD87=0,J87,0)</f>
        <v>0</v>
      </c>
      <c r="AA87" s="6">
        <f>IF(AD87=15,J87,0)</f>
        <v>0</v>
      </c>
      <c r="AB87" s="6">
        <f>IF(AD87=21,J87,0)</f>
        <v>0</v>
      </c>
      <c r="AD87" s="16">
        <v>21</v>
      </c>
      <c r="AE87" s="16">
        <f>G87*0.785928594043117</f>
        <v>0</v>
      </c>
      <c r="AF87" s="16">
        <f>G87*(1-0.785928594043117)</f>
        <v>0</v>
      </c>
      <c r="AM87" s="16">
        <f>F87*AE87</f>
        <v>0</v>
      </c>
      <c r="AN87" s="16">
        <f>F87*AF87</f>
        <v>0</v>
      </c>
      <c r="AO87" s="17" t="s">
        <v>777</v>
      </c>
      <c r="AP87" s="17" t="s">
        <v>800</v>
      </c>
      <c r="AQ87" s="11" t="s">
        <v>809</v>
      </c>
    </row>
    <row r="88" spans="1:13" ht="12.75">
      <c r="A88" s="77"/>
      <c r="B88" s="77"/>
      <c r="C88" s="77"/>
      <c r="D88" s="78" t="s">
        <v>482</v>
      </c>
      <c r="E88" s="77"/>
      <c r="F88" s="79">
        <v>2.76</v>
      </c>
      <c r="G88" s="77"/>
      <c r="H88" s="77"/>
      <c r="I88" s="77"/>
      <c r="J88" s="77"/>
      <c r="K88" s="77"/>
      <c r="L88" s="77"/>
      <c r="M88" s="77"/>
    </row>
    <row r="89" spans="1:37" ht="12.75">
      <c r="A89" s="70"/>
      <c r="B89" s="71" t="s">
        <v>207</v>
      </c>
      <c r="C89" s="71" t="s">
        <v>62</v>
      </c>
      <c r="D89" s="225" t="s">
        <v>483</v>
      </c>
      <c r="E89" s="226"/>
      <c r="F89" s="226"/>
      <c r="G89" s="226"/>
      <c r="H89" s="72">
        <f>SUM(H90:H92)</f>
        <v>0</v>
      </c>
      <c r="I89" s="72">
        <f>SUM(I90:I92)</f>
        <v>0</v>
      </c>
      <c r="J89" s="72">
        <f>H89+I89</f>
        <v>0</v>
      </c>
      <c r="K89" s="73"/>
      <c r="L89" s="72">
        <f>SUM(L90:L92)</f>
        <v>233.18435900000003</v>
      </c>
      <c r="M89" s="73"/>
      <c r="P89" s="18">
        <f>IF(Q89="PR",J89,SUM(O90:O92))</f>
        <v>0</v>
      </c>
      <c r="Q89" s="11" t="s">
        <v>764</v>
      </c>
      <c r="R89" s="18">
        <f>IF(Q89="HS",H89,0)</f>
        <v>0</v>
      </c>
      <c r="S89" s="18">
        <f>IF(Q89="HS",I89-P89,0)</f>
        <v>0</v>
      </c>
      <c r="T89" s="18">
        <f>IF(Q89="PS",H89,0)</f>
        <v>0</v>
      </c>
      <c r="U89" s="18">
        <f>IF(Q89="PS",I89-P89,0)</f>
        <v>0</v>
      </c>
      <c r="V89" s="18">
        <f>IF(Q89="MP",H89,0)</f>
        <v>0</v>
      </c>
      <c r="W89" s="18">
        <f>IF(Q89="MP",I89-P89,0)</f>
        <v>0</v>
      </c>
      <c r="X89" s="18">
        <f>IF(Q89="OM",H89,0)</f>
        <v>0</v>
      </c>
      <c r="Y89" s="11" t="s">
        <v>207</v>
      </c>
      <c r="AI89" s="18">
        <f>SUM(Z90:Z92)</f>
        <v>0</v>
      </c>
      <c r="AJ89" s="18">
        <f>SUM(AA90:AA92)</f>
        <v>0</v>
      </c>
      <c r="AK89" s="18">
        <f>SUM(AB90:AB92)</f>
        <v>0</v>
      </c>
    </row>
    <row r="90" spans="1:43" ht="12.75">
      <c r="A90" s="74" t="s">
        <v>39</v>
      </c>
      <c r="B90" s="74" t="s">
        <v>207</v>
      </c>
      <c r="C90" s="74" t="s">
        <v>243</v>
      </c>
      <c r="D90" s="74" t="s">
        <v>484</v>
      </c>
      <c r="E90" s="74" t="s">
        <v>730</v>
      </c>
      <c r="F90" s="75">
        <v>240.55</v>
      </c>
      <c r="G90" s="75"/>
      <c r="H90" s="75">
        <f>F90*AE90</f>
        <v>0</v>
      </c>
      <c r="I90" s="75">
        <f>J90-H90</f>
        <v>0</v>
      </c>
      <c r="J90" s="75">
        <f>F90*G90</f>
        <v>0</v>
      </c>
      <c r="K90" s="75">
        <v>0.60104</v>
      </c>
      <c r="L90" s="75">
        <f>F90*K90</f>
        <v>144.580172</v>
      </c>
      <c r="M90" s="76" t="s">
        <v>758</v>
      </c>
      <c r="N90" s="12" t="s">
        <v>7</v>
      </c>
      <c r="O90" s="6">
        <f>IF(N90="5",I90,0)</f>
        <v>0</v>
      </c>
      <c r="Z90" s="6">
        <f>IF(AD90=0,J90,0)</f>
        <v>0</v>
      </c>
      <c r="AA90" s="6">
        <f>IF(AD90=15,J90,0)</f>
        <v>0</v>
      </c>
      <c r="AB90" s="6">
        <f>IF(AD90=21,J90,0)</f>
        <v>0</v>
      </c>
      <c r="AD90" s="16">
        <v>21</v>
      </c>
      <c r="AE90" s="16">
        <f>G90*0.830129448696695</f>
        <v>0</v>
      </c>
      <c r="AF90" s="16">
        <f>G90*(1-0.830129448696695)</f>
        <v>0</v>
      </c>
      <c r="AM90" s="16">
        <f>F90*AE90</f>
        <v>0</v>
      </c>
      <c r="AN90" s="16">
        <f>F90*AF90</f>
        <v>0</v>
      </c>
      <c r="AO90" s="17" t="s">
        <v>782</v>
      </c>
      <c r="AP90" s="17" t="s">
        <v>803</v>
      </c>
      <c r="AQ90" s="11" t="s">
        <v>809</v>
      </c>
    </row>
    <row r="91" spans="1:13" ht="12.75">
      <c r="A91" s="77"/>
      <c r="B91" s="77"/>
      <c r="C91" s="77"/>
      <c r="D91" s="78" t="s">
        <v>485</v>
      </c>
      <c r="E91" s="77"/>
      <c r="F91" s="79">
        <v>240.55</v>
      </c>
      <c r="G91" s="77"/>
      <c r="H91" s="77"/>
      <c r="I91" s="77"/>
      <c r="J91" s="77"/>
      <c r="K91" s="77"/>
      <c r="L91" s="77"/>
      <c r="M91" s="77"/>
    </row>
    <row r="92" spans="1:43" ht="12.75">
      <c r="A92" s="74" t="s">
        <v>40</v>
      </c>
      <c r="B92" s="74" t="s">
        <v>207</v>
      </c>
      <c r="C92" s="74" t="s">
        <v>244</v>
      </c>
      <c r="D92" s="74" t="s">
        <v>486</v>
      </c>
      <c r="E92" s="74" t="s">
        <v>730</v>
      </c>
      <c r="F92" s="75">
        <v>240.55</v>
      </c>
      <c r="G92" s="75"/>
      <c r="H92" s="75">
        <f>F92*AE92</f>
        <v>0</v>
      </c>
      <c r="I92" s="75">
        <f>J92-H92</f>
        <v>0</v>
      </c>
      <c r="J92" s="75">
        <f>F92*G92</f>
        <v>0</v>
      </c>
      <c r="K92" s="75">
        <v>0.36834</v>
      </c>
      <c r="L92" s="75">
        <f>F92*K92</f>
        <v>88.60418700000001</v>
      </c>
      <c r="M92" s="76" t="s">
        <v>758</v>
      </c>
      <c r="N92" s="12" t="s">
        <v>7</v>
      </c>
      <c r="O92" s="6">
        <f>IF(N92="5",I92,0)</f>
        <v>0</v>
      </c>
      <c r="Z92" s="6">
        <f>IF(AD92=0,J92,0)</f>
        <v>0</v>
      </c>
      <c r="AA92" s="6">
        <f>IF(AD92=15,J92,0)</f>
        <v>0</v>
      </c>
      <c r="AB92" s="6">
        <f>IF(AD92=21,J92,0)</f>
        <v>0</v>
      </c>
      <c r="AD92" s="16">
        <v>21</v>
      </c>
      <c r="AE92" s="16">
        <f>G92*0.835534441805226</f>
        <v>0</v>
      </c>
      <c r="AF92" s="16">
        <f>G92*(1-0.835534441805226)</f>
        <v>0</v>
      </c>
      <c r="AM92" s="16">
        <f>F92*AE92</f>
        <v>0</v>
      </c>
      <c r="AN92" s="16">
        <f>F92*AF92</f>
        <v>0</v>
      </c>
      <c r="AO92" s="17" t="s">
        <v>782</v>
      </c>
      <c r="AP92" s="17" t="s">
        <v>803</v>
      </c>
      <c r="AQ92" s="11" t="s">
        <v>809</v>
      </c>
    </row>
    <row r="93" spans="1:13" ht="12.75">
      <c r="A93" s="77"/>
      <c r="B93" s="77"/>
      <c r="C93" s="77"/>
      <c r="D93" s="78" t="s">
        <v>485</v>
      </c>
      <c r="E93" s="77"/>
      <c r="F93" s="79">
        <v>240.55</v>
      </c>
      <c r="G93" s="77"/>
      <c r="H93" s="77"/>
      <c r="I93" s="77"/>
      <c r="J93" s="77"/>
      <c r="K93" s="77"/>
      <c r="L93" s="77"/>
      <c r="M93" s="77"/>
    </row>
    <row r="94" spans="1:37" ht="12.75">
      <c r="A94" s="70"/>
      <c r="B94" s="71" t="s">
        <v>207</v>
      </c>
      <c r="C94" s="71" t="s">
        <v>69</v>
      </c>
      <c r="D94" s="225" t="s">
        <v>438</v>
      </c>
      <c r="E94" s="226"/>
      <c r="F94" s="226"/>
      <c r="G94" s="226"/>
      <c r="H94" s="72">
        <f>SUM(H95:H113)</f>
        <v>0</v>
      </c>
      <c r="I94" s="72">
        <f>SUM(I95:I113)</f>
        <v>0</v>
      </c>
      <c r="J94" s="72">
        <f>H94+I94</f>
        <v>0</v>
      </c>
      <c r="K94" s="73"/>
      <c r="L94" s="72">
        <f>SUM(L95:L113)</f>
        <v>994.4178965</v>
      </c>
      <c r="M94" s="73"/>
      <c r="P94" s="18">
        <f>IF(Q94="PR",J94,SUM(O95:O113))</f>
        <v>0</v>
      </c>
      <c r="Q94" s="11" t="s">
        <v>764</v>
      </c>
      <c r="R94" s="18">
        <f>IF(Q94="HS",H94,0)</f>
        <v>0</v>
      </c>
      <c r="S94" s="18">
        <f>IF(Q94="HS",I94-P94,0)</f>
        <v>0</v>
      </c>
      <c r="T94" s="18">
        <f>IF(Q94="PS",H94,0)</f>
        <v>0</v>
      </c>
      <c r="U94" s="18">
        <f>IF(Q94="PS",I94-P94,0)</f>
        <v>0</v>
      </c>
      <c r="V94" s="18">
        <f>IF(Q94="MP",H94,0)</f>
        <v>0</v>
      </c>
      <c r="W94" s="18">
        <f>IF(Q94="MP",I94-P94,0)</f>
        <v>0</v>
      </c>
      <c r="X94" s="18">
        <f>IF(Q94="OM",H94,0)</f>
        <v>0</v>
      </c>
      <c r="Y94" s="11" t="s">
        <v>207</v>
      </c>
      <c r="AI94" s="18">
        <f>SUM(Z95:Z113)</f>
        <v>0</v>
      </c>
      <c r="AJ94" s="18">
        <f>SUM(AA95:AA113)</f>
        <v>0</v>
      </c>
      <c r="AK94" s="18">
        <f>SUM(AB95:AB113)</f>
        <v>0</v>
      </c>
    </row>
    <row r="95" spans="1:43" ht="12.75">
      <c r="A95" s="74" t="s">
        <v>41</v>
      </c>
      <c r="B95" s="74" t="s">
        <v>207</v>
      </c>
      <c r="C95" s="74" t="s">
        <v>245</v>
      </c>
      <c r="D95" s="74" t="s">
        <v>487</v>
      </c>
      <c r="E95" s="74" t="s">
        <v>731</v>
      </c>
      <c r="F95" s="75">
        <v>133.51</v>
      </c>
      <c r="G95" s="75"/>
      <c r="H95" s="75">
        <f>F95*AE95</f>
        <v>0</v>
      </c>
      <c r="I95" s="75">
        <f>J95-H95</f>
        <v>0</v>
      </c>
      <c r="J95" s="75">
        <f>F95*G95</f>
        <v>0</v>
      </c>
      <c r="K95" s="75">
        <v>1.837</v>
      </c>
      <c r="L95" s="75">
        <f>F95*K95</f>
        <v>245.25786999999997</v>
      </c>
      <c r="M95" s="76" t="s">
        <v>758</v>
      </c>
      <c r="N95" s="12" t="s">
        <v>7</v>
      </c>
      <c r="O95" s="6">
        <f>IF(N95="5",I95,0)</f>
        <v>0</v>
      </c>
      <c r="Z95" s="6">
        <f>IF(AD95=0,J95,0)</f>
        <v>0</v>
      </c>
      <c r="AA95" s="6">
        <f>IF(AD95=15,J95,0)</f>
        <v>0</v>
      </c>
      <c r="AB95" s="6">
        <f>IF(AD95=21,J95,0)</f>
        <v>0</v>
      </c>
      <c r="AD95" s="16">
        <v>21</v>
      </c>
      <c r="AE95" s="16">
        <f>G95*0.541866618376442</f>
        <v>0</v>
      </c>
      <c r="AF95" s="16">
        <f>G95*(1-0.541866618376442)</f>
        <v>0</v>
      </c>
      <c r="AM95" s="16">
        <f>F95*AE95</f>
        <v>0</v>
      </c>
      <c r="AN95" s="16">
        <f>F95*AF95</f>
        <v>0</v>
      </c>
      <c r="AO95" s="17" t="s">
        <v>778</v>
      </c>
      <c r="AP95" s="17" t="s">
        <v>801</v>
      </c>
      <c r="AQ95" s="11" t="s">
        <v>809</v>
      </c>
    </row>
    <row r="96" spans="1:13" ht="12.75">
      <c r="A96" s="77"/>
      <c r="B96" s="77"/>
      <c r="C96" s="77"/>
      <c r="D96" s="78" t="s">
        <v>488</v>
      </c>
      <c r="E96" s="77"/>
      <c r="F96" s="79">
        <v>133.51</v>
      </c>
      <c r="G96" s="77"/>
      <c r="H96" s="77"/>
      <c r="I96" s="77"/>
      <c r="J96" s="77"/>
      <c r="K96" s="77"/>
      <c r="L96" s="77"/>
      <c r="M96" s="77"/>
    </row>
    <row r="97" spans="1:43" ht="12.75">
      <c r="A97" s="74" t="s">
        <v>42</v>
      </c>
      <c r="B97" s="74" t="s">
        <v>207</v>
      </c>
      <c r="C97" s="74" t="s">
        <v>246</v>
      </c>
      <c r="D97" s="74" t="s">
        <v>489</v>
      </c>
      <c r="E97" s="74" t="s">
        <v>731</v>
      </c>
      <c r="F97" s="75">
        <v>44.5</v>
      </c>
      <c r="G97" s="75"/>
      <c r="H97" s="75">
        <f>F97*AE97</f>
        <v>0</v>
      </c>
      <c r="I97" s="75">
        <f>J97-H97</f>
        <v>0</v>
      </c>
      <c r="J97" s="75">
        <f>F97*G97</f>
        <v>0</v>
      </c>
      <c r="K97" s="75">
        <v>1.837</v>
      </c>
      <c r="L97" s="75">
        <f>F97*K97</f>
        <v>81.7465</v>
      </c>
      <c r="M97" s="76" t="s">
        <v>758</v>
      </c>
      <c r="N97" s="12" t="s">
        <v>7</v>
      </c>
      <c r="O97" s="6">
        <f>IF(N97="5",I97,0)</f>
        <v>0</v>
      </c>
      <c r="Z97" s="6">
        <f>IF(AD97=0,J97,0)</f>
        <v>0</v>
      </c>
      <c r="AA97" s="6">
        <f>IF(AD97=15,J97,0)</f>
        <v>0</v>
      </c>
      <c r="AB97" s="6">
        <f>IF(AD97=21,J97,0)</f>
        <v>0</v>
      </c>
      <c r="AD97" s="16">
        <v>21</v>
      </c>
      <c r="AE97" s="16">
        <f>G97*0.565887186722466</f>
        <v>0</v>
      </c>
      <c r="AF97" s="16">
        <f>G97*(1-0.565887186722466)</f>
        <v>0</v>
      </c>
      <c r="AM97" s="16">
        <f>F97*AE97</f>
        <v>0</v>
      </c>
      <c r="AN97" s="16">
        <f>F97*AF97</f>
        <v>0</v>
      </c>
      <c r="AO97" s="17" t="s">
        <v>778</v>
      </c>
      <c r="AP97" s="17" t="s">
        <v>801</v>
      </c>
      <c r="AQ97" s="11" t="s">
        <v>809</v>
      </c>
    </row>
    <row r="98" spans="1:13" ht="12.75">
      <c r="A98" s="77"/>
      <c r="B98" s="77"/>
      <c r="C98" s="77"/>
      <c r="D98" s="78" t="s">
        <v>490</v>
      </c>
      <c r="E98" s="77"/>
      <c r="F98" s="79">
        <v>44.5</v>
      </c>
      <c r="G98" s="77"/>
      <c r="H98" s="77"/>
      <c r="I98" s="77"/>
      <c r="J98" s="77"/>
      <c r="K98" s="77"/>
      <c r="L98" s="77"/>
      <c r="M98" s="77"/>
    </row>
    <row r="99" spans="1:43" ht="12.75">
      <c r="A99" s="74" t="s">
        <v>43</v>
      </c>
      <c r="B99" s="74" t="s">
        <v>207</v>
      </c>
      <c r="C99" s="74" t="s">
        <v>247</v>
      </c>
      <c r="D99" s="74" t="s">
        <v>491</v>
      </c>
      <c r="E99" s="74" t="s">
        <v>731</v>
      </c>
      <c r="F99" s="75">
        <v>111.26</v>
      </c>
      <c r="G99" s="75"/>
      <c r="H99" s="75">
        <f>F99*AE99</f>
        <v>0</v>
      </c>
      <c r="I99" s="75">
        <f>J99-H99</f>
        <v>0</v>
      </c>
      <c r="J99" s="75">
        <f>F99*G99</f>
        <v>0</v>
      </c>
      <c r="K99" s="75">
        <v>2.525</v>
      </c>
      <c r="L99" s="75">
        <f>F99*K99</f>
        <v>280.9315</v>
      </c>
      <c r="M99" s="76" t="s">
        <v>758</v>
      </c>
      <c r="N99" s="12" t="s">
        <v>7</v>
      </c>
      <c r="O99" s="6">
        <f>IF(N99="5",I99,0)</f>
        <v>0</v>
      </c>
      <c r="Z99" s="6">
        <f>IF(AD99=0,J99,0)</f>
        <v>0</v>
      </c>
      <c r="AA99" s="6">
        <f>IF(AD99=15,J99,0)</f>
        <v>0</v>
      </c>
      <c r="AB99" s="6">
        <f>IF(AD99=21,J99,0)</f>
        <v>0</v>
      </c>
      <c r="AD99" s="16">
        <v>21</v>
      </c>
      <c r="AE99" s="16">
        <f>G99*0.795651673118069</f>
        <v>0</v>
      </c>
      <c r="AF99" s="16">
        <f>G99*(1-0.795651673118069)</f>
        <v>0</v>
      </c>
      <c r="AM99" s="16">
        <f>F99*AE99</f>
        <v>0</v>
      </c>
      <c r="AN99" s="16">
        <f>F99*AF99</f>
        <v>0</v>
      </c>
      <c r="AO99" s="17" t="s">
        <v>778</v>
      </c>
      <c r="AP99" s="17" t="s">
        <v>801</v>
      </c>
      <c r="AQ99" s="11" t="s">
        <v>809</v>
      </c>
    </row>
    <row r="100" spans="1:13" ht="12.75">
      <c r="A100" s="77"/>
      <c r="B100" s="77"/>
      <c r="C100" s="77"/>
      <c r="D100" s="78" t="s">
        <v>492</v>
      </c>
      <c r="E100" s="77"/>
      <c r="F100" s="79">
        <v>111.26</v>
      </c>
      <c r="G100" s="77"/>
      <c r="H100" s="77"/>
      <c r="I100" s="77"/>
      <c r="J100" s="77"/>
      <c r="K100" s="77"/>
      <c r="L100" s="77"/>
      <c r="M100" s="77"/>
    </row>
    <row r="101" spans="1:43" ht="12.75">
      <c r="A101" s="74" t="s">
        <v>44</v>
      </c>
      <c r="B101" s="74" t="s">
        <v>207</v>
      </c>
      <c r="C101" s="74" t="s">
        <v>248</v>
      </c>
      <c r="D101" s="74" t="s">
        <v>493</v>
      </c>
      <c r="E101" s="74" t="s">
        <v>731</v>
      </c>
      <c r="F101" s="75">
        <v>11.26</v>
      </c>
      <c r="G101" s="75"/>
      <c r="H101" s="75">
        <f>F101*AE101</f>
        <v>0</v>
      </c>
      <c r="I101" s="75">
        <f>J101-H101</f>
        <v>0</v>
      </c>
      <c r="J101" s="75">
        <f>F101*G101</f>
        <v>0</v>
      </c>
      <c r="K101" s="75">
        <v>0</v>
      </c>
      <c r="L101" s="75">
        <f>F101*K101</f>
        <v>0</v>
      </c>
      <c r="M101" s="76" t="s">
        <v>758</v>
      </c>
      <c r="N101" s="12" t="s">
        <v>7</v>
      </c>
      <c r="O101" s="6">
        <f>IF(N101="5",I101,0)</f>
        <v>0</v>
      </c>
      <c r="Z101" s="6">
        <f>IF(AD101=0,J101,0)</f>
        <v>0</v>
      </c>
      <c r="AA101" s="6">
        <f>IF(AD101=15,J101,0)</f>
        <v>0</v>
      </c>
      <c r="AB101" s="6">
        <f>IF(AD101=21,J101,0)</f>
        <v>0</v>
      </c>
      <c r="AD101" s="16">
        <v>21</v>
      </c>
      <c r="AE101" s="16">
        <f>G101*0</f>
        <v>0</v>
      </c>
      <c r="AF101" s="16">
        <f>G101*(1-0)</f>
        <v>0</v>
      </c>
      <c r="AM101" s="16">
        <f>F101*AE101</f>
        <v>0</v>
      </c>
      <c r="AN101" s="16">
        <f>F101*AF101</f>
        <v>0</v>
      </c>
      <c r="AO101" s="17" t="s">
        <v>778</v>
      </c>
      <c r="AP101" s="17" t="s">
        <v>801</v>
      </c>
      <c r="AQ101" s="11" t="s">
        <v>809</v>
      </c>
    </row>
    <row r="102" spans="1:13" ht="12.75">
      <c r="A102" s="77"/>
      <c r="B102" s="77"/>
      <c r="C102" s="77"/>
      <c r="D102" s="78" t="s">
        <v>494</v>
      </c>
      <c r="E102" s="77"/>
      <c r="F102" s="79">
        <v>11.26</v>
      </c>
      <c r="G102" s="77"/>
      <c r="H102" s="77"/>
      <c r="I102" s="77"/>
      <c r="J102" s="77"/>
      <c r="K102" s="77"/>
      <c r="L102" s="77"/>
      <c r="M102" s="77"/>
    </row>
    <row r="103" spans="1:43" ht="12.75">
      <c r="A103" s="74" t="s">
        <v>45</v>
      </c>
      <c r="B103" s="74" t="s">
        <v>207</v>
      </c>
      <c r="C103" s="74" t="s">
        <v>249</v>
      </c>
      <c r="D103" s="74" t="s">
        <v>495</v>
      </c>
      <c r="E103" s="74" t="s">
        <v>732</v>
      </c>
      <c r="F103" s="75">
        <v>2.94</v>
      </c>
      <c r="G103" s="75"/>
      <c r="H103" s="75">
        <f>F103*AE103</f>
        <v>0</v>
      </c>
      <c r="I103" s="75">
        <f>J103-H103</f>
        <v>0</v>
      </c>
      <c r="J103" s="75">
        <f>F103*G103</f>
        <v>0</v>
      </c>
      <c r="K103" s="75">
        <v>1.06625</v>
      </c>
      <c r="L103" s="75">
        <f>F103*K103</f>
        <v>3.134775</v>
      </c>
      <c r="M103" s="76" t="s">
        <v>758</v>
      </c>
      <c r="N103" s="12" t="s">
        <v>7</v>
      </c>
      <c r="O103" s="6">
        <f>IF(N103="5",I103,0)</f>
        <v>0</v>
      </c>
      <c r="Z103" s="6">
        <f>IF(AD103=0,J103,0)</f>
        <v>0</v>
      </c>
      <c r="AA103" s="6">
        <f>IF(AD103=15,J103,0)</f>
        <v>0</v>
      </c>
      <c r="AB103" s="6">
        <f>IF(AD103=21,J103,0)</f>
        <v>0</v>
      </c>
      <c r="AD103" s="16">
        <v>21</v>
      </c>
      <c r="AE103" s="16">
        <f>G103*0.837105885806424</f>
        <v>0</v>
      </c>
      <c r="AF103" s="16">
        <f>G103*(1-0.837105885806424)</f>
        <v>0</v>
      </c>
      <c r="AM103" s="16">
        <f>F103*AE103</f>
        <v>0</v>
      </c>
      <c r="AN103" s="16">
        <f>F103*AF103</f>
        <v>0</v>
      </c>
      <c r="AO103" s="17" t="s">
        <v>778</v>
      </c>
      <c r="AP103" s="17" t="s">
        <v>801</v>
      </c>
      <c r="AQ103" s="11" t="s">
        <v>809</v>
      </c>
    </row>
    <row r="104" spans="1:13" ht="12.75">
      <c r="A104" s="77"/>
      <c r="B104" s="77"/>
      <c r="C104" s="77"/>
      <c r="D104" s="78" t="s">
        <v>496</v>
      </c>
      <c r="E104" s="77"/>
      <c r="F104" s="79">
        <v>2.94</v>
      </c>
      <c r="G104" s="77"/>
      <c r="H104" s="77"/>
      <c r="I104" s="77"/>
      <c r="J104" s="77"/>
      <c r="K104" s="77"/>
      <c r="L104" s="77"/>
      <c r="M104" s="77"/>
    </row>
    <row r="105" spans="1:43" ht="12.75">
      <c r="A105" s="74" t="s">
        <v>46</v>
      </c>
      <c r="B105" s="74" t="s">
        <v>207</v>
      </c>
      <c r="C105" s="74" t="s">
        <v>250</v>
      </c>
      <c r="D105" s="74" t="s">
        <v>497</v>
      </c>
      <c r="E105" s="74" t="s">
        <v>731</v>
      </c>
      <c r="F105" s="75">
        <v>155.76</v>
      </c>
      <c r="G105" s="75"/>
      <c r="H105" s="75">
        <f>F105*AE105</f>
        <v>0</v>
      </c>
      <c r="I105" s="75">
        <f>J105-H105</f>
        <v>0</v>
      </c>
      <c r="J105" s="75">
        <f>F105*G105</f>
        <v>0</v>
      </c>
      <c r="K105" s="75">
        <v>2.3634</v>
      </c>
      <c r="L105" s="75">
        <f>F105*K105</f>
        <v>368.123184</v>
      </c>
      <c r="M105" s="76" t="s">
        <v>758</v>
      </c>
      <c r="N105" s="12" t="s">
        <v>7</v>
      </c>
      <c r="O105" s="6">
        <f>IF(N105="5",I105,0)</f>
        <v>0</v>
      </c>
      <c r="Z105" s="6">
        <f>IF(AD105=0,J105,0)</f>
        <v>0</v>
      </c>
      <c r="AA105" s="6">
        <f>IF(AD105=15,J105,0)</f>
        <v>0</v>
      </c>
      <c r="AB105" s="6">
        <f>IF(AD105=21,J105,0)</f>
        <v>0</v>
      </c>
      <c r="AD105" s="16">
        <v>21</v>
      </c>
      <c r="AE105" s="16">
        <f>G105*0.793852838546343</f>
        <v>0</v>
      </c>
      <c r="AF105" s="16">
        <f>G105*(1-0.793852838546343)</f>
        <v>0</v>
      </c>
      <c r="AM105" s="16">
        <f>F105*AE105</f>
        <v>0</v>
      </c>
      <c r="AN105" s="16">
        <f>F105*AF105</f>
        <v>0</v>
      </c>
      <c r="AO105" s="17" t="s">
        <v>778</v>
      </c>
      <c r="AP105" s="17" t="s">
        <v>801</v>
      </c>
      <c r="AQ105" s="11" t="s">
        <v>809</v>
      </c>
    </row>
    <row r="106" spans="1:13" ht="12.75">
      <c r="A106" s="77"/>
      <c r="B106" s="77"/>
      <c r="C106" s="77"/>
      <c r="D106" s="78" t="s">
        <v>498</v>
      </c>
      <c r="E106" s="77"/>
      <c r="F106" s="79">
        <v>155.76</v>
      </c>
      <c r="G106" s="77"/>
      <c r="H106" s="77"/>
      <c r="I106" s="77"/>
      <c r="J106" s="77"/>
      <c r="K106" s="77"/>
      <c r="L106" s="77"/>
      <c r="M106" s="77"/>
    </row>
    <row r="107" spans="1:43" ht="12.75">
      <c r="A107" s="74" t="s">
        <v>47</v>
      </c>
      <c r="B107" s="74" t="s">
        <v>207</v>
      </c>
      <c r="C107" s="74" t="s">
        <v>251</v>
      </c>
      <c r="D107" s="74" t="s">
        <v>499</v>
      </c>
      <c r="E107" s="74" t="s">
        <v>730</v>
      </c>
      <c r="F107" s="75">
        <v>890.06</v>
      </c>
      <c r="G107" s="75"/>
      <c r="H107" s="75">
        <f>F107*AE107</f>
        <v>0</v>
      </c>
      <c r="I107" s="75">
        <f>J107-H107</f>
        <v>0</v>
      </c>
      <c r="J107" s="75">
        <f>F107*G107</f>
        <v>0</v>
      </c>
      <c r="K107" s="75">
        <v>0.005</v>
      </c>
      <c r="L107" s="75">
        <f>F107*K107</f>
        <v>4.4502999999999995</v>
      </c>
      <c r="M107" s="76" t="s">
        <v>758</v>
      </c>
      <c r="N107" s="12" t="s">
        <v>7</v>
      </c>
      <c r="O107" s="6">
        <f>IF(N107="5",I107,0)</f>
        <v>0</v>
      </c>
      <c r="Z107" s="6">
        <f>IF(AD107=0,J107,0)</f>
        <v>0</v>
      </c>
      <c r="AA107" s="6">
        <f>IF(AD107=15,J107,0)</f>
        <v>0</v>
      </c>
      <c r="AB107" s="6">
        <f>IF(AD107=21,J107,0)</f>
        <v>0</v>
      </c>
      <c r="AD107" s="16">
        <v>21</v>
      </c>
      <c r="AE107" s="16">
        <f>G107*0.415051633894469</f>
        <v>0</v>
      </c>
      <c r="AF107" s="16">
        <f>G107*(1-0.415051633894469)</f>
        <v>0</v>
      </c>
      <c r="AM107" s="16">
        <f>F107*AE107</f>
        <v>0</v>
      </c>
      <c r="AN107" s="16">
        <f>F107*AF107</f>
        <v>0</v>
      </c>
      <c r="AO107" s="17" t="s">
        <v>778</v>
      </c>
      <c r="AP107" s="17" t="s">
        <v>801</v>
      </c>
      <c r="AQ107" s="11" t="s">
        <v>809</v>
      </c>
    </row>
    <row r="108" spans="1:13" ht="12.75">
      <c r="A108" s="77"/>
      <c r="B108" s="77"/>
      <c r="C108" s="77"/>
      <c r="D108" s="78" t="s">
        <v>500</v>
      </c>
      <c r="E108" s="77"/>
      <c r="F108" s="79">
        <v>890.06</v>
      </c>
      <c r="G108" s="77"/>
      <c r="H108" s="77"/>
      <c r="I108" s="77"/>
      <c r="J108" s="77"/>
      <c r="K108" s="77"/>
      <c r="L108" s="77"/>
      <c r="M108" s="77"/>
    </row>
    <row r="109" spans="1:43" ht="12.75">
      <c r="A109" s="74" t="s">
        <v>48</v>
      </c>
      <c r="B109" s="74" t="s">
        <v>207</v>
      </c>
      <c r="C109" s="74" t="s">
        <v>252</v>
      </c>
      <c r="D109" s="74" t="s">
        <v>501</v>
      </c>
      <c r="E109" s="74" t="s">
        <v>729</v>
      </c>
      <c r="F109" s="75">
        <v>912.75</v>
      </c>
      <c r="G109" s="75"/>
      <c r="H109" s="75">
        <f>F109*AE109</f>
        <v>0</v>
      </c>
      <c r="I109" s="75">
        <f>J109-H109</f>
        <v>0</v>
      </c>
      <c r="J109" s="75">
        <f>F109*G109</f>
        <v>0</v>
      </c>
      <c r="K109" s="75">
        <v>0.00257</v>
      </c>
      <c r="L109" s="75">
        <f>F109*K109</f>
        <v>2.3457675</v>
      </c>
      <c r="M109" s="76" t="s">
        <v>758</v>
      </c>
      <c r="N109" s="12" t="s">
        <v>7</v>
      </c>
      <c r="O109" s="6">
        <f>IF(N109="5",I109,0)</f>
        <v>0</v>
      </c>
      <c r="Z109" s="6">
        <f>IF(AD109=0,J109,0)</f>
        <v>0</v>
      </c>
      <c r="AA109" s="6">
        <f>IF(AD109=15,J109,0)</f>
        <v>0</v>
      </c>
      <c r="AB109" s="6">
        <f>IF(AD109=21,J109,0)</f>
        <v>0</v>
      </c>
      <c r="AD109" s="16">
        <v>21</v>
      </c>
      <c r="AE109" s="16">
        <f>G109*0.526710253548079</f>
        <v>0</v>
      </c>
      <c r="AF109" s="16">
        <f>G109*(1-0.526710253548079)</f>
        <v>0</v>
      </c>
      <c r="AM109" s="16">
        <f>F109*AE109</f>
        <v>0</v>
      </c>
      <c r="AN109" s="16">
        <f>F109*AF109</f>
        <v>0</v>
      </c>
      <c r="AO109" s="17" t="s">
        <v>778</v>
      </c>
      <c r="AP109" s="17" t="s">
        <v>801</v>
      </c>
      <c r="AQ109" s="11" t="s">
        <v>809</v>
      </c>
    </row>
    <row r="110" spans="1:13" ht="12.75">
      <c r="A110" s="77"/>
      <c r="B110" s="77"/>
      <c r="C110" s="77"/>
      <c r="D110" s="78" t="s">
        <v>502</v>
      </c>
      <c r="E110" s="77"/>
      <c r="F110" s="79">
        <v>912.75</v>
      </c>
      <c r="G110" s="77"/>
      <c r="H110" s="77"/>
      <c r="I110" s="77"/>
      <c r="J110" s="77"/>
      <c r="K110" s="77"/>
      <c r="L110" s="77"/>
      <c r="M110" s="77"/>
    </row>
    <row r="111" spans="1:43" ht="12.75">
      <c r="A111" s="74" t="s">
        <v>49</v>
      </c>
      <c r="B111" s="74" t="s">
        <v>207</v>
      </c>
      <c r="C111" s="74" t="s">
        <v>253</v>
      </c>
      <c r="D111" s="74" t="s">
        <v>503</v>
      </c>
      <c r="E111" s="74" t="s">
        <v>730</v>
      </c>
      <c r="F111" s="75">
        <v>30.1</v>
      </c>
      <c r="G111" s="75"/>
      <c r="H111" s="75">
        <f>F111*AE111</f>
        <v>0</v>
      </c>
      <c r="I111" s="75">
        <f>J111-H111</f>
        <v>0</v>
      </c>
      <c r="J111" s="75">
        <f>F111*G111</f>
        <v>0</v>
      </c>
      <c r="K111" s="75">
        <v>0</v>
      </c>
      <c r="L111" s="75">
        <f>F111*K111</f>
        <v>0</v>
      </c>
      <c r="M111" s="76" t="s">
        <v>758</v>
      </c>
      <c r="N111" s="12" t="s">
        <v>7</v>
      </c>
      <c r="O111" s="6">
        <f>IF(N111="5",I111,0)</f>
        <v>0</v>
      </c>
      <c r="Z111" s="6">
        <f>IF(AD111=0,J111,0)</f>
        <v>0</v>
      </c>
      <c r="AA111" s="6">
        <f>IF(AD111=15,J111,0)</f>
        <v>0</v>
      </c>
      <c r="AB111" s="6">
        <f>IF(AD111=21,J111,0)</f>
        <v>0</v>
      </c>
      <c r="AD111" s="16">
        <v>21</v>
      </c>
      <c r="AE111" s="16">
        <f>G111*0.268235842460965</f>
        <v>0</v>
      </c>
      <c r="AF111" s="16">
        <f>G111*(1-0.268235842460965)</f>
        <v>0</v>
      </c>
      <c r="AM111" s="16">
        <f>F111*AE111</f>
        <v>0</v>
      </c>
      <c r="AN111" s="16">
        <f>F111*AF111</f>
        <v>0</v>
      </c>
      <c r="AO111" s="17" t="s">
        <v>778</v>
      </c>
      <c r="AP111" s="17" t="s">
        <v>801</v>
      </c>
      <c r="AQ111" s="11" t="s">
        <v>809</v>
      </c>
    </row>
    <row r="112" spans="1:13" ht="12.75">
      <c r="A112" s="77"/>
      <c r="B112" s="77"/>
      <c r="C112" s="77"/>
      <c r="D112" s="78" t="s">
        <v>504</v>
      </c>
      <c r="E112" s="77"/>
      <c r="F112" s="79">
        <v>30.1</v>
      </c>
      <c r="G112" s="77"/>
      <c r="H112" s="77"/>
      <c r="I112" s="77"/>
      <c r="J112" s="77"/>
      <c r="K112" s="77"/>
      <c r="L112" s="77"/>
      <c r="M112" s="77"/>
    </row>
    <row r="113" spans="1:43" ht="12.75">
      <c r="A113" s="74" t="s">
        <v>50</v>
      </c>
      <c r="B113" s="74" t="s">
        <v>207</v>
      </c>
      <c r="C113" s="74" t="s">
        <v>254</v>
      </c>
      <c r="D113" s="74" t="s">
        <v>505</v>
      </c>
      <c r="E113" s="74" t="s">
        <v>730</v>
      </c>
      <c r="F113" s="75">
        <v>30.1</v>
      </c>
      <c r="G113" s="75"/>
      <c r="H113" s="75">
        <f>F113*AE113</f>
        <v>0</v>
      </c>
      <c r="I113" s="75">
        <f>J113-H113</f>
        <v>0</v>
      </c>
      <c r="J113" s="75">
        <f>F113*G113</f>
        <v>0</v>
      </c>
      <c r="K113" s="75">
        <v>0.28</v>
      </c>
      <c r="L113" s="75">
        <f>F113*K113</f>
        <v>8.428</v>
      </c>
      <c r="M113" s="76" t="s">
        <v>758</v>
      </c>
      <c r="N113" s="12" t="s">
        <v>7</v>
      </c>
      <c r="O113" s="6">
        <f>IF(N113="5",I113,0)</f>
        <v>0</v>
      </c>
      <c r="Z113" s="6">
        <f>IF(AD113=0,J113,0)</f>
        <v>0</v>
      </c>
      <c r="AA113" s="6">
        <f>IF(AD113=15,J113,0)</f>
        <v>0</v>
      </c>
      <c r="AB113" s="6">
        <f>IF(AD113=21,J113,0)</f>
        <v>0</v>
      </c>
      <c r="AD113" s="16">
        <v>21</v>
      </c>
      <c r="AE113" s="16">
        <f>G113*0.65546218487395</f>
        <v>0</v>
      </c>
      <c r="AF113" s="16">
        <f>G113*(1-0.65546218487395)</f>
        <v>0</v>
      </c>
      <c r="AM113" s="16">
        <f>F113*AE113</f>
        <v>0</v>
      </c>
      <c r="AN113" s="16">
        <f>F113*AF113</f>
        <v>0</v>
      </c>
      <c r="AO113" s="17" t="s">
        <v>778</v>
      </c>
      <c r="AP113" s="17" t="s">
        <v>801</v>
      </c>
      <c r="AQ113" s="11" t="s">
        <v>809</v>
      </c>
    </row>
    <row r="114" spans="1:13" ht="12.75">
      <c r="A114" s="77"/>
      <c r="B114" s="77"/>
      <c r="C114" s="77"/>
      <c r="D114" s="78" t="s">
        <v>506</v>
      </c>
      <c r="E114" s="77"/>
      <c r="F114" s="79">
        <v>30.1</v>
      </c>
      <c r="G114" s="77"/>
      <c r="H114" s="77"/>
      <c r="I114" s="77"/>
      <c r="J114" s="77"/>
      <c r="K114" s="77"/>
      <c r="L114" s="77"/>
      <c r="M114" s="77"/>
    </row>
    <row r="115" spans="1:37" ht="12.75">
      <c r="A115" s="70"/>
      <c r="B115" s="71" t="s">
        <v>207</v>
      </c>
      <c r="C115" s="71" t="s">
        <v>255</v>
      </c>
      <c r="D115" s="225" t="s">
        <v>507</v>
      </c>
      <c r="E115" s="226"/>
      <c r="F115" s="226"/>
      <c r="G115" s="226"/>
      <c r="H115" s="72">
        <f>SUM(H116:H126)</f>
        <v>0</v>
      </c>
      <c r="I115" s="72">
        <f>SUM(I116:I126)</f>
        <v>0</v>
      </c>
      <c r="J115" s="72">
        <f>H115+I115</f>
        <v>0</v>
      </c>
      <c r="K115" s="73"/>
      <c r="L115" s="72">
        <f>SUM(L116:L126)</f>
        <v>8.297711000000001</v>
      </c>
      <c r="M115" s="73"/>
      <c r="P115" s="18">
        <f>IF(Q115="PR",J115,SUM(O116:O126))</f>
        <v>0</v>
      </c>
      <c r="Q115" s="11" t="s">
        <v>765</v>
      </c>
      <c r="R115" s="18">
        <f>IF(Q115="HS",H115,0)</f>
        <v>0</v>
      </c>
      <c r="S115" s="18">
        <f>IF(Q115="HS",I115-P115,0)</f>
        <v>0</v>
      </c>
      <c r="T115" s="18">
        <f>IF(Q115="PS",H115,0)</f>
        <v>0</v>
      </c>
      <c r="U115" s="18">
        <f>IF(Q115="PS",I115-P115,0)</f>
        <v>0</v>
      </c>
      <c r="V115" s="18">
        <f>IF(Q115="MP",H115,0)</f>
        <v>0</v>
      </c>
      <c r="W115" s="18">
        <f>IF(Q115="MP",I115-P115,0)</f>
        <v>0</v>
      </c>
      <c r="X115" s="18">
        <f>IF(Q115="OM",H115,0)</f>
        <v>0</v>
      </c>
      <c r="Y115" s="11" t="s">
        <v>207</v>
      </c>
      <c r="AI115" s="18">
        <f>SUM(Z116:Z126)</f>
        <v>0</v>
      </c>
      <c r="AJ115" s="18">
        <f>SUM(AA116:AA126)</f>
        <v>0</v>
      </c>
      <c r="AK115" s="18">
        <f>SUM(AB116:AB126)</f>
        <v>0</v>
      </c>
    </row>
    <row r="116" spans="1:43" ht="12.75">
      <c r="A116" s="74" t="s">
        <v>51</v>
      </c>
      <c r="B116" s="74" t="s">
        <v>207</v>
      </c>
      <c r="C116" s="74" t="s">
        <v>256</v>
      </c>
      <c r="D116" s="74" t="s">
        <v>508</v>
      </c>
      <c r="E116" s="74" t="s">
        <v>730</v>
      </c>
      <c r="F116" s="75">
        <v>914.26</v>
      </c>
      <c r="G116" s="75"/>
      <c r="H116" s="75">
        <f>F116*AE116</f>
        <v>0</v>
      </c>
      <c r="I116" s="75">
        <f>J116-H116</f>
        <v>0</v>
      </c>
      <c r="J116" s="75">
        <f>F116*G116</f>
        <v>0</v>
      </c>
      <c r="K116" s="75">
        <v>0</v>
      </c>
      <c r="L116" s="75">
        <f>F116*K116</f>
        <v>0</v>
      </c>
      <c r="M116" s="76" t="s">
        <v>758</v>
      </c>
      <c r="N116" s="12" t="s">
        <v>7</v>
      </c>
      <c r="O116" s="6">
        <f>IF(N116="5",I116,0)</f>
        <v>0</v>
      </c>
      <c r="Z116" s="6">
        <f>IF(AD116=0,J116,0)</f>
        <v>0</v>
      </c>
      <c r="AA116" s="6">
        <f>IF(AD116=15,J116,0)</f>
        <v>0</v>
      </c>
      <c r="AB116" s="6">
        <f>IF(AD116=21,J116,0)</f>
        <v>0</v>
      </c>
      <c r="AD116" s="16">
        <v>21</v>
      </c>
      <c r="AE116" s="16">
        <f>G116*0</f>
        <v>0</v>
      </c>
      <c r="AF116" s="16">
        <f>G116*(1-0)</f>
        <v>0</v>
      </c>
      <c r="AM116" s="16">
        <f>F116*AE116</f>
        <v>0</v>
      </c>
      <c r="AN116" s="16">
        <f>F116*AF116</f>
        <v>0</v>
      </c>
      <c r="AO116" s="17" t="s">
        <v>783</v>
      </c>
      <c r="AP116" s="17" t="s">
        <v>804</v>
      </c>
      <c r="AQ116" s="11" t="s">
        <v>809</v>
      </c>
    </row>
    <row r="117" spans="1:13" ht="12.75">
      <c r="A117" s="77"/>
      <c r="B117" s="77"/>
      <c r="C117" s="77"/>
      <c r="D117" s="78" t="s">
        <v>509</v>
      </c>
      <c r="E117" s="77"/>
      <c r="F117" s="79">
        <v>914.26</v>
      </c>
      <c r="G117" s="77"/>
      <c r="H117" s="77"/>
      <c r="I117" s="77"/>
      <c r="J117" s="77"/>
      <c r="K117" s="77"/>
      <c r="L117" s="77"/>
      <c r="M117" s="77"/>
    </row>
    <row r="118" spans="1:43" ht="12.75">
      <c r="A118" s="84" t="s">
        <v>52</v>
      </c>
      <c r="B118" s="84" t="s">
        <v>207</v>
      </c>
      <c r="C118" s="84" t="s">
        <v>257</v>
      </c>
      <c r="D118" s="84" t="s">
        <v>510</v>
      </c>
      <c r="E118" s="84" t="s">
        <v>730</v>
      </c>
      <c r="F118" s="85">
        <v>1051.4</v>
      </c>
      <c r="G118" s="85"/>
      <c r="H118" s="85">
        <f>F118*AE118</f>
        <v>0</v>
      </c>
      <c r="I118" s="85">
        <f>J118-H118</f>
        <v>0</v>
      </c>
      <c r="J118" s="85">
        <f>F118*G118</f>
        <v>0</v>
      </c>
      <c r="K118" s="85">
        <v>0.0076</v>
      </c>
      <c r="L118" s="85">
        <f>F118*K118</f>
        <v>7.990640000000001</v>
      </c>
      <c r="M118" s="86" t="s">
        <v>759</v>
      </c>
      <c r="N118" s="13" t="s">
        <v>761</v>
      </c>
      <c r="O118" s="7">
        <f>IF(N118="5",I118,0)</f>
        <v>0</v>
      </c>
      <c r="Z118" s="7">
        <f>IF(AD118=0,J118,0)</f>
        <v>0</v>
      </c>
      <c r="AA118" s="7">
        <f>IF(AD118=15,J118,0)</f>
        <v>0</v>
      </c>
      <c r="AB118" s="7">
        <f>IF(AD118=21,J118,0)</f>
        <v>0</v>
      </c>
      <c r="AD118" s="16">
        <v>21</v>
      </c>
      <c r="AE118" s="16">
        <f>G118*1</f>
        <v>0</v>
      </c>
      <c r="AF118" s="16">
        <f>G118*(1-1)</f>
        <v>0</v>
      </c>
      <c r="AM118" s="16">
        <f>F118*AE118</f>
        <v>0</v>
      </c>
      <c r="AN118" s="16">
        <f>F118*AF118</f>
        <v>0</v>
      </c>
      <c r="AO118" s="17" t="s">
        <v>783</v>
      </c>
      <c r="AP118" s="17" t="s">
        <v>804</v>
      </c>
      <c r="AQ118" s="11" t="s">
        <v>809</v>
      </c>
    </row>
    <row r="119" spans="1:13" ht="12.75">
      <c r="A119" s="77"/>
      <c r="B119" s="77"/>
      <c r="C119" s="77"/>
      <c r="D119" s="78" t="s">
        <v>511</v>
      </c>
      <c r="E119" s="77"/>
      <c r="F119" s="79">
        <v>914.26</v>
      </c>
      <c r="G119" s="77"/>
      <c r="H119" s="77"/>
      <c r="I119" s="77"/>
      <c r="J119" s="77"/>
      <c r="K119" s="77"/>
      <c r="L119" s="77"/>
      <c r="M119" s="77"/>
    </row>
    <row r="120" spans="1:13" ht="12.75">
      <c r="A120" s="77"/>
      <c r="B120" s="77"/>
      <c r="C120" s="77"/>
      <c r="D120" s="78" t="s">
        <v>512</v>
      </c>
      <c r="E120" s="77"/>
      <c r="F120" s="79">
        <v>137.14</v>
      </c>
      <c r="G120" s="77"/>
      <c r="H120" s="77"/>
      <c r="I120" s="77"/>
      <c r="J120" s="77"/>
      <c r="K120" s="77"/>
      <c r="L120" s="77"/>
      <c r="M120" s="77"/>
    </row>
    <row r="121" spans="1:43" ht="12.75">
      <c r="A121" s="74" t="s">
        <v>53</v>
      </c>
      <c r="B121" s="74" t="s">
        <v>207</v>
      </c>
      <c r="C121" s="74" t="s">
        <v>258</v>
      </c>
      <c r="D121" s="74" t="s">
        <v>513</v>
      </c>
      <c r="E121" s="74" t="s">
        <v>730</v>
      </c>
      <c r="F121" s="75">
        <v>890.06</v>
      </c>
      <c r="G121" s="75"/>
      <c r="H121" s="75">
        <f>F121*AE121</f>
        <v>0</v>
      </c>
      <c r="I121" s="75">
        <f>J121-H121</f>
        <v>0</v>
      </c>
      <c r="J121" s="75">
        <f>F121*G121</f>
        <v>0</v>
      </c>
      <c r="K121" s="75">
        <v>0</v>
      </c>
      <c r="L121" s="75">
        <f>F121*K121</f>
        <v>0</v>
      </c>
      <c r="M121" s="76" t="s">
        <v>758</v>
      </c>
      <c r="N121" s="12" t="s">
        <v>7</v>
      </c>
      <c r="O121" s="6">
        <f>IF(N121="5",I121,0)</f>
        <v>0</v>
      </c>
      <c r="Z121" s="6">
        <f>IF(AD121=0,J121,0)</f>
        <v>0</v>
      </c>
      <c r="AA121" s="6">
        <f>IF(AD121=15,J121,0)</f>
        <v>0</v>
      </c>
      <c r="AB121" s="6">
        <f>IF(AD121=21,J121,0)</f>
        <v>0</v>
      </c>
      <c r="AD121" s="16">
        <v>21</v>
      </c>
      <c r="AE121" s="16">
        <f>G121*0</f>
        <v>0</v>
      </c>
      <c r="AF121" s="16">
        <f>G121*(1-0)</f>
        <v>0</v>
      </c>
      <c r="AM121" s="16">
        <f>F121*AE121</f>
        <v>0</v>
      </c>
      <c r="AN121" s="16">
        <f>F121*AF121</f>
        <v>0</v>
      </c>
      <c r="AO121" s="17" t="s">
        <v>783</v>
      </c>
      <c r="AP121" s="17" t="s">
        <v>804</v>
      </c>
      <c r="AQ121" s="11" t="s">
        <v>809</v>
      </c>
    </row>
    <row r="122" spans="1:13" ht="12.75">
      <c r="A122" s="77"/>
      <c r="B122" s="77"/>
      <c r="C122" s="77"/>
      <c r="D122" s="78" t="s">
        <v>500</v>
      </c>
      <c r="E122" s="77"/>
      <c r="F122" s="79">
        <v>890.06</v>
      </c>
      <c r="G122" s="77"/>
      <c r="H122" s="77"/>
      <c r="I122" s="77"/>
      <c r="J122" s="77"/>
      <c r="K122" s="77"/>
      <c r="L122" s="77"/>
      <c r="M122" s="77"/>
    </row>
    <row r="123" spans="1:43" ht="12.75">
      <c r="A123" s="84" t="s">
        <v>54</v>
      </c>
      <c r="B123" s="84" t="s">
        <v>207</v>
      </c>
      <c r="C123" s="84" t="s">
        <v>259</v>
      </c>
      <c r="D123" s="84" t="s">
        <v>514</v>
      </c>
      <c r="E123" s="84" t="s">
        <v>730</v>
      </c>
      <c r="F123" s="85">
        <v>1023.57</v>
      </c>
      <c r="G123" s="85"/>
      <c r="H123" s="85">
        <f>F123*AE123</f>
        <v>0</v>
      </c>
      <c r="I123" s="85">
        <f>J123-H123</f>
        <v>0</v>
      </c>
      <c r="J123" s="85">
        <f>F123*G123</f>
        <v>0</v>
      </c>
      <c r="K123" s="85">
        <v>0.0003</v>
      </c>
      <c r="L123" s="85">
        <f>F123*K123</f>
        <v>0.307071</v>
      </c>
      <c r="M123" s="86" t="s">
        <v>758</v>
      </c>
      <c r="N123" s="13" t="s">
        <v>761</v>
      </c>
      <c r="O123" s="7">
        <f>IF(N123="5",I123,0)</f>
        <v>0</v>
      </c>
      <c r="Z123" s="7">
        <f>IF(AD123=0,J123,0)</f>
        <v>0</v>
      </c>
      <c r="AA123" s="7">
        <f>IF(AD123=15,J123,0)</f>
        <v>0</v>
      </c>
      <c r="AB123" s="7">
        <f>IF(AD123=21,J123,0)</f>
        <v>0</v>
      </c>
      <c r="AD123" s="16">
        <v>21</v>
      </c>
      <c r="AE123" s="16">
        <f>G123*1</f>
        <v>0</v>
      </c>
      <c r="AF123" s="16">
        <f>G123*(1-1)</f>
        <v>0</v>
      </c>
      <c r="AM123" s="16">
        <f>F123*AE123</f>
        <v>0</v>
      </c>
      <c r="AN123" s="16">
        <f>F123*AF123</f>
        <v>0</v>
      </c>
      <c r="AO123" s="17" t="s">
        <v>783</v>
      </c>
      <c r="AP123" s="17" t="s">
        <v>804</v>
      </c>
      <c r="AQ123" s="11" t="s">
        <v>809</v>
      </c>
    </row>
    <row r="124" spans="1:13" ht="12.75">
      <c r="A124" s="77"/>
      <c r="B124" s="77"/>
      <c r="C124" s="77"/>
      <c r="D124" s="78" t="s">
        <v>515</v>
      </c>
      <c r="E124" s="77"/>
      <c r="F124" s="79">
        <v>890.06</v>
      </c>
      <c r="G124" s="77"/>
      <c r="H124" s="77"/>
      <c r="I124" s="77"/>
      <c r="J124" s="77"/>
      <c r="K124" s="77"/>
      <c r="L124" s="77"/>
      <c r="M124" s="77"/>
    </row>
    <row r="125" spans="1:13" ht="12.75">
      <c r="A125" s="77"/>
      <c r="B125" s="77"/>
      <c r="C125" s="77"/>
      <c r="D125" s="78" t="s">
        <v>516</v>
      </c>
      <c r="E125" s="77"/>
      <c r="F125" s="79">
        <v>133.51</v>
      </c>
      <c r="G125" s="77"/>
      <c r="H125" s="77"/>
      <c r="I125" s="77"/>
      <c r="J125" s="77"/>
      <c r="K125" s="77"/>
      <c r="L125" s="77"/>
      <c r="M125" s="77"/>
    </row>
    <row r="126" spans="1:43" ht="12.75">
      <c r="A126" s="74" t="s">
        <v>55</v>
      </c>
      <c r="B126" s="74" t="s">
        <v>207</v>
      </c>
      <c r="C126" s="74" t="s">
        <v>260</v>
      </c>
      <c r="D126" s="74" t="s">
        <v>517</v>
      </c>
      <c r="E126" s="74" t="s">
        <v>732</v>
      </c>
      <c r="F126" s="75">
        <v>8.29771</v>
      </c>
      <c r="G126" s="75"/>
      <c r="H126" s="75">
        <f>F126*AE126</f>
        <v>0</v>
      </c>
      <c r="I126" s="75">
        <f>J126-H126</f>
        <v>0</v>
      </c>
      <c r="J126" s="75">
        <f>F126*G126</f>
        <v>0</v>
      </c>
      <c r="K126" s="75">
        <v>0</v>
      </c>
      <c r="L126" s="75">
        <f>F126*K126</f>
        <v>0</v>
      </c>
      <c r="M126" s="76" t="s">
        <v>758</v>
      </c>
      <c r="N126" s="12" t="s">
        <v>11</v>
      </c>
      <c r="O126" s="6">
        <f>IF(N126="5",I126,0)</f>
        <v>0</v>
      </c>
      <c r="Z126" s="6">
        <f>IF(AD126=0,J126,0)</f>
        <v>0</v>
      </c>
      <c r="AA126" s="6">
        <f>IF(AD126=15,J126,0)</f>
        <v>0</v>
      </c>
      <c r="AB126" s="6">
        <f>IF(AD126=21,J126,0)</f>
        <v>0</v>
      </c>
      <c r="AD126" s="16">
        <v>21</v>
      </c>
      <c r="AE126" s="16">
        <f>G126*0</f>
        <v>0</v>
      </c>
      <c r="AF126" s="16">
        <f>G126*(1-0)</f>
        <v>0</v>
      </c>
      <c r="AM126" s="16">
        <f>F126*AE126</f>
        <v>0</v>
      </c>
      <c r="AN126" s="16">
        <f>F126*AF126</f>
        <v>0</v>
      </c>
      <c r="AO126" s="17" t="s">
        <v>783</v>
      </c>
      <c r="AP126" s="17" t="s">
        <v>804</v>
      </c>
      <c r="AQ126" s="11" t="s">
        <v>809</v>
      </c>
    </row>
    <row r="127" spans="1:37" ht="12.75">
      <c r="A127" s="70"/>
      <c r="B127" s="71" t="s">
        <v>207</v>
      </c>
      <c r="C127" s="71" t="s">
        <v>261</v>
      </c>
      <c r="D127" s="225" t="s">
        <v>518</v>
      </c>
      <c r="E127" s="226"/>
      <c r="F127" s="226"/>
      <c r="G127" s="226"/>
      <c r="H127" s="72">
        <f>SUM(H128:H155)</f>
        <v>0</v>
      </c>
      <c r="I127" s="72">
        <f>SUM(I128:I155)</f>
        <v>0</v>
      </c>
      <c r="J127" s="72">
        <f>H127+I127</f>
        <v>0</v>
      </c>
      <c r="K127" s="73"/>
      <c r="L127" s="72">
        <f>SUM(L128:L155)</f>
        <v>0.11091400000000001</v>
      </c>
      <c r="M127" s="73"/>
      <c r="P127" s="18">
        <f>IF(Q127="PR",J127,SUM(O128:O155))</f>
        <v>0</v>
      </c>
      <c r="Q127" s="11" t="s">
        <v>765</v>
      </c>
      <c r="R127" s="18">
        <f>IF(Q127="HS",H127,0)</f>
        <v>0</v>
      </c>
      <c r="S127" s="18">
        <f>IF(Q127="HS",I127-P127,0)</f>
        <v>0</v>
      </c>
      <c r="T127" s="18">
        <f>IF(Q127="PS",H127,0)</f>
        <v>0</v>
      </c>
      <c r="U127" s="18">
        <f>IF(Q127="PS",I127-P127,0)</f>
        <v>0</v>
      </c>
      <c r="V127" s="18">
        <f>IF(Q127="MP",H127,0)</f>
        <v>0</v>
      </c>
      <c r="W127" s="18">
        <f>IF(Q127="MP",I127-P127,0)</f>
        <v>0</v>
      </c>
      <c r="X127" s="18">
        <f>IF(Q127="OM",H127,0)</f>
        <v>0</v>
      </c>
      <c r="Y127" s="11" t="s">
        <v>207</v>
      </c>
      <c r="AI127" s="18">
        <f>SUM(Z128:Z155)</f>
        <v>0</v>
      </c>
      <c r="AJ127" s="18">
        <f>SUM(AA128:AA155)</f>
        <v>0</v>
      </c>
      <c r="AK127" s="18">
        <f>SUM(AB128:AB155)</f>
        <v>0</v>
      </c>
    </row>
    <row r="128" spans="1:43" ht="12.75">
      <c r="A128" s="74" t="s">
        <v>56</v>
      </c>
      <c r="B128" s="74" t="s">
        <v>207</v>
      </c>
      <c r="C128" s="74" t="s">
        <v>262</v>
      </c>
      <c r="D128" s="74" t="s">
        <v>519</v>
      </c>
      <c r="E128" s="74" t="s">
        <v>729</v>
      </c>
      <c r="F128" s="75">
        <v>1.5</v>
      </c>
      <c r="G128" s="75"/>
      <c r="H128" s="75">
        <f>F128*AE128</f>
        <v>0</v>
      </c>
      <c r="I128" s="75">
        <f>J128-H128</f>
        <v>0</v>
      </c>
      <c r="J128" s="75">
        <f>F128*G128</f>
        <v>0</v>
      </c>
      <c r="K128" s="75">
        <v>0.01793</v>
      </c>
      <c r="L128" s="75">
        <f>F128*K128</f>
        <v>0.026895000000000002</v>
      </c>
      <c r="M128" s="76" t="s">
        <v>758</v>
      </c>
      <c r="N128" s="12" t="s">
        <v>7</v>
      </c>
      <c r="O128" s="6">
        <f>IF(N128="5",I128,0)</f>
        <v>0</v>
      </c>
      <c r="Z128" s="6">
        <f>IF(AD128=0,J128,0)</f>
        <v>0</v>
      </c>
      <c r="AA128" s="6">
        <f>IF(AD128=15,J128,0)</f>
        <v>0</v>
      </c>
      <c r="AB128" s="6">
        <f>IF(AD128=21,J128,0)</f>
        <v>0</v>
      </c>
      <c r="AD128" s="16">
        <v>21</v>
      </c>
      <c r="AE128" s="16">
        <f>G128*0.606570743405276</f>
        <v>0</v>
      </c>
      <c r="AF128" s="16">
        <f>G128*(1-0.606570743405276)</f>
        <v>0</v>
      </c>
      <c r="AM128" s="16">
        <f>F128*AE128</f>
        <v>0</v>
      </c>
      <c r="AN128" s="16">
        <f>F128*AF128</f>
        <v>0</v>
      </c>
      <c r="AO128" s="17" t="s">
        <v>784</v>
      </c>
      <c r="AP128" s="17" t="s">
        <v>805</v>
      </c>
      <c r="AQ128" s="11" t="s">
        <v>809</v>
      </c>
    </row>
    <row r="129" spans="1:13" ht="12.75">
      <c r="A129" s="77"/>
      <c r="B129" s="77"/>
      <c r="C129" s="77"/>
      <c r="D129" s="78" t="s">
        <v>520</v>
      </c>
      <c r="E129" s="77"/>
      <c r="F129" s="79">
        <v>1.5</v>
      </c>
      <c r="G129" s="77"/>
      <c r="H129" s="77"/>
      <c r="I129" s="77"/>
      <c r="J129" s="77"/>
      <c r="K129" s="77"/>
      <c r="L129" s="77"/>
      <c r="M129" s="77"/>
    </row>
    <row r="130" spans="1:43" ht="12.75">
      <c r="A130" s="74" t="s">
        <v>57</v>
      </c>
      <c r="B130" s="74" t="s">
        <v>207</v>
      </c>
      <c r="C130" s="74" t="s">
        <v>263</v>
      </c>
      <c r="D130" s="74" t="s">
        <v>521</v>
      </c>
      <c r="E130" s="74" t="s">
        <v>733</v>
      </c>
      <c r="F130" s="75">
        <v>1</v>
      </c>
      <c r="G130" s="75"/>
      <c r="H130" s="75">
        <f>F130*AE130</f>
        <v>0</v>
      </c>
      <c r="I130" s="75">
        <f>J130-H130</f>
        <v>0</v>
      </c>
      <c r="J130" s="75">
        <f>F130*G130</f>
        <v>0</v>
      </c>
      <c r="K130" s="75">
        <v>0.00031</v>
      </c>
      <c r="L130" s="75">
        <f>F130*K130</f>
        <v>0.00031</v>
      </c>
      <c r="M130" s="76" t="s">
        <v>758</v>
      </c>
      <c r="N130" s="12" t="s">
        <v>7</v>
      </c>
      <c r="O130" s="6">
        <f>IF(N130="5",I130,0)</f>
        <v>0</v>
      </c>
      <c r="Z130" s="6">
        <f>IF(AD130=0,J130,0)</f>
        <v>0</v>
      </c>
      <c r="AA130" s="6">
        <f>IF(AD130=15,J130,0)</f>
        <v>0</v>
      </c>
      <c r="AB130" s="6">
        <f>IF(AD130=21,J130,0)</f>
        <v>0</v>
      </c>
      <c r="AD130" s="16">
        <v>21</v>
      </c>
      <c r="AE130" s="16">
        <f>G130*0.863639705882353</f>
        <v>0</v>
      </c>
      <c r="AF130" s="16">
        <f>G130*(1-0.863639705882353)</f>
        <v>0</v>
      </c>
      <c r="AM130" s="16">
        <f>F130*AE130</f>
        <v>0</v>
      </c>
      <c r="AN130" s="16">
        <f>F130*AF130</f>
        <v>0</v>
      </c>
      <c r="AO130" s="17" t="s">
        <v>784</v>
      </c>
      <c r="AP130" s="17" t="s">
        <v>805</v>
      </c>
      <c r="AQ130" s="11" t="s">
        <v>809</v>
      </c>
    </row>
    <row r="131" spans="1:13" ht="12.75">
      <c r="A131" s="77"/>
      <c r="B131" s="77"/>
      <c r="C131" s="77"/>
      <c r="D131" s="78" t="s">
        <v>7</v>
      </c>
      <c r="E131" s="77"/>
      <c r="F131" s="79">
        <v>1</v>
      </c>
      <c r="G131" s="77"/>
      <c r="H131" s="77"/>
      <c r="I131" s="77"/>
      <c r="J131" s="77"/>
      <c r="K131" s="77"/>
      <c r="L131" s="77"/>
      <c r="M131" s="77"/>
    </row>
    <row r="132" spans="1:43" ht="12.75">
      <c r="A132" s="74" t="s">
        <v>58</v>
      </c>
      <c r="B132" s="74" t="s">
        <v>207</v>
      </c>
      <c r="C132" s="74" t="s">
        <v>264</v>
      </c>
      <c r="D132" s="74" t="s">
        <v>522</v>
      </c>
      <c r="E132" s="74" t="s">
        <v>733</v>
      </c>
      <c r="F132" s="75">
        <v>1</v>
      </c>
      <c r="G132" s="75"/>
      <c r="H132" s="75">
        <f>F132*AE132</f>
        <v>0</v>
      </c>
      <c r="I132" s="75">
        <f>J132-H132</f>
        <v>0</v>
      </c>
      <c r="J132" s="75">
        <f>F132*G132</f>
        <v>0</v>
      </c>
      <c r="K132" s="75">
        <v>0.00208</v>
      </c>
      <c r="L132" s="75">
        <f>F132*K132</f>
        <v>0.00208</v>
      </c>
      <c r="M132" s="76" t="s">
        <v>758</v>
      </c>
      <c r="N132" s="12" t="s">
        <v>7</v>
      </c>
      <c r="O132" s="6">
        <f>IF(N132="5",I132,0)</f>
        <v>0</v>
      </c>
      <c r="Z132" s="6">
        <f>IF(AD132=0,J132,0)</f>
        <v>0</v>
      </c>
      <c r="AA132" s="6">
        <f>IF(AD132=15,J132,0)</f>
        <v>0</v>
      </c>
      <c r="AB132" s="6">
        <f>IF(AD132=21,J132,0)</f>
        <v>0</v>
      </c>
      <c r="AD132" s="16">
        <v>21</v>
      </c>
      <c r="AE132" s="16">
        <f>G132*0.893408037094281</f>
        <v>0</v>
      </c>
      <c r="AF132" s="16">
        <f>G132*(1-0.893408037094281)</f>
        <v>0</v>
      </c>
      <c r="AM132" s="16">
        <f>F132*AE132</f>
        <v>0</v>
      </c>
      <c r="AN132" s="16">
        <f>F132*AF132</f>
        <v>0</v>
      </c>
      <c r="AO132" s="17" t="s">
        <v>784</v>
      </c>
      <c r="AP132" s="17" t="s">
        <v>805</v>
      </c>
      <c r="AQ132" s="11" t="s">
        <v>809</v>
      </c>
    </row>
    <row r="133" spans="1:13" ht="12.75">
      <c r="A133" s="77"/>
      <c r="B133" s="77"/>
      <c r="C133" s="77"/>
      <c r="D133" s="78" t="s">
        <v>7</v>
      </c>
      <c r="E133" s="77"/>
      <c r="F133" s="79">
        <v>1</v>
      </c>
      <c r="G133" s="77"/>
      <c r="H133" s="77"/>
      <c r="I133" s="77"/>
      <c r="J133" s="77"/>
      <c r="K133" s="77"/>
      <c r="L133" s="77"/>
      <c r="M133" s="77"/>
    </row>
    <row r="134" spans="1:43" ht="12.75">
      <c r="A134" s="74" t="s">
        <v>59</v>
      </c>
      <c r="B134" s="74" t="s">
        <v>207</v>
      </c>
      <c r="C134" s="74" t="s">
        <v>265</v>
      </c>
      <c r="D134" s="74" t="s">
        <v>523</v>
      </c>
      <c r="E134" s="74" t="s">
        <v>729</v>
      </c>
      <c r="F134" s="75">
        <v>10</v>
      </c>
      <c r="G134" s="75"/>
      <c r="H134" s="75">
        <f>F134*AE134</f>
        <v>0</v>
      </c>
      <c r="I134" s="75">
        <f>J134-H134</f>
        <v>0</v>
      </c>
      <c r="J134" s="75">
        <f>F134*G134</f>
        <v>0</v>
      </c>
      <c r="K134" s="75">
        <v>0.00031</v>
      </c>
      <c r="L134" s="75">
        <f>F134*K134</f>
        <v>0.0031</v>
      </c>
      <c r="M134" s="76" t="s">
        <v>758</v>
      </c>
      <c r="N134" s="12" t="s">
        <v>7</v>
      </c>
      <c r="O134" s="6">
        <f>IF(N134="5",I134,0)</f>
        <v>0</v>
      </c>
      <c r="Z134" s="6">
        <f>IF(AD134=0,J134,0)</f>
        <v>0</v>
      </c>
      <c r="AA134" s="6">
        <f>IF(AD134=15,J134,0)</f>
        <v>0</v>
      </c>
      <c r="AB134" s="6">
        <f>IF(AD134=21,J134,0)</f>
        <v>0</v>
      </c>
      <c r="AD134" s="16">
        <v>21</v>
      </c>
      <c r="AE134" s="16">
        <f>G134*0.0673303167420815</f>
        <v>0</v>
      </c>
      <c r="AF134" s="16">
        <f>G134*(1-0.0673303167420815)</f>
        <v>0</v>
      </c>
      <c r="AM134" s="16">
        <f>F134*AE134</f>
        <v>0</v>
      </c>
      <c r="AN134" s="16">
        <f>F134*AF134</f>
        <v>0</v>
      </c>
      <c r="AO134" s="17" t="s">
        <v>784</v>
      </c>
      <c r="AP134" s="17" t="s">
        <v>805</v>
      </c>
      <c r="AQ134" s="11" t="s">
        <v>809</v>
      </c>
    </row>
    <row r="135" spans="1:13" ht="12.75">
      <c r="A135" s="77"/>
      <c r="B135" s="77"/>
      <c r="C135" s="77"/>
      <c r="D135" s="78" t="s">
        <v>16</v>
      </c>
      <c r="E135" s="77"/>
      <c r="F135" s="79">
        <v>10</v>
      </c>
      <c r="G135" s="77"/>
      <c r="H135" s="77"/>
      <c r="I135" s="77"/>
      <c r="J135" s="77"/>
      <c r="K135" s="77"/>
      <c r="L135" s="77"/>
      <c r="M135" s="77"/>
    </row>
    <row r="136" spans="1:43" ht="12.75">
      <c r="A136" s="84" t="s">
        <v>60</v>
      </c>
      <c r="B136" s="84" t="s">
        <v>207</v>
      </c>
      <c r="C136" s="84" t="s">
        <v>266</v>
      </c>
      <c r="D136" s="84" t="s">
        <v>524</v>
      </c>
      <c r="E136" s="84" t="s">
        <v>729</v>
      </c>
      <c r="F136" s="85">
        <v>10.3</v>
      </c>
      <c r="G136" s="85"/>
      <c r="H136" s="85">
        <f>F136*AE136</f>
        <v>0</v>
      </c>
      <c r="I136" s="85">
        <f>J136-H136</f>
        <v>0</v>
      </c>
      <c r="J136" s="85">
        <f>F136*G136</f>
        <v>0</v>
      </c>
      <c r="K136" s="85">
        <v>0.00148</v>
      </c>
      <c r="L136" s="85">
        <f>F136*K136</f>
        <v>0.015244</v>
      </c>
      <c r="M136" s="86" t="s">
        <v>758</v>
      </c>
      <c r="N136" s="13" t="s">
        <v>761</v>
      </c>
      <c r="O136" s="7">
        <f>IF(N136="5",I136,0)</f>
        <v>0</v>
      </c>
      <c r="Z136" s="7">
        <f>IF(AD136=0,J136,0)</f>
        <v>0</v>
      </c>
      <c r="AA136" s="7">
        <f>IF(AD136=15,J136,0)</f>
        <v>0</v>
      </c>
      <c r="AB136" s="7">
        <f>IF(AD136=21,J136,0)</f>
        <v>0</v>
      </c>
      <c r="AD136" s="16">
        <v>21</v>
      </c>
      <c r="AE136" s="16">
        <f>G136*1</f>
        <v>0</v>
      </c>
      <c r="AF136" s="16">
        <f>G136*(1-1)</f>
        <v>0</v>
      </c>
      <c r="AM136" s="16">
        <f>F136*AE136</f>
        <v>0</v>
      </c>
      <c r="AN136" s="16">
        <f>F136*AF136</f>
        <v>0</v>
      </c>
      <c r="AO136" s="17" t="s">
        <v>784</v>
      </c>
      <c r="AP136" s="17" t="s">
        <v>805</v>
      </c>
      <c r="AQ136" s="11" t="s">
        <v>809</v>
      </c>
    </row>
    <row r="137" spans="1:13" ht="12.75">
      <c r="A137" s="77"/>
      <c r="B137" s="77"/>
      <c r="C137" s="77"/>
      <c r="D137" s="78" t="s">
        <v>16</v>
      </c>
      <c r="E137" s="77"/>
      <c r="F137" s="79">
        <v>10</v>
      </c>
      <c r="G137" s="77"/>
      <c r="H137" s="77"/>
      <c r="I137" s="77"/>
      <c r="J137" s="77"/>
      <c r="K137" s="77"/>
      <c r="L137" s="77"/>
      <c r="M137" s="77"/>
    </row>
    <row r="138" spans="1:13" ht="12.75">
      <c r="A138" s="77"/>
      <c r="B138" s="77"/>
      <c r="C138" s="77"/>
      <c r="D138" s="78" t="s">
        <v>525</v>
      </c>
      <c r="E138" s="77"/>
      <c r="F138" s="79">
        <v>0.3</v>
      </c>
      <c r="G138" s="77"/>
      <c r="H138" s="77"/>
      <c r="I138" s="77"/>
      <c r="J138" s="77"/>
      <c r="K138" s="77"/>
      <c r="L138" s="77"/>
      <c r="M138" s="77"/>
    </row>
    <row r="139" spans="1:43" ht="12.75">
      <c r="A139" s="74" t="s">
        <v>61</v>
      </c>
      <c r="B139" s="74" t="s">
        <v>207</v>
      </c>
      <c r="C139" s="74" t="s">
        <v>267</v>
      </c>
      <c r="D139" s="74" t="s">
        <v>526</v>
      </c>
      <c r="E139" s="74" t="s">
        <v>733</v>
      </c>
      <c r="F139" s="75">
        <v>1</v>
      </c>
      <c r="G139" s="75"/>
      <c r="H139" s="75">
        <f>F139*AE139</f>
        <v>0</v>
      </c>
      <c r="I139" s="75">
        <f>J139-H139</f>
        <v>0</v>
      </c>
      <c r="J139" s="75">
        <f>F139*G139</f>
        <v>0</v>
      </c>
      <c r="K139" s="75">
        <v>8E-05</v>
      </c>
      <c r="L139" s="75">
        <f>F139*K139</f>
        <v>8E-05</v>
      </c>
      <c r="M139" s="76" t="s">
        <v>758</v>
      </c>
      <c r="N139" s="12" t="s">
        <v>7</v>
      </c>
      <c r="O139" s="6">
        <f>IF(N139="5",I139,0)</f>
        <v>0</v>
      </c>
      <c r="Z139" s="6">
        <f>IF(AD139=0,J139,0)</f>
        <v>0</v>
      </c>
      <c r="AA139" s="6">
        <f>IF(AD139=15,J139,0)</f>
        <v>0</v>
      </c>
      <c r="AB139" s="6">
        <f>IF(AD139=21,J139,0)</f>
        <v>0</v>
      </c>
      <c r="AD139" s="16">
        <v>21</v>
      </c>
      <c r="AE139" s="16">
        <f>G139*0.00783705457365607</f>
        <v>0</v>
      </c>
      <c r="AF139" s="16">
        <f>G139*(1-0.00783705457365607)</f>
        <v>0</v>
      </c>
      <c r="AM139" s="16">
        <f>F139*AE139</f>
        <v>0</v>
      </c>
      <c r="AN139" s="16">
        <f>F139*AF139</f>
        <v>0</v>
      </c>
      <c r="AO139" s="17" t="s">
        <v>784</v>
      </c>
      <c r="AP139" s="17" t="s">
        <v>805</v>
      </c>
      <c r="AQ139" s="11" t="s">
        <v>809</v>
      </c>
    </row>
    <row r="140" spans="1:13" ht="12.75">
      <c r="A140" s="77"/>
      <c r="B140" s="77"/>
      <c r="C140" s="77"/>
      <c r="D140" s="78" t="s">
        <v>7</v>
      </c>
      <c r="E140" s="77"/>
      <c r="F140" s="79">
        <v>1</v>
      </c>
      <c r="G140" s="77"/>
      <c r="H140" s="77"/>
      <c r="I140" s="77"/>
      <c r="J140" s="77"/>
      <c r="K140" s="77"/>
      <c r="L140" s="77"/>
      <c r="M140" s="77"/>
    </row>
    <row r="141" spans="1:43" ht="12.75">
      <c r="A141" s="84" t="s">
        <v>62</v>
      </c>
      <c r="B141" s="84" t="s">
        <v>207</v>
      </c>
      <c r="C141" s="84" t="s">
        <v>268</v>
      </c>
      <c r="D141" s="84" t="s">
        <v>527</v>
      </c>
      <c r="E141" s="84" t="s">
        <v>733</v>
      </c>
      <c r="F141" s="85">
        <v>1</v>
      </c>
      <c r="G141" s="85"/>
      <c r="H141" s="85">
        <f>F141*AE141</f>
        <v>0</v>
      </c>
      <c r="I141" s="85">
        <f>J141-H141</f>
        <v>0</v>
      </c>
      <c r="J141" s="85">
        <f>F141*G141</f>
        <v>0</v>
      </c>
      <c r="K141" s="85">
        <v>0.0006</v>
      </c>
      <c r="L141" s="85">
        <f>F141*K141</f>
        <v>0.0006</v>
      </c>
      <c r="M141" s="86" t="s">
        <v>758</v>
      </c>
      <c r="N141" s="13" t="s">
        <v>761</v>
      </c>
      <c r="O141" s="7">
        <f>IF(N141="5",I141,0)</f>
        <v>0</v>
      </c>
      <c r="Z141" s="7">
        <f>IF(AD141=0,J141,0)</f>
        <v>0</v>
      </c>
      <c r="AA141" s="7">
        <f>IF(AD141=15,J141,0)</f>
        <v>0</v>
      </c>
      <c r="AB141" s="7">
        <f>IF(AD141=21,J141,0)</f>
        <v>0</v>
      </c>
      <c r="AD141" s="16">
        <v>21</v>
      </c>
      <c r="AE141" s="16">
        <f>G141*1</f>
        <v>0</v>
      </c>
      <c r="AF141" s="16">
        <f>G141*(1-1)</f>
        <v>0</v>
      </c>
      <c r="AM141" s="16">
        <f>F141*AE141</f>
        <v>0</v>
      </c>
      <c r="AN141" s="16">
        <f>F141*AF141</f>
        <v>0</v>
      </c>
      <c r="AO141" s="17" t="s">
        <v>784</v>
      </c>
      <c r="AP141" s="17" t="s">
        <v>805</v>
      </c>
      <c r="AQ141" s="11" t="s">
        <v>809</v>
      </c>
    </row>
    <row r="142" spans="1:13" ht="12.75">
      <c r="A142" s="77"/>
      <c r="B142" s="77"/>
      <c r="C142" s="77"/>
      <c r="D142" s="78" t="s">
        <v>7</v>
      </c>
      <c r="E142" s="77"/>
      <c r="F142" s="79">
        <v>1</v>
      </c>
      <c r="G142" s="77"/>
      <c r="H142" s="77"/>
      <c r="I142" s="77"/>
      <c r="J142" s="77"/>
      <c r="K142" s="77"/>
      <c r="L142" s="77"/>
      <c r="M142" s="77"/>
    </row>
    <row r="143" spans="1:43" ht="12.75">
      <c r="A143" s="74" t="s">
        <v>63</v>
      </c>
      <c r="B143" s="74" t="s">
        <v>207</v>
      </c>
      <c r="C143" s="74" t="s">
        <v>269</v>
      </c>
      <c r="D143" s="74" t="s">
        <v>528</v>
      </c>
      <c r="E143" s="74" t="s">
        <v>729</v>
      </c>
      <c r="F143" s="75">
        <v>1.5</v>
      </c>
      <c r="G143" s="75"/>
      <c r="H143" s="75">
        <f>F143*AE143</f>
        <v>0</v>
      </c>
      <c r="I143" s="75">
        <f>J143-H143</f>
        <v>0</v>
      </c>
      <c r="J143" s="75">
        <f>F143*G143</f>
        <v>0</v>
      </c>
      <c r="K143" s="75">
        <v>0.00019</v>
      </c>
      <c r="L143" s="75">
        <f>F143*K143</f>
        <v>0.000285</v>
      </c>
      <c r="M143" s="76" t="s">
        <v>758</v>
      </c>
      <c r="N143" s="12" t="s">
        <v>7</v>
      </c>
      <c r="O143" s="6">
        <f>IF(N143="5",I143,0)</f>
        <v>0</v>
      </c>
      <c r="Z143" s="6">
        <f>IF(AD143=0,J143,0)</f>
        <v>0</v>
      </c>
      <c r="AA143" s="6">
        <f>IF(AD143=15,J143,0)</f>
        <v>0</v>
      </c>
      <c r="AB143" s="6">
        <f>IF(AD143=21,J143,0)</f>
        <v>0</v>
      </c>
      <c r="AD143" s="16">
        <v>21</v>
      </c>
      <c r="AE143" s="16">
        <f>G143*0.697931034482759</f>
        <v>0</v>
      </c>
      <c r="AF143" s="16">
        <f>G143*(1-0.697931034482759)</f>
        <v>0</v>
      </c>
      <c r="AM143" s="16">
        <f>F143*AE143</f>
        <v>0</v>
      </c>
      <c r="AN143" s="16">
        <f>F143*AF143</f>
        <v>0</v>
      </c>
      <c r="AO143" s="17" t="s">
        <v>784</v>
      </c>
      <c r="AP143" s="17" t="s">
        <v>805</v>
      </c>
      <c r="AQ143" s="11" t="s">
        <v>809</v>
      </c>
    </row>
    <row r="144" spans="1:13" ht="12.75">
      <c r="A144" s="77"/>
      <c r="B144" s="77"/>
      <c r="C144" s="77"/>
      <c r="D144" s="78" t="s">
        <v>520</v>
      </c>
      <c r="E144" s="77"/>
      <c r="F144" s="79">
        <v>1.5</v>
      </c>
      <c r="G144" s="77"/>
      <c r="H144" s="77"/>
      <c r="I144" s="77"/>
      <c r="J144" s="77"/>
      <c r="K144" s="77"/>
      <c r="L144" s="77"/>
      <c r="M144" s="77"/>
    </row>
    <row r="145" spans="1:43" ht="12.75">
      <c r="A145" s="74" t="s">
        <v>64</v>
      </c>
      <c r="B145" s="74" t="s">
        <v>207</v>
      </c>
      <c r="C145" s="74" t="s">
        <v>270</v>
      </c>
      <c r="D145" s="74" t="s">
        <v>529</v>
      </c>
      <c r="E145" s="74" t="s">
        <v>729</v>
      </c>
      <c r="F145" s="75">
        <v>10</v>
      </c>
      <c r="G145" s="75"/>
      <c r="H145" s="75">
        <f>F145*AE145</f>
        <v>0</v>
      </c>
      <c r="I145" s="75">
        <f>J145-H145</f>
        <v>0</v>
      </c>
      <c r="J145" s="75">
        <f>F145*G145</f>
        <v>0</v>
      </c>
      <c r="K145" s="75">
        <v>0.00024</v>
      </c>
      <c r="L145" s="75">
        <f>F145*K145</f>
        <v>0.0024000000000000002</v>
      </c>
      <c r="M145" s="76" t="s">
        <v>758</v>
      </c>
      <c r="N145" s="12" t="s">
        <v>7</v>
      </c>
      <c r="O145" s="6">
        <f>IF(N145="5",I145,0)</f>
        <v>0</v>
      </c>
      <c r="Z145" s="6">
        <f>IF(AD145=0,J145,0)</f>
        <v>0</v>
      </c>
      <c r="AA145" s="6">
        <f>IF(AD145=15,J145,0)</f>
        <v>0</v>
      </c>
      <c r="AB145" s="6">
        <f>IF(AD145=21,J145,0)</f>
        <v>0</v>
      </c>
      <c r="AD145" s="16">
        <v>21</v>
      </c>
      <c r="AE145" s="16">
        <f>G145*0.606838709677419</f>
        <v>0</v>
      </c>
      <c r="AF145" s="16">
        <f>G145*(1-0.606838709677419)</f>
        <v>0</v>
      </c>
      <c r="AM145" s="16">
        <f>F145*AE145</f>
        <v>0</v>
      </c>
      <c r="AN145" s="16">
        <f>F145*AF145</f>
        <v>0</v>
      </c>
      <c r="AO145" s="17" t="s">
        <v>784</v>
      </c>
      <c r="AP145" s="17" t="s">
        <v>805</v>
      </c>
      <c r="AQ145" s="11" t="s">
        <v>809</v>
      </c>
    </row>
    <row r="146" spans="1:13" ht="12.75">
      <c r="A146" s="77"/>
      <c r="B146" s="77"/>
      <c r="C146" s="77"/>
      <c r="D146" s="78" t="s">
        <v>16</v>
      </c>
      <c r="E146" s="77"/>
      <c r="F146" s="79">
        <v>10</v>
      </c>
      <c r="G146" s="77"/>
      <c r="H146" s="77"/>
      <c r="I146" s="77"/>
      <c r="J146" s="77"/>
      <c r="K146" s="77"/>
      <c r="L146" s="77"/>
      <c r="M146" s="77"/>
    </row>
    <row r="147" spans="1:43" ht="12.75">
      <c r="A147" s="74" t="s">
        <v>65</v>
      </c>
      <c r="B147" s="74" t="s">
        <v>207</v>
      </c>
      <c r="C147" s="74" t="s">
        <v>271</v>
      </c>
      <c r="D147" s="74" t="s">
        <v>530</v>
      </c>
      <c r="E147" s="74" t="s">
        <v>733</v>
      </c>
      <c r="F147" s="75">
        <v>1</v>
      </c>
      <c r="G147" s="75"/>
      <c r="H147" s="75">
        <f>F147*AE147</f>
        <v>0</v>
      </c>
      <c r="I147" s="75">
        <f>J147-H147</f>
        <v>0</v>
      </c>
      <c r="J147" s="75">
        <f>F147*G147</f>
        <v>0</v>
      </c>
      <c r="K147" s="75">
        <v>0.03</v>
      </c>
      <c r="L147" s="75">
        <f>F147*K147</f>
        <v>0.03</v>
      </c>
      <c r="M147" s="76" t="s">
        <v>758</v>
      </c>
      <c r="N147" s="12" t="s">
        <v>7</v>
      </c>
      <c r="O147" s="6">
        <f>IF(N147="5",I147,0)</f>
        <v>0</v>
      </c>
      <c r="Z147" s="6">
        <f>IF(AD147=0,J147,0)</f>
        <v>0</v>
      </c>
      <c r="AA147" s="6">
        <f>IF(AD147=15,J147,0)</f>
        <v>0</v>
      </c>
      <c r="AB147" s="6">
        <f>IF(AD147=21,J147,0)</f>
        <v>0</v>
      </c>
      <c r="AD147" s="16">
        <v>21</v>
      </c>
      <c r="AE147" s="16">
        <f>G147*0.936104446012703</f>
        <v>0</v>
      </c>
      <c r="AF147" s="16">
        <f>G147*(1-0.936104446012703)</f>
        <v>0</v>
      </c>
      <c r="AM147" s="16">
        <f>F147*AE147</f>
        <v>0</v>
      </c>
      <c r="AN147" s="16">
        <f>F147*AF147</f>
        <v>0</v>
      </c>
      <c r="AO147" s="17" t="s">
        <v>784</v>
      </c>
      <c r="AP147" s="17" t="s">
        <v>805</v>
      </c>
      <c r="AQ147" s="11" t="s">
        <v>809</v>
      </c>
    </row>
    <row r="148" spans="1:13" ht="12.75">
      <c r="A148" s="77"/>
      <c r="B148" s="77"/>
      <c r="C148" s="77"/>
      <c r="D148" s="78" t="s">
        <v>7</v>
      </c>
      <c r="E148" s="77"/>
      <c r="F148" s="79">
        <v>1</v>
      </c>
      <c r="G148" s="77"/>
      <c r="H148" s="77"/>
      <c r="I148" s="77"/>
      <c r="J148" s="77"/>
      <c r="K148" s="77"/>
      <c r="L148" s="77"/>
      <c r="M148" s="77"/>
    </row>
    <row r="149" spans="1:43" ht="12.75">
      <c r="A149" s="74" t="s">
        <v>66</v>
      </c>
      <c r="B149" s="74" t="s">
        <v>207</v>
      </c>
      <c r="C149" s="74" t="s">
        <v>272</v>
      </c>
      <c r="D149" s="74" t="s">
        <v>531</v>
      </c>
      <c r="E149" s="74" t="s">
        <v>734</v>
      </c>
      <c r="F149" s="75">
        <v>25</v>
      </c>
      <c r="G149" s="75"/>
      <c r="H149" s="75">
        <f>F149*AE149</f>
        <v>0</v>
      </c>
      <c r="I149" s="75">
        <f>J149-H149</f>
        <v>0</v>
      </c>
      <c r="J149" s="75">
        <f>F149*G149</f>
        <v>0</v>
      </c>
      <c r="K149" s="75">
        <v>0.00105</v>
      </c>
      <c r="L149" s="75">
        <f>F149*K149</f>
        <v>0.02625</v>
      </c>
      <c r="M149" s="76" t="s">
        <v>758</v>
      </c>
      <c r="N149" s="12" t="s">
        <v>9</v>
      </c>
      <c r="O149" s="6">
        <f>IF(N149="5",I149,0)</f>
        <v>0</v>
      </c>
      <c r="Z149" s="6">
        <f>IF(AD149=0,J149,0)</f>
        <v>0</v>
      </c>
      <c r="AA149" s="6">
        <f>IF(AD149=15,J149,0)</f>
        <v>0</v>
      </c>
      <c r="AB149" s="6">
        <f>IF(AD149=21,J149,0)</f>
        <v>0</v>
      </c>
      <c r="AD149" s="16">
        <v>21</v>
      </c>
      <c r="AE149" s="16">
        <f>G149*0.558530255429586</f>
        <v>0</v>
      </c>
      <c r="AF149" s="16">
        <f>G149*(1-0.558530255429586)</f>
        <v>0</v>
      </c>
      <c r="AM149" s="16">
        <f>F149*AE149</f>
        <v>0</v>
      </c>
      <c r="AN149" s="16">
        <f>F149*AF149</f>
        <v>0</v>
      </c>
      <c r="AO149" s="17" t="s">
        <v>784</v>
      </c>
      <c r="AP149" s="17" t="s">
        <v>805</v>
      </c>
      <c r="AQ149" s="11" t="s">
        <v>809</v>
      </c>
    </row>
    <row r="150" spans="1:13" ht="12.75">
      <c r="A150" s="77"/>
      <c r="B150" s="77"/>
      <c r="C150" s="77"/>
      <c r="D150" s="78" t="s">
        <v>532</v>
      </c>
      <c r="E150" s="77"/>
      <c r="F150" s="79">
        <v>25</v>
      </c>
      <c r="G150" s="77"/>
      <c r="H150" s="77"/>
      <c r="I150" s="77"/>
      <c r="J150" s="77"/>
      <c r="K150" s="77"/>
      <c r="L150" s="77"/>
      <c r="M150" s="77"/>
    </row>
    <row r="151" spans="1:43" ht="12.75">
      <c r="A151" s="74" t="s">
        <v>67</v>
      </c>
      <c r="B151" s="74" t="s">
        <v>207</v>
      </c>
      <c r="C151" s="74" t="s">
        <v>273</v>
      </c>
      <c r="D151" s="74" t="s">
        <v>533</v>
      </c>
      <c r="E151" s="74" t="s">
        <v>729</v>
      </c>
      <c r="F151" s="75">
        <v>10</v>
      </c>
      <c r="G151" s="75"/>
      <c r="H151" s="75">
        <f>F151*AE151</f>
        <v>0</v>
      </c>
      <c r="I151" s="75">
        <f>J151-H151</f>
        <v>0</v>
      </c>
      <c r="J151" s="75">
        <f>F151*G151</f>
        <v>0</v>
      </c>
      <c r="K151" s="75">
        <v>0.00034</v>
      </c>
      <c r="L151" s="75">
        <f>F151*K151</f>
        <v>0.0034000000000000002</v>
      </c>
      <c r="M151" s="76" t="s">
        <v>758</v>
      </c>
      <c r="N151" s="12" t="s">
        <v>7</v>
      </c>
      <c r="O151" s="6">
        <f>IF(N151="5",I151,0)</f>
        <v>0</v>
      </c>
      <c r="Z151" s="6">
        <f>IF(AD151=0,J151,0)</f>
        <v>0</v>
      </c>
      <c r="AA151" s="6">
        <f>IF(AD151=15,J151,0)</f>
        <v>0</v>
      </c>
      <c r="AB151" s="6">
        <f>IF(AD151=21,J151,0)</f>
        <v>0</v>
      </c>
      <c r="AD151" s="16">
        <v>21</v>
      </c>
      <c r="AE151" s="16">
        <f>G151*0.23125</f>
        <v>0</v>
      </c>
      <c r="AF151" s="16">
        <f>G151*(1-0.23125)</f>
        <v>0</v>
      </c>
      <c r="AM151" s="16">
        <f>F151*AE151</f>
        <v>0</v>
      </c>
      <c r="AN151" s="16">
        <f>F151*AF151</f>
        <v>0</v>
      </c>
      <c r="AO151" s="17" t="s">
        <v>784</v>
      </c>
      <c r="AP151" s="17" t="s">
        <v>805</v>
      </c>
      <c r="AQ151" s="11" t="s">
        <v>809</v>
      </c>
    </row>
    <row r="152" spans="1:13" ht="12.75">
      <c r="A152" s="77"/>
      <c r="B152" s="77"/>
      <c r="C152" s="77"/>
      <c r="D152" s="78" t="s">
        <v>16</v>
      </c>
      <c r="E152" s="77"/>
      <c r="F152" s="79">
        <v>10</v>
      </c>
      <c r="G152" s="77"/>
      <c r="H152" s="77"/>
      <c r="I152" s="77"/>
      <c r="J152" s="77"/>
      <c r="K152" s="77"/>
      <c r="L152" s="77"/>
      <c r="M152" s="77"/>
    </row>
    <row r="153" spans="1:43" ht="12.75">
      <c r="A153" s="74" t="s">
        <v>68</v>
      </c>
      <c r="B153" s="74" t="s">
        <v>207</v>
      </c>
      <c r="C153" s="74" t="s">
        <v>274</v>
      </c>
      <c r="D153" s="74" t="s">
        <v>534</v>
      </c>
      <c r="E153" s="74" t="s">
        <v>729</v>
      </c>
      <c r="F153" s="75">
        <v>1.5</v>
      </c>
      <c r="G153" s="75"/>
      <c r="H153" s="75">
        <f>F153*AE153</f>
        <v>0</v>
      </c>
      <c r="I153" s="75">
        <f>J153-H153</f>
        <v>0</v>
      </c>
      <c r="J153" s="75">
        <f>F153*G153</f>
        <v>0</v>
      </c>
      <c r="K153" s="75">
        <v>0.00018</v>
      </c>
      <c r="L153" s="75">
        <f>F153*K153</f>
        <v>0.00027</v>
      </c>
      <c r="M153" s="76" t="s">
        <v>758</v>
      </c>
      <c r="N153" s="12" t="s">
        <v>7</v>
      </c>
      <c r="O153" s="6">
        <f>IF(N153="5",I153,0)</f>
        <v>0</v>
      </c>
      <c r="Z153" s="6">
        <f>IF(AD153=0,J153,0)</f>
        <v>0</v>
      </c>
      <c r="AA153" s="6">
        <f>IF(AD153=15,J153,0)</f>
        <v>0</v>
      </c>
      <c r="AB153" s="6">
        <f>IF(AD153=21,J153,0)</f>
        <v>0</v>
      </c>
      <c r="AD153" s="16">
        <v>21</v>
      </c>
      <c r="AE153" s="16">
        <f>G153*0.235834124723014</f>
        <v>0</v>
      </c>
      <c r="AF153" s="16">
        <f>G153*(1-0.235834124723014)</f>
        <v>0</v>
      </c>
      <c r="AM153" s="16">
        <f>F153*AE153</f>
        <v>0</v>
      </c>
      <c r="AN153" s="16">
        <f>F153*AF153</f>
        <v>0</v>
      </c>
      <c r="AO153" s="17" t="s">
        <v>784</v>
      </c>
      <c r="AP153" s="17" t="s">
        <v>805</v>
      </c>
      <c r="AQ153" s="11" t="s">
        <v>809</v>
      </c>
    </row>
    <row r="154" spans="1:13" ht="12.75">
      <c r="A154" s="77"/>
      <c r="B154" s="77"/>
      <c r="C154" s="77"/>
      <c r="D154" s="78" t="s">
        <v>520</v>
      </c>
      <c r="E154" s="77"/>
      <c r="F154" s="79">
        <v>1.5</v>
      </c>
      <c r="G154" s="77"/>
      <c r="H154" s="77"/>
      <c r="I154" s="77"/>
      <c r="J154" s="77"/>
      <c r="K154" s="77"/>
      <c r="L154" s="77"/>
      <c r="M154" s="77"/>
    </row>
    <row r="155" spans="1:43" ht="12.75">
      <c r="A155" s="74" t="s">
        <v>69</v>
      </c>
      <c r="B155" s="74" t="s">
        <v>207</v>
      </c>
      <c r="C155" s="74" t="s">
        <v>275</v>
      </c>
      <c r="D155" s="74" t="s">
        <v>535</v>
      </c>
      <c r="E155" s="74" t="s">
        <v>732</v>
      </c>
      <c r="F155" s="75">
        <v>0.11091</v>
      </c>
      <c r="G155" s="75"/>
      <c r="H155" s="75">
        <f>F155*AE155</f>
        <v>0</v>
      </c>
      <c r="I155" s="75">
        <f>J155-H155</f>
        <v>0</v>
      </c>
      <c r="J155" s="75">
        <f>F155*G155</f>
        <v>0</v>
      </c>
      <c r="K155" s="75">
        <v>0</v>
      </c>
      <c r="L155" s="75">
        <f>F155*K155</f>
        <v>0</v>
      </c>
      <c r="M155" s="76" t="s">
        <v>758</v>
      </c>
      <c r="N155" s="12" t="s">
        <v>11</v>
      </c>
      <c r="O155" s="6">
        <f>IF(N155="5",I155,0)</f>
        <v>0</v>
      </c>
      <c r="Z155" s="6">
        <f>IF(AD155=0,J155,0)</f>
        <v>0</v>
      </c>
      <c r="AA155" s="6">
        <f>IF(AD155=15,J155,0)</f>
        <v>0</v>
      </c>
      <c r="AB155" s="6">
        <f>IF(AD155=21,J155,0)</f>
        <v>0</v>
      </c>
      <c r="AD155" s="16">
        <v>21</v>
      </c>
      <c r="AE155" s="16">
        <f>G155*0</f>
        <v>0</v>
      </c>
      <c r="AF155" s="16">
        <f>G155*(1-0)</f>
        <v>0</v>
      </c>
      <c r="AM155" s="16">
        <f>F155*AE155</f>
        <v>0</v>
      </c>
      <c r="AN155" s="16">
        <f>F155*AF155</f>
        <v>0</v>
      </c>
      <c r="AO155" s="17" t="s">
        <v>784</v>
      </c>
      <c r="AP155" s="17" t="s">
        <v>805</v>
      </c>
      <c r="AQ155" s="11" t="s">
        <v>809</v>
      </c>
    </row>
    <row r="156" spans="1:37" ht="12.75">
      <c r="A156" s="70"/>
      <c r="B156" s="71" t="s">
        <v>207</v>
      </c>
      <c r="C156" s="71" t="s">
        <v>101</v>
      </c>
      <c r="D156" s="225" t="s">
        <v>536</v>
      </c>
      <c r="E156" s="226"/>
      <c r="F156" s="226"/>
      <c r="G156" s="226"/>
      <c r="H156" s="72">
        <f>SUM(H157:H173)</f>
        <v>0</v>
      </c>
      <c r="I156" s="72">
        <f>SUM(I157:I173)</f>
        <v>0</v>
      </c>
      <c r="J156" s="72">
        <f>H156+I156</f>
        <v>0</v>
      </c>
      <c r="K156" s="73"/>
      <c r="L156" s="72">
        <f>SUM(L157:L173)</f>
        <v>6.6591424</v>
      </c>
      <c r="M156" s="73"/>
      <c r="P156" s="18">
        <f>IF(Q156="PR",J156,SUM(O157:O173))</f>
        <v>0</v>
      </c>
      <c r="Q156" s="11" t="s">
        <v>764</v>
      </c>
      <c r="R156" s="18">
        <f>IF(Q156="HS",H156,0)</f>
        <v>0</v>
      </c>
      <c r="S156" s="18">
        <f>IF(Q156="HS",I156-P156,0)</f>
        <v>0</v>
      </c>
      <c r="T156" s="18">
        <f>IF(Q156="PS",H156,0)</f>
        <v>0</v>
      </c>
      <c r="U156" s="18">
        <f>IF(Q156="PS",I156-P156,0)</f>
        <v>0</v>
      </c>
      <c r="V156" s="18">
        <f>IF(Q156="MP",H156,0)</f>
        <v>0</v>
      </c>
      <c r="W156" s="18">
        <f>IF(Q156="MP",I156-P156,0)</f>
        <v>0</v>
      </c>
      <c r="X156" s="18">
        <f>IF(Q156="OM",H156,0)</f>
        <v>0</v>
      </c>
      <c r="Y156" s="11" t="s">
        <v>207</v>
      </c>
      <c r="AI156" s="18">
        <f>SUM(Z157:Z173)</f>
        <v>0</v>
      </c>
      <c r="AJ156" s="18">
        <f>SUM(AA157:AA173)</f>
        <v>0</v>
      </c>
      <c r="AK156" s="18">
        <f>SUM(AB157:AB173)</f>
        <v>0</v>
      </c>
    </row>
    <row r="157" spans="1:43" ht="12.75">
      <c r="A157" s="74" t="s">
        <v>70</v>
      </c>
      <c r="B157" s="74" t="s">
        <v>207</v>
      </c>
      <c r="C157" s="74" t="s">
        <v>276</v>
      </c>
      <c r="D157" s="74" t="s">
        <v>537</v>
      </c>
      <c r="E157" s="74" t="s">
        <v>729</v>
      </c>
      <c r="F157" s="75">
        <v>128</v>
      </c>
      <c r="G157" s="75"/>
      <c r="H157" s="75">
        <f>F157*AE157</f>
        <v>0</v>
      </c>
      <c r="I157" s="75">
        <f>J157-H157</f>
        <v>0</v>
      </c>
      <c r="J157" s="75">
        <f>F157*G157</f>
        <v>0</v>
      </c>
      <c r="K157" s="75">
        <v>0.05029</v>
      </c>
      <c r="L157" s="75">
        <f>F157*K157</f>
        <v>6.43712</v>
      </c>
      <c r="M157" s="76" t="s">
        <v>758</v>
      </c>
      <c r="N157" s="12" t="s">
        <v>7</v>
      </c>
      <c r="O157" s="6">
        <f>IF(N157="5",I157,0)</f>
        <v>0</v>
      </c>
      <c r="Z157" s="6">
        <f>IF(AD157=0,J157,0)</f>
        <v>0</v>
      </c>
      <c r="AA157" s="6">
        <f>IF(AD157=15,J157,0)</f>
        <v>0</v>
      </c>
      <c r="AB157" s="6">
        <f>IF(AD157=21,J157,0)</f>
        <v>0</v>
      </c>
      <c r="AD157" s="16">
        <v>21</v>
      </c>
      <c r="AE157" s="16">
        <f>G157*0.486610944216241</f>
        <v>0</v>
      </c>
      <c r="AF157" s="16">
        <f>G157*(1-0.486610944216241)</f>
        <v>0</v>
      </c>
      <c r="AM157" s="16">
        <f>F157*AE157</f>
        <v>0</v>
      </c>
      <c r="AN157" s="16">
        <f>F157*AF157</f>
        <v>0</v>
      </c>
      <c r="AO157" s="17" t="s">
        <v>785</v>
      </c>
      <c r="AP157" s="17" t="s">
        <v>802</v>
      </c>
      <c r="AQ157" s="11" t="s">
        <v>809</v>
      </c>
    </row>
    <row r="158" spans="1:13" ht="12.75">
      <c r="A158" s="77"/>
      <c r="B158" s="77"/>
      <c r="C158" s="77"/>
      <c r="D158" s="78" t="s">
        <v>134</v>
      </c>
      <c r="E158" s="77"/>
      <c r="F158" s="79">
        <v>128</v>
      </c>
      <c r="G158" s="77"/>
      <c r="H158" s="77"/>
      <c r="I158" s="77"/>
      <c r="J158" s="77"/>
      <c r="K158" s="77"/>
      <c r="L158" s="77"/>
      <c r="M158" s="77"/>
    </row>
    <row r="159" spans="1:43" ht="12.75">
      <c r="A159" s="74" t="s">
        <v>71</v>
      </c>
      <c r="B159" s="74" t="s">
        <v>207</v>
      </c>
      <c r="C159" s="74" t="s">
        <v>277</v>
      </c>
      <c r="D159" s="74" t="s">
        <v>538</v>
      </c>
      <c r="E159" s="74" t="s">
        <v>733</v>
      </c>
      <c r="F159" s="75">
        <v>24</v>
      </c>
      <c r="G159" s="75"/>
      <c r="H159" s="75">
        <f>F159*AE159</f>
        <v>0</v>
      </c>
      <c r="I159" s="75">
        <f>J159-H159</f>
        <v>0</v>
      </c>
      <c r="J159" s="75">
        <f>F159*G159</f>
        <v>0</v>
      </c>
      <c r="K159" s="75">
        <v>0.00468</v>
      </c>
      <c r="L159" s="75">
        <f>F159*K159</f>
        <v>0.11232</v>
      </c>
      <c r="M159" s="76" t="s">
        <v>758</v>
      </c>
      <c r="N159" s="12" t="s">
        <v>7</v>
      </c>
      <c r="O159" s="6">
        <f>IF(N159="5",I159,0)</f>
        <v>0</v>
      </c>
      <c r="Z159" s="6">
        <f>IF(AD159=0,J159,0)</f>
        <v>0</v>
      </c>
      <c r="AA159" s="6">
        <f>IF(AD159=15,J159,0)</f>
        <v>0</v>
      </c>
      <c r="AB159" s="6">
        <f>IF(AD159=21,J159,0)</f>
        <v>0</v>
      </c>
      <c r="AD159" s="16">
        <v>21</v>
      </c>
      <c r="AE159" s="16">
        <f>G159*0.066036607249671</f>
        <v>0</v>
      </c>
      <c r="AF159" s="16">
        <f>G159*(1-0.066036607249671)</f>
        <v>0</v>
      </c>
      <c r="AM159" s="16">
        <f>F159*AE159</f>
        <v>0</v>
      </c>
      <c r="AN159" s="16">
        <f>F159*AF159</f>
        <v>0</v>
      </c>
      <c r="AO159" s="17" t="s">
        <v>785</v>
      </c>
      <c r="AP159" s="17" t="s">
        <v>802</v>
      </c>
      <c r="AQ159" s="11" t="s">
        <v>809</v>
      </c>
    </row>
    <row r="160" spans="1:13" ht="12.75">
      <c r="A160" s="77"/>
      <c r="B160" s="77"/>
      <c r="C160" s="77"/>
      <c r="D160" s="78" t="s">
        <v>539</v>
      </c>
      <c r="E160" s="77"/>
      <c r="F160" s="79">
        <v>24</v>
      </c>
      <c r="G160" s="77"/>
      <c r="H160" s="77"/>
      <c r="I160" s="77"/>
      <c r="J160" s="77"/>
      <c r="K160" s="77"/>
      <c r="L160" s="77"/>
      <c r="M160" s="77"/>
    </row>
    <row r="161" spans="1:43" ht="12.75">
      <c r="A161" s="74" t="s">
        <v>72</v>
      </c>
      <c r="B161" s="74" t="s">
        <v>207</v>
      </c>
      <c r="C161" s="74" t="s">
        <v>278</v>
      </c>
      <c r="D161" s="74" t="s">
        <v>540</v>
      </c>
      <c r="E161" s="74" t="s">
        <v>730</v>
      </c>
      <c r="F161" s="75">
        <v>0.8</v>
      </c>
      <c r="G161" s="75"/>
      <c r="H161" s="75">
        <f>F161*AE161</f>
        <v>0</v>
      </c>
      <c r="I161" s="75">
        <f>J161-H161</f>
        <v>0</v>
      </c>
      <c r="J161" s="75">
        <f>F161*G161</f>
        <v>0</v>
      </c>
      <c r="K161" s="75">
        <v>0</v>
      </c>
      <c r="L161" s="75">
        <f>F161*K161</f>
        <v>0</v>
      </c>
      <c r="M161" s="76" t="s">
        <v>758</v>
      </c>
      <c r="N161" s="12" t="s">
        <v>8</v>
      </c>
      <c r="O161" s="6">
        <f>IF(N161="5",I161,0)</f>
        <v>0</v>
      </c>
      <c r="Z161" s="6">
        <f>IF(AD161=0,J161,0)</f>
        <v>0</v>
      </c>
      <c r="AA161" s="6">
        <f>IF(AD161=15,J161,0)</f>
        <v>0</v>
      </c>
      <c r="AB161" s="6">
        <f>IF(AD161=21,J161,0)</f>
        <v>0</v>
      </c>
      <c r="AD161" s="16">
        <v>21</v>
      </c>
      <c r="AE161" s="16">
        <f>G161*0</f>
        <v>0</v>
      </c>
      <c r="AF161" s="16">
        <f>G161*(1-0)</f>
        <v>0</v>
      </c>
      <c r="AM161" s="16">
        <f>F161*AE161</f>
        <v>0</v>
      </c>
      <c r="AN161" s="16">
        <f>F161*AF161</f>
        <v>0</v>
      </c>
      <c r="AO161" s="17" t="s">
        <v>785</v>
      </c>
      <c r="AP161" s="17" t="s">
        <v>802</v>
      </c>
      <c r="AQ161" s="11" t="s">
        <v>809</v>
      </c>
    </row>
    <row r="162" spans="1:13" ht="12.75">
      <c r="A162" s="77"/>
      <c r="B162" s="77"/>
      <c r="C162" s="77"/>
      <c r="D162" s="78" t="s">
        <v>541</v>
      </c>
      <c r="E162" s="77"/>
      <c r="F162" s="79">
        <v>0.8</v>
      </c>
      <c r="G162" s="77"/>
      <c r="H162" s="77"/>
      <c r="I162" s="77"/>
      <c r="J162" s="77"/>
      <c r="K162" s="77"/>
      <c r="L162" s="77"/>
      <c r="M162" s="77"/>
    </row>
    <row r="163" spans="1:43" ht="12.75">
      <c r="A163" s="84" t="s">
        <v>73</v>
      </c>
      <c r="B163" s="84" t="s">
        <v>207</v>
      </c>
      <c r="C163" s="84" t="s">
        <v>279</v>
      </c>
      <c r="D163" s="84" t="s">
        <v>542</v>
      </c>
      <c r="E163" s="84" t="s">
        <v>732</v>
      </c>
      <c r="F163" s="85">
        <v>0.02</v>
      </c>
      <c r="G163" s="85"/>
      <c r="H163" s="85">
        <f>F163*AE163</f>
        <v>0</v>
      </c>
      <c r="I163" s="85">
        <f>J163-H163</f>
        <v>0</v>
      </c>
      <c r="J163" s="85">
        <f>F163*G163</f>
        <v>0</v>
      </c>
      <c r="K163" s="85">
        <v>1</v>
      </c>
      <c r="L163" s="85">
        <f>F163*K163</f>
        <v>0.02</v>
      </c>
      <c r="M163" s="86" t="s">
        <v>758</v>
      </c>
      <c r="N163" s="13" t="s">
        <v>761</v>
      </c>
      <c r="O163" s="7">
        <f>IF(N163="5",I163,0)</f>
        <v>0</v>
      </c>
      <c r="Z163" s="7">
        <f>IF(AD163=0,J163,0)</f>
        <v>0</v>
      </c>
      <c r="AA163" s="7">
        <f>IF(AD163=15,J163,0)</f>
        <v>0</v>
      </c>
      <c r="AB163" s="7">
        <f>IF(AD163=21,J163,0)</f>
        <v>0</v>
      </c>
      <c r="AD163" s="16">
        <v>21</v>
      </c>
      <c r="AE163" s="16">
        <f>G163*1</f>
        <v>0</v>
      </c>
      <c r="AF163" s="16">
        <f>G163*(1-1)</f>
        <v>0</v>
      </c>
      <c r="AM163" s="16">
        <f>F163*AE163</f>
        <v>0</v>
      </c>
      <c r="AN163" s="16">
        <f>F163*AF163</f>
        <v>0</v>
      </c>
      <c r="AO163" s="17" t="s">
        <v>785</v>
      </c>
      <c r="AP163" s="17" t="s">
        <v>802</v>
      </c>
      <c r="AQ163" s="11" t="s">
        <v>809</v>
      </c>
    </row>
    <row r="164" spans="1:13" ht="12.75">
      <c r="A164" s="77"/>
      <c r="B164" s="77"/>
      <c r="C164" s="77"/>
      <c r="D164" s="78" t="s">
        <v>543</v>
      </c>
      <c r="E164" s="77"/>
      <c r="F164" s="79">
        <v>0.02</v>
      </c>
      <c r="G164" s="77"/>
      <c r="H164" s="77"/>
      <c r="I164" s="77"/>
      <c r="J164" s="77"/>
      <c r="K164" s="77"/>
      <c r="L164" s="77"/>
      <c r="M164" s="77"/>
    </row>
    <row r="165" spans="1:43" ht="12.75">
      <c r="A165" s="74" t="s">
        <v>74</v>
      </c>
      <c r="B165" s="74" t="s">
        <v>207</v>
      </c>
      <c r="C165" s="74" t="s">
        <v>280</v>
      </c>
      <c r="D165" s="74" t="s">
        <v>544</v>
      </c>
      <c r="E165" s="74" t="s">
        <v>733</v>
      </c>
      <c r="F165" s="75">
        <v>5</v>
      </c>
      <c r="G165" s="75"/>
      <c r="H165" s="75">
        <f>F165*AE165</f>
        <v>0</v>
      </c>
      <c r="I165" s="75">
        <f>J165-H165</f>
        <v>0</v>
      </c>
      <c r="J165" s="75">
        <f>F165*G165</f>
        <v>0</v>
      </c>
      <c r="K165" s="75">
        <v>0.01</v>
      </c>
      <c r="L165" s="75">
        <f>F165*K165</f>
        <v>0.05</v>
      </c>
      <c r="M165" s="76" t="s">
        <v>758</v>
      </c>
      <c r="N165" s="12" t="s">
        <v>7</v>
      </c>
      <c r="O165" s="6">
        <f>IF(N165="5",I165,0)</f>
        <v>0</v>
      </c>
      <c r="Z165" s="6">
        <f>IF(AD165=0,J165,0)</f>
        <v>0</v>
      </c>
      <c r="AA165" s="6">
        <f>IF(AD165=15,J165,0)</f>
        <v>0</v>
      </c>
      <c r="AB165" s="6">
        <f>IF(AD165=21,J165,0)</f>
        <v>0</v>
      </c>
      <c r="AD165" s="16">
        <v>21</v>
      </c>
      <c r="AE165" s="16">
        <f>G165*0.90330507975749</f>
        <v>0</v>
      </c>
      <c r="AF165" s="16">
        <f>G165*(1-0.90330507975749)</f>
        <v>0</v>
      </c>
      <c r="AM165" s="16">
        <f>F165*AE165</f>
        <v>0</v>
      </c>
      <c r="AN165" s="16">
        <f>F165*AF165</f>
        <v>0</v>
      </c>
      <c r="AO165" s="17" t="s">
        <v>785</v>
      </c>
      <c r="AP165" s="17" t="s">
        <v>802</v>
      </c>
      <c r="AQ165" s="11" t="s">
        <v>809</v>
      </c>
    </row>
    <row r="166" spans="1:13" ht="12.75">
      <c r="A166" s="77"/>
      <c r="B166" s="77"/>
      <c r="C166" s="77"/>
      <c r="D166" s="78" t="s">
        <v>11</v>
      </c>
      <c r="E166" s="77"/>
      <c r="F166" s="79">
        <v>5</v>
      </c>
      <c r="G166" s="77"/>
      <c r="H166" s="77"/>
      <c r="I166" s="77"/>
      <c r="J166" s="77"/>
      <c r="K166" s="77"/>
      <c r="L166" s="77"/>
      <c r="M166" s="77"/>
    </row>
    <row r="167" spans="1:43" ht="12.75">
      <c r="A167" s="74" t="s">
        <v>75</v>
      </c>
      <c r="B167" s="74" t="s">
        <v>207</v>
      </c>
      <c r="C167" s="74" t="s">
        <v>281</v>
      </c>
      <c r="D167" s="74" t="s">
        <v>545</v>
      </c>
      <c r="E167" s="74" t="s">
        <v>730</v>
      </c>
      <c r="F167" s="75">
        <v>890.06</v>
      </c>
      <c r="G167" s="75"/>
      <c r="H167" s="75">
        <f>F167*AE167</f>
        <v>0</v>
      </c>
      <c r="I167" s="75">
        <f>J167-H167</f>
        <v>0</v>
      </c>
      <c r="J167" s="75">
        <f>F167*G167</f>
        <v>0</v>
      </c>
      <c r="K167" s="75">
        <v>4E-05</v>
      </c>
      <c r="L167" s="75">
        <f>F167*K167</f>
        <v>0.0356024</v>
      </c>
      <c r="M167" s="76" t="s">
        <v>758</v>
      </c>
      <c r="N167" s="12" t="s">
        <v>7</v>
      </c>
      <c r="O167" s="6">
        <f>IF(N167="5",I167,0)</f>
        <v>0</v>
      </c>
      <c r="Z167" s="6">
        <f>IF(AD167=0,J167,0)</f>
        <v>0</v>
      </c>
      <c r="AA167" s="6">
        <f>IF(AD167=15,J167,0)</f>
        <v>0</v>
      </c>
      <c r="AB167" s="6">
        <f>IF(AD167=21,J167,0)</f>
        <v>0</v>
      </c>
      <c r="AD167" s="16">
        <v>21</v>
      </c>
      <c r="AE167" s="16">
        <f>G167*0.021141975308642</f>
        <v>0</v>
      </c>
      <c r="AF167" s="16">
        <f>G167*(1-0.021141975308642)</f>
        <v>0</v>
      </c>
      <c r="AM167" s="16">
        <f>F167*AE167</f>
        <v>0</v>
      </c>
      <c r="AN167" s="16">
        <f>F167*AF167</f>
        <v>0</v>
      </c>
      <c r="AO167" s="17" t="s">
        <v>785</v>
      </c>
      <c r="AP167" s="17" t="s">
        <v>802</v>
      </c>
      <c r="AQ167" s="11" t="s">
        <v>809</v>
      </c>
    </row>
    <row r="168" spans="1:13" ht="12.75">
      <c r="A168" s="77"/>
      <c r="B168" s="77"/>
      <c r="C168" s="77"/>
      <c r="D168" s="78" t="s">
        <v>500</v>
      </c>
      <c r="E168" s="77"/>
      <c r="F168" s="79">
        <v>890.06</v>
      </c>
      <c r="G168" s="77"/>
      <c r="H168" s="77"/>
      <c r="I168" s="77"/>
      <c r="J168" s="77"/>
      <c r="K168" s="77"/>
      <c r="L168" s="77"/>
      <c r="M168" s="77"/>
    </row>
    <row r="169" spans="1:43" ht="12.75">
      <c r="A169" s="74" t="s">
        <v>76</v>
      </c>
      <c r="B169" s="74" t="s">
        <v>207</v>
      </c>
      <c r="C169" s="74" t="s">
        <v>282</v>
      </c>
      <c r="D169" s="74" t="s">
        <v>546</v>
      </c>
      <c r="E169" s="74" t="s">
        <v>733</v>
      </c>
      <c r="F169" s="75">
        <v>10</v>
      </c>
      <c r="G169" s="75"/>
      <c r="H169" s="75">
        <f>F169*AE169</f>
        <v>0</v>
      </c>
      <c r="I169" s="75">
        <f>J169-H169</f>
        <v>0</v>
      </c>
      <c r="J169" s="75">
        <f>F169*G169</f>
        <v>0</v>
      </c>
      <c r="K169" s="75">
        <v>0.00021</v>
      </c>
      <c r="L169" s="75">
        <f>F169*K169</f>
        <v>0.0021000000000000003</v>
      </c>
      <c r="M169" s="76" t="s">
        <v>758</v>
      </c>
      <c r="N169" s="12" t="s">
        <v>7</v>
      </c>
      <c r="O169" s="6">
        <f>IF(N169="5",I169,0)</f>
        <v>0</v>
      </c>
      <c r="Z169" s="6">
        <f>IF(AD169=0,J169,0)</f>
        <v>0</v>
      </c>
      <c r="AA169" s="6">
        <f>IF(AD169=15,J169,0)</f>
        <v>0</v>
      </c>
      <c r="AB169" s="6">
        <f>IF(AD169=21,J169,0)</f>
        <v>0</v>
      </c>
      <c r="AD169" s="16">
        <v>21</v>
      </c>
      <c r="AE169" s="16">
        <f>G169*0.44050139275766</f>
        <v>0</v>
      </c>
      <c r="AF169" s="16">
        <f>G169*(1-0.44050139275766)</f>
        <v>0</v>
      </c>
      <c r="AM169" s="16">
        <f>F169*AE169</f>
        <v>0</v>
      </c>
      <c r="AN169" s="16">
        <f>F169*AF169</f>
        <v>0</v>
      </c>
      <c r="AO169" s="17" t="s">
        <v>785</v>
      </c>
      <c r="AP169" s="17" t="s">
        <v>802</v>
      </c>
      <c r="AQ169" s="11" t="s">
        <v>809</v>
      </c>
    </row>
    <row r="170" spans="1:13" ht="12.75">
      <c r="A170" s="77"/>
      <c r="B170" s="77"/>
      <c r="C170" s="77"/>
      <c r="D170" s="78" t="s">
        <v>16</v>
      </c>
      <c r="E170" s="77"/>
      <c r="F170" s="79">
        <v>10</v>
      </c>
      <c r="G170" s="77"/>
      <c r="H170" s="77"/>
      <c r="I170" s="77"/>
      <c r="J170" s="77"/>
      <c r="K170" s="77"/>
      <c r="L170" s="77"/>
      <c r="M170" s="77"/>
    </row>
    <row r="171" spans="1:43" ht="12.75">
      <c r="A171" s="84" t="s">
        <v>77</v>
      </c>
      <c r="B171" s="84" t="s">
        <v>207</v>
      </c>
      <c r="C171" s="84" t="s">
        <v>283</v>
      </c>
      <c r="D171" s="84" t="s">
        <v>547</v>
      </c>
      <c r="E171" s="84" t="s">
        <v>733</v>
      </c>
      <c r="F171" s="85">
        <v>10</v>
      </c>
      <c r="G171" s="85"/>
      <c r="H171" s="85">
        <f>F171*AE171</f>
        <v>0</v>
      </c>
      <c r="I171" s="85">
        <f>J171-H171</f>
        <v>0</v>
      </c>
      <c r="J171" s="85">
        <f>F171*G171</f>
        <v>0</v>
      </c>
      <c r="K171" s="85">
        <v>0.0002</v>
      </c>
      <c r="L171" s="85">
        <f>F171*K171</f>
        <v>0.002</v>
      </c>
      <c r="M171" s="86" t="s">
        <v>758</v>
      </c>
      <c r="N171" s="13" t="s">
        <v>761</v>
      </c>
      <c r="O171" s="7">
        <f>IF(N171="5",I171,0)</f>
        <v>0</v>
      </c>
      <c r="Z171" s="7">
        <f>IF(AD171=0,J171,0)</f>
        <v>0</v>
      </c>
      <c r="AA171" s="7">
        <f>IF(AD171=15,J171,0)</f>
        <v>0</v>
      </c>
      <c r="AB171" s="7">
        <f>IF(AD171=21,J171,0)</f>
        <v>0</v>
      </c>
      <c r="AD171" s="16">
        <v>21</v>
      </c>
      <c r="AE171" s="16">
        <f>G171*1</f>
        <v>0</v>
      </c>
      <c r="AF171" s="16">
        <f>G171*(1-1)</f>
        <v>0</v>
      </c>
      <c r="AM171" s="16">
        <f>F171*AE171</f>
        <v>0</v>
      </c>
      <c r="AN171" s="16">
        <f>F171*AF171</f>
        <v>0</v>
      </c>
      <c r="AO171" s="17" t="s">
        <v>785</v>
      </c>
      <c r="AP171" s="17" t="s">
        <v>802</v>
      </c>
      <c r="AQ171" s="11" t="s">
        <v>809</v>
      </c>
    </row>
    <row r="172" spans="1:13" ht="12.75">
      <c r="A172" s="77"/>
      <c r="B172" s="77"/>
      <c r="C172" s="77"/>
      <c r="D172" s="78" t="s">
        <v>16</v>
      </c>
      <c r="E172" s="77"/>
      <c r="F172" s="79">
        <v>10</v>
      </c>
      <c r="G172" s="77"/>
      <c r="H172" s="77"/>
      <c r="I172" s="77"/>
      <c r="J172" s="77"/>
      <c r="K172" s="77"/>
      <c r="L172" s="77"/>
      <c r="M172" s="77"/>
    </row>
    <row r="173" spans="1:43" ht="12.75">
      <c r="A173" s="74" t="s">
        <v>78</v>
      </c>
      <c r="B173" s="74" t="s">
        <v>207</v>
      </c>
      <c r="C173" s="74" t="s">
        <v>284</v>
      </c>
      <c r="D173" s="74" t="s">
        <v>548</v>
      </c>
      <c r="E173" s="74" t="s">
        <v>732</v>
      </c>
      <c r="F173" s="75">
        <v>1613.471</v>
      </c>
      <c r="G173" s="75"/>
      <c r="H173" s="75">
        <f>F173*AE173</f>
        <v>0</v>
      </c>
      <c r="I173" s="75">
        <f>J173-H173</f>
        <v>0</v>
      </c>
      <c r="J173" s="75">
        <f>F173*G173</f>
        <v>0</v>
      </c>
      <c r="K173" s="75">
        <v>0</v>
      </c>
      <c r="L173" s="75">
        <f>F173*K173</f>
        <v>0</v>
      </c>
      <c r="M173" s="76" t="s">
        <v>758</v>
      </c>
      <c r="N173" s="12" t="s">
        <v>11</v>
      </c>
      <c r="O173" s="6">
        <f>IF(N173="5",I173,0)</f>
        <v>0</v>
      </c>
      <c r="Z173" s="6">
        <f>IF(AD173=0,J173,0)</f>
        <v>0</v>
      </c>
      <c r="AA173" s="6">
        <f>IF(AD173=15,J173,0)</f>
        <v>0</v>
      </c>
      <c r="AB173" s="6">
        <f>IF(AD173=21,J173,0)</f>
        <v>0</v>
      </c>
      <c r="AD173" s="16">
        <v>21</v>
      </c>
      <c r="AE173" s="16">
        <f>G173*0</f>
        <v>0</v>
      </c>
      <c r="AF173" s="16">
        <f>G173*(1-0)</f>
        <v>0</v>
      </c>
      <c r="AM173" s="16">
        <f>F173*AE173</f>
        <v>0</v>
      </c>
      <c r="AN173" s="16">
        <f>F173*AF173</f>
        <v>0</v>
      </c>
      <c r="AO173" s="17" t="s">
        <v>785</v>
      </c>
      <c r="AP173" s="17" t="s">
        <v>802</v>
      </c>
      <c r="AQ173" s="11" t="s">
        <v>809</v>
      </c>
    </row>
    <row r="174" spans="1:37" ht="12.75">
      <c r="A174" s="70"/>
      <c r="B174" s="71" t="s">
        <v>207</v>
      </c>
      <c r="C174" s="71" t="s">
        <v>285</v>
      </c>
      <c r="D174" s="225" t="s">
        <v>549</v>
      </c>
      <c r="E174" s="226"/>
      <c r="F174" s="226"/>
      <c r="G174" s="226"/>
      <c r="H174" s="72">
        <f>SUM(H175:H340)</f>
        <v>0</v>
      </c>
      <c r="I174" s="72">
        <f>SUM(I175:I340)</f>
        <v>0</v>
      </c>
      <c r="J174" s="72">
        <f>H174+I174</f>
        <v>0</v>
      </c>
      <c r="K174" s="73"/>
      <c r="L174" s="72">
        <f>SUM(L175:L340)</f>
        <v>2.693113799999999</v>
      </c>
      <c r="M174" s="73"/>
      <c r="P174" s="18">
        <f>IF(Q174="PR",J174,SUM(O175:O340))</f>
        <v>0</v>
      </c>
      <c r="Q174" s="11" t="s">
        <v>766</v>
      </c>
      <c r="R174" s="18">
        <f>IF(Q174="HS",H174,0)</f>
        <v>0</v>
      </c>
      <c r="S174" s="18">
        <f>IF(Q174="HS",I174-P174,0)</f>
        <v>0</v>
      </c>
      <c r="T174" s="18">
        <f>IF(Q174="PS",H174,0)</f>
        <v>0</v>
      </c>
      <c r="U174" s="18">
        <f>IF(Q174="PS",I174-P174,0)</f>
        <v>0</v>
      </c>
      <c r="V174" s="18">
        <f>IF(Q174="MP",H174,0)</f>
        <v>0</v>
      </c>
      <c r="W174" s="18">
        <f>IF(Q174="MP",I174-P174,0)</f>
        <v>0</v>
      </c>
      <c r="X174" s="18">
        <f>IF(Q174="OM",H174,0)</f>
        <v>0</v>
      </c>
      <c r="Y174" s="11" t="s">
        <v>207</v>
      </c>
      <c r="AI174" s="18">
        <f>SUM(Z175:Z340)</f>
        <v>0</v>
      </c>
      <c r="AJ174" s="18">
        <f>SUM(AA175:AA340)</f>
        <v>0</v>
      </c>
      <c r="AK174" s="18">
        <f>SUM(AB175:AB340)</f>
        <v>0</v>
      </c>
    </row>
    <row r="175" spans="1:43" ht="12.75">
      <c r="A175" s="74" t="s">
        <v>79</v>
      </c>
      <c r="B175" s="74" t="s">
        <v>207</v>
      </c>
      <c r="C175" s="74" t="s">
        <v>286</v>
      </c>
      <c r="D175" s="74" t="s">
        <v>550</v>
      </c>
      <c r="E175" s="74" t="s">
        <v>733</v>
      </c>
      <c r="F175" s="75">
        <v>1</v>
      </c>
      <c r="G175" s="75"/>
      <c r="H175" s="75">
        <f>F175*AE175</f>
        <v>0</v>
      </c>
      <c r="I175" s="75">
        <f>J175-H175</f>
        <v>0</v>
      </c>
      <c r="J175" s="75">
        <f>F175*G175</f>
        <v>0</v>
      </c>
      <c r="K175" s="75">
        <v>0</v>
      </c>
      <c r="L175" s="75">
        <f>F175*K175</f>
        <v>0</v>
      </c>
      <c r="M175" s="76" t="s">
        <v>758</v>
      </c>
      <c r="N175" s="12" t="s">
        <v>8</v>
      </c>
      <c r="O175" s="6">
        <f>IF(N175="5",I175,0)</f>
        <v>0</v>
      </c>
      <c r="Z175" s="6">
        <f>IF(AD175=0,J175,0)</f>
        <v>0</v>
      </c>
      <c r="AA175" s="6">
        <f>IF(AD175=15,J175,0)</f>
        <v>0</v>
      </c>
      <c r="AB175" s="6">
        <f>IF(AD175=21,J175,0)</f>
        <v>0</v>
      </c>
      <c r="AD175" s="16">
        <v>21</v>
      </c>
      <c r="AE175" s="16">
        <f>G175*0.997945795507256</f>
        <v>0</v>
      </c>
      <c r="AF175" s="16">
        <f>G175*(1-0.997945795507256)</f>
        <v>0</v>
      </c>
      <c r="AM175" s="16">
        <f>F175*AE175</f>
        <v>0</v>
      </c>
      <c r="AN175" s="16">
        <f>F175*AF175</f>
        <v>0</v>
      </c>
      <c r="AO175" s="17" t="s">
        <v>786</v>
      </c>
      <c r="AP175" s="17" t="s">
        <v>802</v>
      </c>
      <c r="AQ175" s="11" t="s">
        <v>809</v>
      </c>
    </row>
    <row r="176" spans="1:13" ht="12.75">
      <c r="A176" s="77"/>
      <c r="B176" s="77"/>
      <c r="C176" s="77"/>
      <c r="D176" s="78" t="s">
        <v>7</v>
      </c>
      <c r="E176" s="77"/>
      <c r="F176" s="79">
        <v>1</v>
      </c>
      <c r="G176" s="77"/>
      <c r="H176" s="77"/>
      <c r="I176" s="77"/>
      <c r="J176" s="77"/>
      <c r="K176" s="77"/>
      <c r="L176" s="77"/>
      <c r="M176" s="77"/>
    </row>
    <row r="177" spans="1:43" ht="12.75">
      <c r="A177" s="84" t="s">
        <v>80</v>
      </c>
      <c r="B177" s="84" t="s">
        <v>207</v>
      </c>
      <c r="C177" s="84" t="s">
        <v>287</v>
      </c>
      <c r="D177" s="84" t="s">
        <v>551</v>
      </c>
      <c r="E177" s="84" t="s">
        <v>733</v>
      </c>
      <c r="F177" s="85">
        <v>5</v>
      </c>
      <c r="G177" s="85"/>
      <c r="H177" s="85">
        <f>F177*AE177</f>
        <v>0</v>
      </c>
      <c r="I177" s="85">
        <f>J177-H177</f>
        <v>0</v>
      </c>
      <c r="J177" s="85">
        <f>F177*G177</f>
        <v>0</v>
      </c>
      <c r="K177" s="85">
        <v>0.14</v>
      </c>
      <c r="L177" s="85">
        <f>F177*K177</f>
        <v>0.7000000000000001</v>
      </c>
      <c r="M177" s="86" t="s">
        <v>758</v>
      </c>
      <c r="N177" s="13" t="s">
        <v>761</v>
      </c>
      <c r="O177" s="7">
        <f>IF(N177="5",I177,0)</f>
        <v>0</v>
      </c>
      <c r="Z177" s="7">
        <f>IF(AD177=0,J177,0)</f>
        <v>0</v>
      </c>
      <c r="AA177" s="7">
        <f>IF(AD177=15,J177,0)</f>
        <v>0</v>
      </c>
      <c r="AB177" s="7">
        <f>IF(AD177=21,J177,0)</f>
        <v>0</v>
      </c>
      <c r="AD177" s="16">
        <v>21</v>
      </c>
      <c r="AE177" s="16">
        <f>G177*1</f>
        <v>0</v>
      </c>
      <c r="AF177" s="16">
        <f>G177*(1-1)</f>
        <v>0</v>
      </c>
      <c r="AM177" s="16">
        <f>F177*AE177</f>
        <v>0</v>
      </c>
      <c r="AN177" s="16">
        <f>F177*AF177</f>
        <v>0</v>
      </c>
      <c r="AO177" s="17" t="s">
        <v>786</v>
      </c>
      <c r="AP177" s="17" t="s">
        <v>802</v>
      </c>
      <c r="AQ177" s="11" t="s">
        <v>809</v>
      </c>
    </row>
    <row r="178" spans="1:13" ht="12.75">
      <c r="A178" s="77"/>
      <c r="B178" s="77"/>
      <c r="C178" s="77"/>
      <c r="D178" s="78" t="s">
        <v>11</v>
      </c>
      <c r="E178" s="77"/>
      <c r="F178" s="79">
        <v>5</v>
      </c>
      <c r="G178" s="77"/>
      <c r="H178" s="77"/>
      <c r="I178" s="77"/>
      <c r="J178" s="77"/>
      <c r="K178" s="77"/>
      <c r="L178" s="77"/>
      <c r="M178" s="77"/>
    </row>
    <row r="179" spans="1:43" ht="12.75">
      <c r="A179" s="74" t="s">
        <v>81</v>
      </c>
      <c r="B179" s="74" t="s">
        <v>207</v>
      </c>
      <c r="C179" s="74" t="s">
        <v>288</v>
      </c>
      <c r="D179" s="74" t="s">
        <v>552</v>
      </c>
      <c r="E179" s="74" t="s">
        <v>733</v>
      </c>
      <c r="F179" s="75">
        <v>1</v>
      </c>
      <c r="G179" s="75"/>
      <c r="H179" s="75">
        <f>F179*AE179</f>
        <v>0</v>
      </c>
      <c r="I179" s="75">
        <f>J179-H179</f>
        <v>0</v>
      </c>
      <c r="J179" s="75">
        <f>F179*G179</f>
        <v>0</v>
      </c>
      <c r="K179" s="75">
        <v>0</v>
      </c>
      <c r="L179" s="75">
        <f>F179*K179</f>
        <v>0</v>
      </c>
      <c r="M179" s="76" t="s">
        <v>758</v>
      </c>
      <c r="N179" s="12" t="s">
        <v>8</v>
      </c>
      <c r="O179" s="6">
        <f>IF(N179="5",I179,0)</f>
        <v>0</v>
      </c>
      <c r="Z179" s="6">
        <f>IF(AD179=0,J179,0)</f>
        <v>0</v>
      </c>
      <c r="AA179" s="6">
        <f>IF(AD179=15,J179,0)</f>
        <v>0</v>
      </c>
      <c r="AB179" s="6">
        <f>IF(AD179=21,J179,0)</f>
        <v>0</v>
      </c>
      <c r="AD179" s="16">
        <v>21</v>
      </c>
      <c r="AE179" s="16">
        <f>G179*0</f>
        <v>0</v>
      </c>
      <c r="AF179" s="16">
        <f>G179*(1-0)</f>
        <v>0</v>
      </c>
      <c r="AM179" s="16">
        <f>F179*AE179</f>
        <v>0</v>
      </c>
      <c r="AN179" s="16">
        <f>F179*AF179</f>
        <v>0</v>
      </c>
      <c r="AO179" s="17" t="s">
        <v>786</v>
      </c>
      <c r="AP179" s="17" t="s">
        <v>802</v>
      </c>
      <c r="AQ179" s="11" t="s">
        <v>809</v>
      </c>
    </row>
    <row r="180" spans="1:13" ht="12.75">
      <c r="A180" s="77"/>
      <c r="B180" s="77"/>
      <c r="C180" s="77"/>
      <c r="D180" s="78" t="s">
        <v>7</v>
      </c>
      <c r="E180" s="77"/>
      <c r="F180" s="79">
        <v>1</v>
      </c>
      <c r="G180" s="77"/>
      <c r="H180" s="77"/>
      <c r="I180" s="77"/>
      <c r="J180" s="77"/>
      <c r="K180" s="77"/>
      <c r="L180" s="77"/>
      <c r="M180" s="77"/>
    </row>
    <row r="181" spans="1:43" ht="12.75">
      <c r="A181" s="84" t="s">
        <v>82</v>
      </c>
      <c r="B181" s="84" t="s">
        <v>207</v>
      </c>
      <c r="C181" s="84" t="s">
        <v>289</v>
      </c>
      <c r="D181" s="84" t="s">
        <v>553</v>
      </c>
      <c r="E181" s="84" t="s">
        <v>733</v>
      </c>
      <c r="F181" s="85">
        <v>1</v>
      </c>
      <c r="G181" s="85"/>
      <c r="H181" s="85">
        <f>F181*AE181</f>
        <v>0</v>
      </c>
      <c r="I181" s="85">
        <f>J181-H181</f>
        <v>0</v>
      </c>
      <c r="J181" s="85">
        <f>F181*G181</f>
        <v>0</v>
      </c>
      <c r="K181" s="85">
        <v>0</v>
      </c>
      <c r="L181" s="85">
        <f>F181*K181</f>
        <v>0</v>
      </c>
      <c r="M181" s="86" t="s">
        <v>758</v>
      </c>
      <c r="N181" s="13" t="s">
        <v>761</v>
      </c>
      <c r="O181" s="7">
        <f>IF(N181="5",I181,0)</f>
        <v>0</v>
      </c>
      <c r="Z181" s="7">
        <f>IF(AD181=0,J181,0)</f>
        <v>0</v>
      </c>
      <c r="AA181" s="7">
        <f>IF(AD181=15,J181,0)</f>
        <v>0</v>
      </c>
      <c r="AB181" s="7">
        <f>IF(AD181=21,J181,0)</f>
        <v>0</v>
      </c>
      <c r="AD181" s="16">
        <v>21</v>
      </c>
      <c r="AE181" s="16">
        <f>G181*1</f>
        <v>0</v>
      </c>
      <c r="AF181" s="16">
        <f>G181*(1-1)</f>
        <v>0</v>
      </c>
      <c r="AM181" s="16">
        <f>F181*AE181</f>
        <v>0</v>
      </c>
      <c r="AN181" s="16">
        <f>F181*AF181</f>
        <v>0</v>
      </c>
      <c r="AO181" s="17" t="s">
        <v>786</v>
      </c>
      <c r="AP181" s="17" t="s">
        <v>802</v>
      </c>
      <c r="AQ181" s="11" t="s">
        <v>809</v>
      </c>
    </row>
    <row r="182" spans="1:13" ht="12.75">
      <c r="A182" s="77"/>
      <c r="B182" s="77"/>
      <c r="C182" s="77"/>
      <c r="D182" s="78" t="s">
        <v>7</v>
      </c>
      <c r="E182" s="77"/>
      <c r="F182" s="79">
        <v>1</v>
      </c>
      <c r="G182" s="77"/>
      <c r="H182" s="77"/>
      <c r="I182" s="77"/>
      <c r="J182" s="77"/>
      <c r="K182" s="77"/>
      <c r="L182" s="77"/>
      <c r="M182" s="77"/>
    </row>
    <row r="183" spans="1:43" ht="12.75">
      <c r="A183" s="84" t="s">
        <v>83</v>
      </c>
      <c r="B183" s="84" t="s">
        <v>207</v>
      </c>
      <c r="C183" s="84" t="s">
        <v>290</v>
      </c>
      <c r="D183" s="84" t="s">
        <v>554</v>
      </c>
      <c r="E183" s="84" t="s">
        <v>733</v>
      </c>
      <c r="F183" s="85">
        <v>1</v>
      </c>
      <c r="G183" s="85"/>
      <c r="H183" s="85">
        <f>F183*AE183</f>
        <v>0</v>
      </c>
      <c r="I183" s="85">
        <f>J183-H183</f>
        <v>0</v>
      </c>
      <c r="J183" s="85">
        <f>F183*G183</f>
        <v>0</v>
      </c>
      <c r="K183" s="85">
        <v>0</v>
      </c>
      <c r="L183" s="85">
        <f>F183*K183</f>
        <v>0</v>
      </c>
      <c r="M183" s="86" t="s">
        <v>758</v>
      </c>
      <c r="N183" s="13" t="s">
        <v>761</v>
      </c>
      <c r="O183" s="7">
        <f>IF(N183="5",I183,0)</f>
        <v>0</v>
      </c>
      <c r="Z183" s="7">
        <f>IF(AD183=0,J183,0)</f>
        <v>0</v>
      </c>
      <c r="AA183" s="7">
        <f>IF(AD183=15,J183,0)</f>
        <v>0</v>
      </c>
      <c r="AB183" s="7">
        <f>IF(AD183=21,J183,0)</f>
        <v>0</v>
      </c>
      <c r="AD183" s="16">
        <v>21</v>
      </c>
      <c r="AE183" s="16">
        <f>G183*1</f>
        <v>0</v>
      </c>
      <c r="AF183" s="16">
        <f>G183*(1-1)</f>
        <v>0</v>
      </c>
      <c r="AM183" s="16">
        <f>F183*AE183</f>
        <v>0</v>
      </c>
      <c r="AN183" s="16">
        <f>F183*AF183</f>
        <v>0</v>
      </c>
      <c r="AO183" s="17" t="s">
        <v>786</v>
      </c>
      <c r="AP183" s="17" t="s">
        <v>802</v>
      </c>
      <c r="AQ183" s="11" t="s">
        <v>809</v>
      </c>
    </row>
    <row r="184" spans="1:13" ht="12.75">
      <c r="A184" s="77"/>
      <c r="B184" s="77"/>
      <c r="C184" s="77"/>
      <c r="D184" s="78" t="s">
        <v>7</v>
      </c>
      <c r="E184" s="77"/>
      <c r="F184" s="79">
        <v>1</v>
      </c>
      <c r="G184" s="77"/>
      <c r="H184" s="77"/>
      <c r="I184" s="77"/>
      <c r="J184" s="77"/>
      <c r="K184" s="77"/>
      <c r="L184" s="77"/>
      <c r="M184" s="77"/>
    </row>
    <row r="185" spans="1:43" ht="12.75">
      <c r="A185" s="74" t="s">
        <v>84</v>
      </c>
      <c r="B185" s="74" t="s">
        <v>207</v>
      </c>
      <c r="C185" s="74" t="s">
        <v>291</v>
      </c>
      <c r="D185" s="74" t="s">
        <v>555</v>
      </c>
      <c r="E185" s="74" t="s">
        <v>733</v>
      </c>
      <c r="F185" s="75">
        <v>4</v>
      </c>
      <c r="G185" s="75"/>
      <c r="H185" s="75">
        <f>F185*AE185</f>
        <v>0</v>
      </c>
      <c r="I185" s="75">
        <f>J185-H185</f>
        <v>0</v>
      </c>
      <c r="J185" s="75">
        <f>F185*G185</f>
        <v>0</v>
      </c>
      <c r="K185" s="75">
        <v>0</v>
      </c>
      <c r="L185" s="75">
        <f>F185*K185</f>
        <v>0</v>
      </c>
      <c r="M185" s="76" t="s">
        <v>758</v>
      </c>
      <c r="N185" s="12" t="s">
        <v>8</v>
      </c>
      <c r="O185" s="6">
        <f>IF(N185="5",I185,0)</f>
        <v>0</v>
      </c>
      <c r="Z185" s="6">
        <f>IF(AD185=0,J185,0)</f>
        <v>0</v>
      </c>
      <c r="AA185" s="6">
        <f>IF(AD185=15,J185,0)</f>
        <v>0</v>
      </c>
      <c r="AB185" s="6">
        <f>IF(AD185=21,J185,0)</f>
        <v>0</v>
      </c>
      <c r="AD185" s="16">
        <v>21</v>
      </c>
      <c r="AE185" s="16">
        <f>G185*0</f>
        <v>0</v>
      </c>
      <c r="AF185" s="16">
        <f>G185*(1-0)</f>
        <v>0</v>
      </c>
      <c r="AM185" s="16">
        <f>F185*AE185</f>
        <v>0</v>
      </c>
      <c r="AN185" s="16">
        <f>F185*AF185</f>
        <v>0</v>
      </c>
      <c r="AO185" s="17" t="s">
        <v>786</v>
      </c>
      <c r="AP185" s="17" t="s">
        <v>802</v>
      </c>
      <c r="AQ185" s="11" t="s">
        <v>809</v>
      </c>
    </row>
    <row r="186" spans="1:13" ht="12.75">
      <c r="A186" s="77"/>
      <c r="B186" s="77"/>
      <c r="C186" s="77"/>
      <c r="D186" s="78" t="s">
        <v>556</v>
      </c>
      <c r="E186" s="77"/>
      <c r="F186" s="79">
        <v>4</v>
      </c>
      <c r="G186" s="77"/>
      <c r="H186" s="77"/>
      <c r="I186" s="77"/>
      <c r="J186" s="77"/>
      <c r="K186" s="77"/>
      <c r="L186" s="77"/>
      <c r="M186" s="77"/>
    </row>
    <row r="187" spans="1:43" ht="12.75">
      <c r="A187" s="74" t="s">
        <v>85</v>
      </c>
      <c r="B187" s="74" t="s">
        <v>207</v>
      </c>
      <c r="C187" s="74" t="s">
        <v>292</v>
      </c>
      <c r="D187" s="74" t="s">
        <v>557</v>
      </c>
      <c r="E187" s="74" t="s">
        <v>733</v>
      </c>
      <c r="F187" s="75">
        <v>1</v>
      </c>
      <c r="G187" s="75"/>
      <c r="H187" s="75">
        <f>F187*AE187</f>
        <v>0</v>
      </c>
      <c r="I187" s="75">
        <f>J187-H187</f>
        <v>0</v>
      </c>
      <c r="J187" s="75">
        <f>F187*G187</f>
        <v>0</v>
      </c>
      <c r="K187" s="75">
        <v>4E-05</v>
      </c>
      <c r="L187" s="75">
        <f>F187*K187</f>
        <v>4E-05</v>
      </c>
      <c r="M187" s="76" t="s">
        <v>758</v>
      </c>
      <c r="N187" s="12" t="s">
        <v>8</v>
      </c>
      <c r="O187" s="6">
        <f>IF(N187="5",I187,0)</f>
        <v>0</v>
      </c>
      <c r="Z187" s="6">
        <f>IF(AD187=0,J187,0)</f>
        <v>0</v>
      </c>
      <c r="AA187" s="6">
        <f>IF(AD187=15,J187,0)</f>
        <v>0</v>
      </c>
      <c r="AB187" s="6">
        <f>IF(AD187=21,J187,0)</f>
        <v>0</v>
      </c>
      <c r="AD187" s="16">
        <v>21</v>
      </c>
      <c r="AE187" s="16">
        <f>G187*0.743555992141454</f>
        <v>0</v>
      </c>
      <c r="AF187" s="16">
        <f>G187*(1-0.743555992141454)</f>
        <v>0</v>
      </c>
      <c r="AM187" s="16">
        <f>F187*AE187</f>
        <v>0</v>
      </c>
      <c r="AN187" s="16">
        <f>F187*AF187</f>
        <v>0</v>
      </c>
      <c r="AO187" s="17" t="s">
        <v>786</v>
      </c>
      <c r="AP187" s="17" t="s">
        <v>802</v>
      </c>
      <c r="AQ187" s="11" t="s">
        <v>809</v>
      </c>
    </row>
    <row r="188" spans="1:13" ht="12.75">
      <c r="A188" s="77"/>
      <c r="B188" s="77"/>
      <c r="C188" s="77"/>
      <c r="D188" s="78" t="s">
        <v>7</v>
      </c>
      <c r="E188" s="77"/>
      <c r="F188" s="79">
        <v>1</v>
      </c>
      <c r="G188" s="77"/>
      <c r="H188" s="77"/>
      <c r="I188" s="77"/>
      <c r="J188" s="77"/>
      <c r="K188" s="77"/>
      <c r="L188" s="77"/>
      <c r="M188" s="77"/>
    </row>
    <row r="189" spans="1:43" ht="12.75">
      <c r="A189" s="74" t="s">
        <v>86</v>
      </c>
      <c r="B189" s="74" t="s">
        <v>207</v>
      </c>
      <c r="C189" s="74" t="s">
        <v>293</v>
      </c>
      <c r="D189" s="74" t="s">
        <v>558</v>
      </c>
      <c r="E189" s="74" t="s">
        <v>733</v>
      </c>
      <c r="F189" s="75">
        <v>2</v>
      </c>
      <c r="G189" s="75"/>
      <c r="H189" s="75">
        <f>F189*AE189</f>
        <v>0</v>
      </c>
      <c r="I189" s="75">
        <f>J189-H189</f>
        <v>0</v>
      </c>
      <c r="J189" s="75">
        <f>F189*G189</f>
        <v>0</v>
      </c>
      <c r="K189" s="75">
        <v>4E-05</v>
      </c>
      <c r="L189" s="75">
        <f>F189*K189</f>
        <v>8E-05</v>
      </c>
      <c r="M189" s="76" t="s">
        <v>758</v>
      </c>
      <c r="N189" s="12" t="s">
        <v>8</v>
      </c>
      <c r="O189" s="6">
        <f>IF(N189="5",I189,0)</f>
        <v>0</v>
      </c>
      <c r="Z189" s="6">
        <f>IF(AD189=0,J189,0)</f>
        <v>0</v>
      </c>
      <c r="AA189" s="6">
        <f>IF(AD189=15,J189,0)</f>
        <v>0</v>
      </c>
      <c r="AB189" s="6">
        <f>IF(AD189=21,J189,0)</f>
        <v>0</v>
      </c>
      <c r="AD189" s="16">
        <v>21</v>
      </c>
      <c r="AE189" s="16">
        <f>G189*0.72192118226601</f>
        <v>0</v>
      </c>
      <c r="AF189" s="16">
        <f>G189*(1-0.72192118226601)</f>
        <v>0</v>
      </c>
      <c r="AM189" s="16">
        <f>F189*AE189</f>
        <v>0</v>
      </c>
      <c r="AN189" s="16">
        <f>F189*AF189</f>
        <v>0</v>
      </c>
      <c r="AO189" s="17" t="s">
        <v>786</v>
      </c>
      <c r="AP189" s="17" t="s">
        <v>802</v>
      </c>
      <c r="AQ189" s="11" t="s">
        <v>809</v>
      </c>
    </row>
    <row r="190" spans="1:13" ht="12.75">
      <c r="A190" s="77"/>
      <c r="B190" s="77"/>
      <c r="C190" s="77"/>
      <c r="D190" s="78" t="s">
        <v>8</v>
      </c>
      <c r="E190" s="77"/>
      <c r="F190" s="79">
        <v>2</v>
      </c>
      <c r="G190" s="77"/>
      <c r="H190" s="77"/>
      <c r="I190" s="77"/>
      <c r="J190" s="77"/>
      <c r="K190" s="77"/>
      <c r="L190" s="77"/>
      <c r="M190" s="77"/>
    </row>
    <row r="191" spans="1:43" ht="12.75">
      <c r="A191" s="74" t="s">
        <v>87</v>
      </c>
      <c r="B191" s="74" t="s">
        <v>207</v>
      </c>
      <c r="C191" s="74" t="s">
        <v>294</v>
      </c>
      <c r="D191" s="74" t="s">
        <v>559</v>
      </c>
      <c r="E191" s="74" t="s">
        <v>733</v>
      </c>
      <c r="F191" s="75">
        <v>4</v>
      </c>
      <c r="G191" s="75"/>
      <c r="H191" s="75">
        <f>F191*AE191</f>
        <v>0</v>
      </c>
      <c r="I191" s="75">
        <f>J191-H191</f>
        <v>0</v>
      </c>
      <c r="J191" s="75">
        <f>F191*G191</f>
        <v>0</v>
      </c>
      <c r="K191" s="75">
        <v>4E-05</v>
      </c>
      <c r="L191" s="75">
        <f>F191*K191</f>
        <v>0.00016</v>
      </c>
      <c r="M191" s="76" t="s">
        <v>758</v>
      </c>
      <c r="N191" s="12" t="s">
        <v>8</v>
      </c>
      <c r="O191" s="6">
        <f>IF(N191="5",I191,0)</f>
        <v>0</v>
      </c>
      <c r="Z191" s="6">
        <f>IF(AD191=0,J191,0)</f>
        <v>0</v>
      </c>
      <c r="AA191" s="6">
        <f>IF(AD191=15,J191,0)</f>
        <v>0</v>
      </c>
      <c r="AB191" s="6">
        <f>IF(AD191=21,J191,0)</f>
        <v>0</v>
      </c>
      <c r="AD191" s="16">
        <v>21</v>
      </c>
      <c r="AE191" s="16">
        <f>G191*0.743840896817564</f>
        <v>0</v>
      </c>
      <c r="AF191" s="16">
        <f>G191*(1-0.743840896817564)</f>
        <v>0</v>
      </c>
      <c r="AM191" s="16">
        <f>F191*AE191</f>
        <v>0</v>
      </c>
      <c r="AN191" s="16">
        <f>F191*AF191</f>
        <v>0</v>
      </c>
      <c r="AO191" s="17" t="s">
        <v>786</v>
      </c>
      <c r="AP191" s="17" t="s">
        <v>802</v>
      </c>
      <c r="AQ191" s="11" t="s">
        <v>809</v>
      </c>
    </row>
    <row r="192" spans="1:13" ht="12.75">
      <c r="A192" s="77"/>
      <c r="B192" s="77"/>
      <c r="C192" s="77"/>
      <c r="D192" s="78" t="s">
        <v>10</v>
      </c>
      <c r="E192" s="77"/>
      <c r="F192" s="79">
        <v>4</v>
      </c>
      <c r="G192" s="77"/>
      <c r="H192" s="77"/>
      <c r="I192" s="77"/>
      <c r="J192" s="77"/>
      <c r="K192" s="77"/>
      <c r="L192" s="77"/>
      <c r="M192" s="77"/>
    </row>
    <row r="193" spans="1:43" ht="12.75">
      <c r="A193" s="74" t="s">
        <v>88</v>
      </c>
      <c r="B193" s="74" t="s">
        <v>207</v>
      </c>
      <c r="C193" s="74" t="s">
        <v>295</v>
      </c>
      <c r="D193" s="74" t="s">
        <v>560</v>
      </c>
      <c r="E193" s="74" t="s">
        <v>733</v>
      </c>
      <c r="F193" s="75">
        <v>1</v>
      </c>
      <c r="G193" s="75"/>
      <c r="H193" s="75">
        <f>F193*AE193</f>
        <v>0</v>
      </c>
      <c r="I193" s="75">
        <f>J193-H193</f>
        <v>0</v>
      </c>
      <c r="J193" s="75">
        <f>F193*G193</f>
        <v>0</v>
      </c>
      <c r="K193" s="75">
        <v>0.00031</v>
      </c>
      <c r="L193" s="75">
        <f>F193*K193</f>
        <v>0.00031</v>
      </c>
      <c r="M193" s="76" t="s">
        <v>758</v>
      </c>
      <c r="N193" s="12" t="s">
        <v>8</v>
      </c>
      <c r="O193" s="6">
        <f>IF(N193="5",I193,0)</f>
        <v>0</v>
      </c>
      <c r="Z193" s="6">
        <f>IF(AD193=0,J193,0)</f>
        <v>0</v>
      </c>
      <c r="AA193" s="6">
        <f>IF(AD193=15,J193,0)</f>
        <v>0</v>
      </c>
      <c r="AB193" s="6">
        <f>IF(AD193=21,J193,0)</f>
        <v>0</v>
      </c>
      <c r="AD193" s="16">
        <v>21</v>
      </c>
      <c r="AE193" s="16">
        <f>G193*0.779465634277183</f>
        <v>0</v>
      </c>
      <c r="AF193" s="16">
        <f>G193*(1-0.779465634277183)</f>
        <v>0</v>
      </c>
      <c r="AM193" s="16">
        <f>F193*AE193</f>
        <v>0</v>
      </c>
      <c r="AN193" s="16">
        <f>F193*AF193</f>
        <v>0</v>
      </c>
      <c r="AO193" s="17" t="s">
        <v>786</v>
      </c>
      <c r="AP193" s="17" t="s">
        <v>802</v>
      </c>
      <c r="AQ193" s="11" t="s">
        <v>809</v>
      </c>
    </row>
    <row r="194" spans="1:13" ht="12.75">
      <c r="A194" s="77"/>
      <c r="B194" s="77"/>
      <c r="C194" s="77"/>
      <c r="D194" s="78" t="s">
        <v>7</v>
      </c>
      <c r="E194" s="77"/>
      <c r="F194" s="79">
        <v>1</v>
      </c>
      <c r="G194" s="77"/>
      <c r="H194" s="77"/>
      <c r="I194" s="77"/>
      <c r="J194" s="77"/>
      <c r="K194" s="77"/>
      <c r="L194" s="77"/>
      <c r="M194" s="77"/>
    </row>
    <row r="195" spans="1:43" ht="12.75">
      <c r="A195" s="74" t="s">
        <v>89</v>
      </c>
      <c r="B195" s="74" t="s">
        <v>207</v>
      </c>
      <c r="C195" s="74" t="s">
        <v>296</v>
      </c>
      <c r="D195" s="74" t="s">
        <v>561</v>
      </c>
      <c r="E195" s="74" t="s">
        <v>733</v>
      </c>
      <c r="F195" s="75">
        <v>1</v>
      </c>
      <c r="G195" s="75"/>
      <c r="H195" s="75">
        <f>F195*AE195</f>
        <v>0</v>
      </c>
      <c r="I195" s="75">
        <f>J195-H195</f>
        <v>0</v>
      </c>
      <c r="J195" s="75">
        <f>F195*G195</f>
        <v>0</v>
      </c>
      <c r="K195" s="75">
        <v>0</v>
      </c>
      <c r="L195" s="75">
        <f>F195*K195</f>
        <v>0</v>
      </c>
      <c r="M195" s="76" t="s">
        <v>758</v>
      </c>
      <c r="N195" s="12" t="s">
        <v>8</v>
      </c>
      <c r="O195" s="6">
        <f>IF(N195="5",I195,0)</f>
        <v>0</v>
      </c>
      <c r="Z195" s="6">
        <f>IF(AD195=0,J195,0)</f>
        <v>0</v>
      </c>
      <c r="AA195" s="6">
        <f>IF(AD195=15,J195,0)</f>
        <v>0</v>
      </c>
      <c r="AB195" s="6">
        <f>IF(AD195=21,J195,0)</f>
        <v>0</v>
      </c>
      <c r="AD195" s="16">
        <v>21</v>
      </c>
      <c r="AE195" s="16">
        <f>G195*0</f>
        <v>0</v>
      </c>
      <c r="AF195" s="16">
        <f>G195*(1-0)</f>
        <v>0</v>
      </c>
      <c r="AM195" s="16">
        <f>F195*AE195</f>
        <v>0</v>
      </c>
      <c r="AN195" s="16">
        <f>F195*AF195</f>
        <v>0</v>
      </c>
      <c r="AO195" s="17" t="s">
        <v>786</v>
      </c>
      <c r="AP195" s="17" t="s">
        <v>802</v>
      </c>
      <c r="AQ195" s="11" t="s">
        <v>809</v>
      </c>
    </row>
    <row r="196" spans="1:13" ht="12.75">
      <c r="A196" s="77"/>
      <c r="B196" s="77"/>
      <c r="C196" s="77"/>
      <c r="D196" s="78" t="s">
        <v>7</v>
      </c>
      <c r="E196" s="77"/>
      <c r="F196" s="79">
        <v>1</v>
      </c>
      <c r="G196" s="77"/>
      <c r="H196" s="77"/>
      <c r="I196" s="77"/>
      <c r="J196" s="77"/>
      <c r="K196" s="77"/>
      <c r="L196" s="77"/>
      <c r="M196" s="77"/>
    </row>
    <row r="197" spans="1:43" ht="12.75">
      <c r="A197" s="74" t="s">
        <v>90</v>
      </c>
      <c r="B197" s="74" t="s">
        <v>207</v>
      </c>
      <c r="C197" s="74" t="s">
        <v>297</v>
      </c>
      <c r="D197" s="74" t="s">
        <v>562</v>
      </c>
      <c r="E197" s="74" t="s">
        <v>733</v>
      </c>
      <c r="F197" s="75">
        <v>4</v>
      </c>
      <c r="G197" s="75"/>
      <c r="H197" s="75">
        <f>F197*AE197</f>
        <v>0</v>
      </c>
      <c r="I197" s="75">
        <f>J197-H197</f>
        <v>0</v>
      </c>
      <c r="J197" s="75">
        <f>F197*G197</f>
        <v>0</v>
      </c>
      <c r="K197" s="75">
        <v>0</v>
      </c>
      <c r="L197" s="75">
        <f>F197*K197</f>
        <v>0</v>
      </c>
      <c r="M197" s="76" t="s">
        <v>758</v>
      </c>
      <c r="N197" s="12" t="s">
        <v>8</v>
      </c>
      <c r="O197" s="6">
        <f>IF(N197="5",I197,0)</f>
        <v>0</v>
      </c>
      <c r="Z197" s="6">
        <f>IF(AD197=0,J197,0)</f>
        <v>0</v>
      </c>
      <c r="AA197" s="6">
        <f>IF(AD197=15,J197,0)</f>
        <v>0</v>
      </c>
      <c r="AB197" s="6">
        <f>IF(AD197=21,J197,0)</f>
        <v>0</v>
      </c>
      <c r="AD197" s="16">
        <v>21</v>
      </c>
      <c r="AE197" s="16">
        <f>G197*0</f>
        <v>0</v>
      </c>
      <c r="AF197" s="16">
        <f>G197*(1-0)</f>
        <v>0</v>
      </c>
      <c r="AM197" s="16">
        <f>F197*AE197</f>
        <v>0</v>
      </c>
      <c r="AN197" s="16">
        <f>F197*AF197</f>
        <v>0</v>
      </c>
      <c r="AO197" s="17" t="s">
        <v>786</v>
      </c>
      <c r="AP197" s="17" t="s">
        <v>802</v>
      </c>
      <c r="AQ197" s="11" t="s">
        <v>809</v>
      </c>
    </row>
    <row r="198" spans="1:13" ht="12.75">
      <c r="A198" s="77"/>
      <c r="B198" s="77"/>
      <c r="C198" s="77"/>
      <c r="D198" s="78" t="s">
        <v>10</v>
      </c>
      <c r="E198" s="77"/>
      <c r="F198" s="79">
        <v>4</v>
      </c>
      <c r="G198" s="77"/>
      <c r="H198" s="77"/>
      <c r="I198" s="77"/>
      <c r="J198" s="77"/>
      <c r="K198" s="77"/>
      <c r="L198" s="77"/>
      <c r="M198" s="77"/>
    </row>
    <row r="199" spans="1:43" ht="12.75">
      <c r="A199" s="84" t="s">
        <v>91</v>
      </c>
      <c r="B199" s="84" t="s">
        <v>207</v>
      </c>
      <c r="C199" s="84" t="s">
        <v>298</v>
      </c>
      <c r="D199" s="84" t="s">
        <v>563</v>
      </c>
      <c r="E199" s="84" t="s">
        <v>733</v>
      </c>
      <c r="F199" s="85">
        <v>4</v>
      </c>
      <c r="G199" s="85"/>
      <c r="H199" s="85">
        <f>F199*AE199</f>
        <v>0</v>
      </c>
      <c r="I199" s="85">
        <f>J199-H199</f>
        <v>0</v>
      </c>
      <c r="J199" s="85">
        <f>F199*G199</f>
        <v>0</v>
      </c>
      <c r="K199" s="85">
        <v>0.00028</v>
      </c>
      <c r="L199" s="85">
        <f>F199*K199</f>
        <v>0.00112</v>
      </c>
      <c r="M199" s="86" t="s">
        <v>758</v>
      </c>
      <c r="N199" s="13" t="s">
        <v>761</v>
      </c>
      <c r="O199" s="7">
        <f>IF(N199="5",I199,0)</f>
        <v>0</v>
      </c>
      <c r="Z199" s="7">
        <f>IF(AD199=0,J199,0)</f>
        <v>0</v>
      </c>
      <c r="AA199" s="7">
        <f>IF(AD199=15,J199,0)</f>
        <v>0</v>
      </c>
      <c r="AB199" s="7">
        <f>IF(AD199=21,J199,0)</f>
        <v>0</v>
      </c>
      <c r="AD199" s="16">
        <v>21</v>
      </c>
      <c r="AE199" s="16">
        <f>G199*1</f>
        <v>0</v>
      </c>
      <c r="AF199" s="16">
        <f>G199*(1-1)</f>
        <v>0</v>
      </c>
      <c r="AM199" s="16">
        <f>F199*AE199</f>
        <v>0</v>
      </c>
      <c r="AN199" s="16">
        <f>F199*AF199</f>
        <v>0</v>
      </c>
      <c r="AO199" s="17" t="s">
        <v>786</v>
      </c>
      <c r="AP199" s="17" t="s">
        <v>802</v>
      </c>
      <c r="AQ199" s="11" t="s">
        <v>809</v>
      </c>
    </row>
    <row r="200" spans="1:13" ht="12.75">
      <c r="A200" s="77"/>
      <c r="B200" s="77"/>
      <c r="C200" s="77"/>
      <c r="D200" s="78" t="s">
        <v>10</v>
      </c>
      <c r="E200" s="77"/>
      <c r="F200" s="79">
        <v>4</v>
      </c>
      <c r="G200" s="77"/>
      <c r="H200" s="77"/>
      <c r="I200" s="77"/>
      <c r="J200" s="77"/>
      <c r="K200" s="77"/>
      <c r="L200" s="77"/>
      <c r="M200" s="77"/>
    </row>
    <row r="201" spans="1:43" ht="12.75">
      <c r="A201" s="74" t="s">
        <v>92</v>
      </c>
      <c r="B201" s="74" t="s">
        <v>207</v>
      </c>
      <c r="C201" s="74" t="s">
        <v>299</v>
      </c>
      <c r="D201" s="74" t="s">
        <v>564</v>
      </c>
      <c r="E201" s="74" t="s">
        <v>733</v>
      </c>
      <c r="F201" s="75">
        <v>1</v>
      </c>
      <c r="G201" s="75"/>
      <c r="H201" s="75">
        <f>F201*AE201</f>
        <v>0</v>
      </c>
      <c r="I201" s="75">
        <f>J201-H201</f>
        <v>0</v>
      </c>
      <c r="J201" s="75">
        <f>F201*G201</f>
        <v>0</v>
      </c>
      <c r="K201" s="75">
        <v>0</v>
      </c>
      <c r="L201" s="75">
        <f>F201*K201</f>
        <v>0</v>
      </c>
      <c r="M201" s="76" t="s">
        <v>758</v>
      </c>
      <c r="N201" s="12" t="s">
        <v>8</v>
      </c>
      <c r="O201" s="6">
        <f>IF(N201="5",I201,0)</f>
        <v>0</v>
      </c>
      <c r="Z201" s="6">
        <f>IF(AD201=0,J201,0)</f>
        <v>0</v>
      </c>
      <c r="AA201" s="6">
        <f>IF(AD201=15,J201,0)</f>
        <v>0</v>
      </c>
      <c r="AB201" s="6">
        <f>IF(AD201=21,J201,0)</f>
        <v>0</v>
      </c>
      <c r="AD201" s="16">
        <v>21</v>
      </c>
      <c r="AE201" s="16">
        <f>G201*0.747505606292047</f>
        <v>0</v>
      </c>
      <c r="AF201" s="16">
        <f>G201*(1-0.747505606292047)</f>
        <v>0</v>
      </c>
      <c r="AM201" s="16">
        <f>F201*AE201</f>
        <v>0</v>
      </c>
      <c r="AN201" s="16">
        <f>F201*AF201</f>
        <v>0</v>
      </c>
      <c r="AO201" s="17" t="s">
        <v>786</v>
      </c>
      <c r="AP201" s="17" t="s">
        <v>802</v>
      </c>
      <c r="AQ201" s="11" t="s">
        <v>809</v>
      </c>
    </row>
    <row r="202" spans="1:13" ht="12.75">
      <c r="A202" s="77"/>
      <c r="B202" s="77"/>
      <c r="C202" s="77"/>
      <c r="D202" s="78" t="s">
        <v>7</v>
      </c>
      <c r="E202" s="77"/>
      <c r="F202" s="79">
        <v>1</v>
      </c>
      <c r="G202" s="77"/>
      <c r="H202" s="77"/>
      <c r="I202" s="77"/>
      <c r="J202" s="77"/>
      <c r="K202" s="77"/>
      <c r="L202" s="77"/>
      <c r="M202" s="77"/>
    </row>
    <row r="203" spans="1:43" ht="12.75">
      <c r="A203" s="74" t="s">
        <v>93</v>
      </c>
      <c r="B203" s="74" t="s">
        <v>207</v>
      </c>
      <c r="C203" s="74" t="s">
        <v>300</v>
      </c>
      <c r="D203" s="74" t="s">
        <v>565</v>
      </c>
      <c r="E203" s="74" t="s">
        <v>733</v>
      </c>
      <c r="F203" s="75">
        <v>38</v>
      </c>
      <c r="G203" s="75"/>
      <c r="H203" s="75">
        <f>F203*AE203</f>
        <v>0</v>
      </c>
      <c r="I203" s="75">
        <f>J203-H203</f>
        <v>0</v>
      </c>
      <c r="J203" s="75">
        <f>F203*G203</f>
        <v>0</v>
      </c>
      <c r="K203" s="75">
        <v>0</v>
      </c>
      <c r="L203" s="75">
        <f>F203*K203</f>
        <v>0</v>
      </c>
      <c r="M203" s="76" t="s">
        <v>758</v>
      </c>
      <c r="N203" s="12" t="s">
        <v>8</v>
      </c>
      <c r="O203" s="6">
        <f>IF(N203="5",I203,0)</f>
        <v>0</v>
      </c>
      <c r="Z203" s="6">
        <f>IF(AD203=0,J203,0)</f>
        <v>0</v>
      </c>
      <c r="AA203" s="6">
        <f>IF(AD203=15,J203,0)</f>
        <v>0</v>
      </c>
      <c r="AB203" s="6">
        <f>IF(AD203=21,J203,0)</f>
        <v>0</v>
      </c>
      <c r="AD203" s="16">
        <v>21</v>
      </c>
      <c r="AE203" s="16">
        <f>G203*0.321601249286765</f>
        <v>0</v>
      </c>
      <c r="AF203" s="16">
        <f>G203*(1-0.321601249286765)</f>
        <v>0</v>
      </c>
      <c r="AM203" s="16">
        <f>F203*AE203</f>
        <v>0</v>
      </c>
      <c r="AN203" s="16">
        <f>F203*AF203</f>
        <v>0</v>
      </c>
      <c r="AO203" s="17" t="s">
        <v>786</v>
      </c>
      <c r="AP203" s="17" t="s">
        <v>802</v>
      </c>
      <c r="AQ203" s="11" t="s">
        <v>809</v>
      </c>
    </row>
    <row r="204" spans="1:13" ht="12.75">
      <c r="A204" s="77"/>
      <c r="B204" s="77"/>
      <c r="C204" s="77"/>
      <c r="D204" s="78" t="s">
        <v>44</v>
      </c>
      <c r="E204" s="77"/>
      <c r="F204" s="79">
        <v>38</v>
      </c>
      <c r="G204" s="77"/>
      <c r="H204" s="77"/>
      <c r="I204" s="77"/>
      <c r="J204" s="77"/>
      <c r="K204" s="77"/>
      <c r="L204" s="77"/>
      <c r="M204" s="77"/>
    </row>
    <row r="205" spans="1:43" ht="12.75">
      <c r="A205" s="74" t="s">
        <v>94</v>
      </c>
      <c r="B205" s="74" t="s">
        <v>207</v>
      </c>
      <c r="C205" s="74" t="s">
        <v>301</v>
      </c>
      <c r="D205" s="74" t="s">
        <v>566</v>
      </c>
      <c r="E205" s="74" t="s">
        <v>729</v>
      </c>
      <c r="F205" s="75">
        <v>80</v>
      </c>
      <c r="G205" s="75"/>
      <c r="H205" s="75">
        <f>F205*AE205</f>
        <v>0</v>
      </c>
      <c r="I205" s="75">
        <f>J205-H205</f>
        <v>0</v>
      </c>
      <c r="J205" s="75">
        <f>F205*G205</f>
        <v>0</v>
      </c>
      <c r="K205" s="75">
        <v>5E-05</v>
      </c>
      <c r="L205" s="75">
        <f>F205*K205</f>
        <v>0.004</v>
      </c>
      <c r="M205" s="76" t="s">
        <v>758</v>
      </c>
      <c r="N205" s="12" t="s">
        <v>8</v>
      </c>
      <c r="O205" s="6">
        <f>IF(N205="5",I205,0)</f>
        <v>0</v>
      </c>
      <c r="Z205" s="6">
        <f>IF(AD205=0,J205,0)</f>
        <v>0</v>
      </c>
      <c r="AA205" s="6">
        <f>IF(AD205=15,J205,0)</f>
        <v>0</v>
      </c>
      <c r="AB205" s="6">
        <f>IF(AD205=21,J205,0)</f>
        <v>0</v>
      </c>
      <c r="AD205" s="16">
        <v>21</v>
      </c>
      <c r="AE205" s="16">
        <f>G205*0.396911196911197</f>
        <v>0</v>
      </c>
      <c r="AF205" s="16">
        <f>G205*(1-0.396911196911197)</f>
        <v>0</v>
      </c>
      <c r="AM205" s="16">
        <f>F205*AE205</f>
        <v>0</v>
      </c>
      <c r="AN205" s="16">
        <f>F205*AF205</f>
        <v>0</v>
      </c>
      <c r="AO205" s="17" t="s">
        <v>786</v>
      </c>
      <c r="AP205" s="17" t="s">
        <v>802</v>
      </c>
      <c r="AQ205" s="11" t="s">
        <v>809</v>
      </c>
    </row>
    <row r="206" spans="1:13" ht="12.75">
      <c r="A206" s="77"/>
      <c r="B206" s="77"/>
      <c r="C206" s="77"/>
      <c r="D206" s="78" t="s">
        <v>86</v>
      </c>
      <c r="E206" s="77"/>
      <c r="F206" s="79">
        <v>80</v>
      </c>
      <c r="G206" s="77"/>
      <c r="H206" s="77"/>
      <c r="I206" s="77"/>
      <c r="J206" s="77"/>
      <c r="K206" s="77"/>
      <c r="L206" s="77"/>
      <c r="M206" s="77"/>
    </row>
    <row r="207" spans="1:43" ht="12.75">
      <c r="A207" s="74" t="s">
        <v>95</v>
      </c>
      <c r="B207" s="74" t="s">
        <v>207</v>
      </c>
      <c r="C207" s="74" t="s">
        <v>302</v>
      </c>
      <c r="D207" s="74" t="s">
        <v>567</v>
      </c>
      <c r="E207" s="74" t="s">
        <v>729</v>
      </c>
      <c r="F207" s="75">
        <v>25</v>
      </c>
      <c r="G207" s="75"/>
      <c r="H207" s="75">
        <f>F207*AE207</f>
        <v>0</v>
      </c>
      <c r="I207" s="75">
        <f>J207-H207</f>
        <v>0</v>
      </c>
      <c r="J207" s="75">
        <f>F207*G207</f>
        <v>0</v>
      </c>
      <c r="K207" s="75">
        <v>7E-05</v>
      </c>
      <c r="L207" s="75">
        <f>F207*K207</f>
        <v>0.0017499999999999998</v>
      </c>
      <c r="M207" s="76" t="s">
        <v>758</v>
      </c>
      <c r="N207" s="12" t="s">
        <v>8</v>
      </c>
      <c r="O207" s="6">
        <f>IF(N207="5",I207,0)</f>
        <v>0</v>
      </c>
      <c r="Z207" s="6">
        <f>IF(AD207=0,J207,0)</f>
        <v>0</v>
      </c>
      <c r="AA207" s="6">
        <f>IF(AD207=15,J207,0)</f>
        <v>0</v>
      </c>
      <c r="AB207" s="6">
        <f>IF(AD207=21,J207,0)</f>
        <v>0</v>
      </c>
      <c r="AD207" s="16">
        <v>21</v>
      </c>
      <c r="AE207" s="16">
        <f>G207*0.511875</f>
        <v>0</v>
      </c>
      <c r="AF207" s="16">
        <f>G207*(1-0.511875)</f>
        <v>0</v>
      </c>
      <c r="AM207" s="16">
        <f>F207*AE207</f>
        <v>0</v>
      </c>
      <c r="AN207" s="16">
        <f>F207*AF207</f>
        <v>0</v>
      </c>
      <c r="AO207" s="17" t="s">
        <v>786</v>
      </c>
      <c r="AP207" s="17" t="s">
        <v>802</v>
      </c>
      <c r="AQ207" s="11" t="s">
        <v>809</v>
      </c>
    </row>
    <row r="208" spans="1:13" ht="12.75">
      <c r="A208" s="77"/>
      <c r="B208" s="77"/>
      <c r="C208" s="77"/>
      <c r="D208" s="78" t="s">
        <v>31</v>
      </c>
      <c r="E208" s="77"/>
      <c r="F208" s="79">
        <v>25</v>
      </c>
      <c r="G208" s="77"/>
      <c r="H208" s="77"/>
      <c r="I208" s="77"/>
      <c r="J208" s="77"/>
      <c r="K208" s="77"/>
      <c r="L208" s="77"/>
      <c r="M208" s="77"/>
    </row>
    <row r="209" spans="1:43" ht="12.75">
      <c r="A209" s="74" t="s">
        <v>96</v>
      </c>
      <c r="B209" s="74" t="s">
        <v>207</v>
      </c>
      <c r="C209" s="74" t="s">
        <v>303</v>
      </c>
      <c r="D209" s="74" t="s">
        <v>568</v>
      </c>
      <c r="E209" s="74" t="s">
        <v>733</v>
      </c>
      <c r="F209" s="75">
        <v>20</v>
      </c>
      <c r="G209" s="75"/>
      <c r="H209" s="75">
        <f>F209*AE209</f>
        <v>0</v>
      </c>
      <c r="I209" s="75">
        <f>J209-H209</f>
        <v>0</v>
      </c>
      <c r="J209" s="75">
        <f>F209*G209</f>
        <v>0</v>
      </c>
      <c r="K209" s="75">
        <v>0</v>
      </c>
      <c r="L209" s="75">
        <f>F209*K209</f>
        <v>0</v>
      </c>
      <c r="M209" s="76" t="s">
        <v>758</v>
      </c>
      <c r="N209" s="12" t="s">
        <v>8</v>
      </c>
      <c r="O209" s="6">
        <f>IF(N209="5",I209,0)</f>
        <v>0</v>
      </c>
      <c r="Z209" s="6">
        <f>IF(AD209=0,J209,0)</f>
        <v>0</v>
      </c>
      <c r="AA209" s="6">
        <f>IF(AD209=15,J209,0)</f>
        <v>0</v>
      </c>
      <c r="AB209" s="6">
        <f>IF(AD209=21,J209,0)</f>
        <v>0</v>
      </c>
      <c r="AD209" s="16">
        <v>21</v>
      </c>
      <c r="AE209" s="16">
        <f>G209*0.12</f>
        <v>0</v>
      </c>
      <c r="AF209" s="16">
        <f>G209*(1-0.12)</f>
        <v>0</v>
      </c>
      <c r="AM209" s="16">
        <f>F209*AE209</f>
        <v>0</v>
      </c>
      <c r="AN209" s="16">
        <f>F209*AF209</f>
        <v>0</v>
      </c>
      <c r="AO209" s="17" t="s">
        <v>786</v>
      </c>
      <c r="AP209" s="17" t="s">
        <v>802</v>
      </c>
      <c r="AQ209" s="11" t="s">
        <v>809</v>
      </c>
    </row>
    <row r="210" spans="1:13" ht="12.75">
      <c r="A210" s="77"/>
      <c r="B210" s="77"/>
      <c r="C210" s="77"/>
      <c r="D210" s="78" t="s">
        <v>26</v>
      </c>
      <c r="E210" s="77"/>
      <c r="F210" s="79">
        <v>20</v>
      </c>
      <c r="G210" s="77"/>
      <c r="H210" s="77"/>
      <c r="I210" s="77"/>
      <c r="J210" s="77"/>
      <c r="K210" s="77"/>
      <c r="L210" s="77"/>
      <c r="M210" s="77"/>
    </row>
    <row r="211" spans="1:43" ht="12.75">
      <c r="A211" s="74" t="s">
        <v>97</v>
      </c>
      <c r="B211" s="74" t="s">
        <v>207</v>
      </c>
      <c r="C211" s="74" t="s">
        <v>304</v>
      </c>
      <c r="D211" s="74" t="s">
        <v>569</v>
      </c>
      <c r="E211" s="74" t="s">
        <v>729</v>
      </c>
      <c r="F211" s="75">
        <v>25</v>
      </c>
      <c r="G211" s="75"/>
      <c r="H211" s="75">
        <f>F211*AE211</f>
        <v>0</v>
      </c>
      <c r="I211" s="75">
        <f>J211-H211</f>
        <v>0</v>
      </c>
      <c r="J211" s="75">
        <f>F211*G211</f>
        <v>0</v>
      </c>
      <c r="K211" s="75">
        <v>0</v>
      </c>
      <c r="L211" s="75">
        <f>F211*K211</f>
        <v>0</v>
      </c>
      <c r="M211" s="76" t="s">
        <v>758</v>
      </c>
      <c r="N211" s="12" t="s">
        <v>8</v>
      </c>
      <c r="O211" s="6">
        <f>IF(N211="5",I211,0)</f>
        <v>0</v>
      </c>
      <c r="Z211" s="6">
        <f>IF(AD211=0,J211,0)</f>
        <v>0</v>
      </c>
      <c r="AA211" s="6">
        <f>IF(AD211=15,J211,0)</f>
        <v>0</v>
      </c>
      <c r="AB211" s="6">
        <f>IF(AD211=21,J211,0)</f>
        <v>0</v>
      </c>
      <c r="AD211" s="16">
        <v>21</v>
      </c>
      <c r="AE211" s="16">
        <f>G211*0</f>
        <v>0</v>
      </c>
      <c r="AF211" s="16">
        <f>G211*(1-0)</f>
        <v>0</v>
      </c>
      <c r="AM211" s="16">
        <f>F211*AE211</f>
        <v>0</v>
      </c>
      <c r="AN211" s="16">
        <f>F211*AF211</f>
        <v>0</v>
      </c>
      <c r="AO211" s="17" t="s">
        <v>786</v>
      </c>
      <c r="AP211" s="17" t="s">
        <v>802</v>
      </c>
      <c r="AQ211" s="11" t="s">
        <v>809</v>
      </c>
    </row>
    <row r="212" spans="1:13" ht="12.75">
      <c r="A212" s="77"/>
      <c r="B212" s="77"/>
      <c r="C212" s="77"/>
      <c r="D212" s="78" t="s">
        <v>31</v>
      </c>
      <c r="E212" s="77"/>
      <c r="F212" s="79">
        <v>25</v>
      </c>
      <c r="G212" s="77"/>
      <c r="H212" s="77"/>
      <c r="I212" s="77"/>
      <c r="J212" s="77"/>
      <c r="K212" s="77"/>
      <c r="L212" s="77"/>
      <c r="M212" s="77"/>
    </row>
    <row r="213" spans="1:43" ht="12.75">
      <c r="A213" s="84" t="s">
        <v>98</v>
      </c>
      <c r="B213" s="84" t="s">
        <v>207</v>
      </c>
      <c r="C213" s="84" t="s">
        <v>305</v>
      </c>
      <c r="D213" s="84" t="s">
        <v>570</v>
      </c>
      <c r="E213" s="84" t="s">
        <v>729</v>
      </c>
      <c r="F213" s="85">
        <v>26.75</v>
      </c>
      <c r="G213" s="85"/>
      <c r="H213" s="85">
        <f>F213*AE213</f>
        <v>0</v>
      </c>
      <c r="I213" s="85">
        <f>J213-H213</f>
        <v>0</v>
      </c>
      <c r="J213" s="85">
        <f>F213*G213</f>
        <v>0</v>
      </c>
      <c r="K213" s="85">
        <v>0</v>
      </c>
      <c r="L213" s="85">
        <f>F213*K213</f>
        <v>0</v>
      </c>
      <c r="M213" s="86" t="s">
        <v>758</v>
      </c>
      <c r="N213" s="13" t="s">
        <v>761</v>
      </c>
      <c r="O213" s="7">
        <f>IF(N213="5",I213,0)</f>
        <v>0</v>
      </c>
      <c r="Z213" s="7">
        <f>IF(AD213=0,J213,0)</f>
        <v>0</v>
      </c>
      <c r="AA213" s="7">
        <f>IF(AD213=15,J213,0)</f>
        <v>0</v>
      </c>
      <c r="AB213" s="7">
        <f>IF(AD213=21,J213,0)</f>
        <v>0</v>
      </c>
      <c r="AD213" s="16">
        <v>21</v>
      </c>
      <c r="AE213" s="16">
        <f>G213*1</f>
        <v>0</v>
      </c>
      <c r="AF213" s="16">
        <f>G213*(1-1)</f>
        <v>0</v>
      </c>
      <c r="AM213" s="16">
        <f>F213*AE213</f>
        <v>0</v>
      </c>
      <c r="AN213" s="16">
        <f>F213*AF213</f>
        <v>0</v>
      </c>
      <c r="AO213" s="17" t="s">
        <v>786</v>
      </c>
      <c r="AP213" s="17" t="s">
        <v>802</v>
      </c>
      <c r="AQ213" s="11" t="s">
        <v>809</v>
      </c>
    </row>
    <row r="214" spans="1:13" ht="12.75">
      <c r="A214" s="77"/>
      <c r="B214" s="77"/>
      <c r="C214" s="77"/>
      <c r="D214" s="78" t="s">
        <v>31</v>
      </c>
      <c r="E214" s="77"/>
      <c r="F214" s="79">
        <v>25</v>
      </c>
      <c r="G214" s="77"/>
      <c r="H214" s="77"/>
      <c r="I214" s="77"/>
      <c r="J214" s="77"/>
      <c r="K214" s="77"/>
      <c r="L214" s="77"/>
      <c r="M214" s="77"/>
    </row>
    <row r="215" spans="1:13" ht="12.75">
      <c r="A215" s="77"/>
      <c r="B215" s="77"/>
      <c r="C215" s="77"/>
      <c r="D215" s="78" t="s">
        <v>571</v>
      </c>
      <c r="E215" s="77"/>
      <c r="F215" s="79">
        <v>1.75</v>
      </c>
      <c r="G215" s="77"/>
      <c r="H215" s="77"/>
      <c r="I215" s="77"/>
      <c r="J215" s="77"/>
      <c r="K215" s="77"/>
      <c r="L215" s="77"/>
      <c r="M215" s="77"/>
    </row>
    <row r="216" spans="1:43" ht="12.75">
      <c r="A216" s="74" t="s">
        <v>99</v>
      </c>
      <c r="B216" s="74" t="s">
        <v>207</v>
      </c>
      <c r="C216" s="74" t="s">
        <v>306</v>
      </c>
      <c r="D216" s="74" t="s">
        <v>572</v>
      </c>
      <c r="E216" s="74" t="s">
        <v>729</v>
      </c>
      <c r="F216" s="75">
        <v>12</v>
      </c>
      <c r="G216" s="75"/>
      <c r="H216" s="75">
        <f>F216*AE216</f>
        <v>0</v>
      </c>
      <c r="I216" s="75">
        <f>J216-H216</f>
        <v>0</v>
      </c>
      <c r="J216" s="75">
        <f>F216*G216</f>
        <v>0</v>
      </c>
      <c r="K216" s="75">
        <v>0</v>
      </c>
      <c r="L216" s="75">
        <f>F216*K216</f>
        <v>0</v>
      </c>
      <c r="M216" s="76" t="s">
        <v>758</v>
      </c>
      <c r="N216" s="12" t="s">
        <v>8</v>
      </c>
      <c r="O216" s="6">
        <f>IF(N216="5",I216,0)</f>
        <v>0</v>
      </c>
      <c r="Z216" s="6">
        <f>IF(AD216=0,J216,0)</f>
        <v>0</v>
      </c>
      <c r="AA216" s="6">
        <f>IF(AD216=15,J216,0)</f>
        <v>0</v>
      </c>
      <c r="AB216" s="6">
        <f>IF(AD216=21,J216,0)</f>
        <v>0</v>
      </c>
      <c r="AD216" s="16">
        <v>21</v>
      </c>
      <c r="AE216" s="16">
        <f>G216*0</f>
        <v>0</v>
      </c>
      <c r="AF216" s="16">
        <f>G216*(1-0)</f>
        <v>0</v>
      </c>
      <c r="AM216" s="16">
        <f>F216*AE216</f>
        <v>0</v>
      </c>
      <c r="AN216" s="16">
        <f>F216*AF216</f>
        <v>0</v>
      </c>
      <c r="AO216" s="17" t="s">
        <v>786</v>
      </c>
      <c r="AP216" s="17" t="s">
        <v>802</v>
      </c>
      <c r="AQ216" s="11" t="s">
        <v>809</v>
      </c>
    </row>
    <row r="217" spans="1:13" ht="12.75">
      <c r="A217" s="77"/>
      <c r="B217" s="77"/>
      <c r="C217" s="77"/>
      <c r="D217" s="78" t="s">
        <v>18</v>
      </c>
      <c r="E217" s="77"/>
      <c r="F217" s="79">
        <v>12</v>
      </c>
      <c r="G217" s="77"/>
      <c r="H217" s="77"/>
      <c r="I217" s="77"/>
      <c r="J217" s="77"/>
      <c r="K217" s="77"/>
      <c r="L217" s="77"/>
      <c r="M217" s="77"/>
    </row>
    <row r="218" spans="1:43" ht="12.75">
      <c r="A218" s="84" t="s">
        <v>100</v>
      </c>
      <c r="B218" s="84" t="s">
        <v>207</v>
      </c>
      <c r="C218" s="84" t="s">
        <v>307</v>
      </c>
      <c r="D218" s="84" t="s">
        <v>573</v>
      </c>
      <c r="E218" s="84" t="s">
        <v>729</v>
      </c>
      <c r="F218" s="85">
        <v>12.84</v>
      </c>
      <c r="G218" s="85"/>
      <c r="H218" s="85">
        <f>F218*AE218</f>
        <v>0</v>
      </c>
      <c r="I218" s="85">
        <f>J218-H218</f>
        <v>0</v>
      </c>
      <c r="J218" s="85">
        <f>F218*G218</f>
        <v>0</v>
      </c>
      <c r="K218" s="85">
        <v>0</v>
      </c>
      <c r="L218" s="85">
        <f>F218*K218</f>
        <v>0</v>
      </c>
      <c r="M218" s="86" t="s">
        <v>758</v>
      </c>
      <c r="N218" s="13" t="s">
        <v>761</v>
      </c>
      <c r="O218" s="7">
        <f>IF(N218="5",I218,0)</f>
        <v>0</v>
      </c>
      <c r="Z218" s="7">
        <f>IF(AD218=0,J218,0)</f>
        <v>0</v>
      </c>
      <c r="AA218" s="7">
        <f>IF(AD218=15,J218,0)</f>
        <v>0</v>
      </c>
      <c r="AB218" s="7">
        <f>IF(AD218=21,J218,0)</f>
        <v>0</v>
      </c>
      <c r="AD218" s="16">
        <v>21</v>
      </c>
      <c r="AE218" s="16">
        <f>G218*1</f>
        <v>0</v>
      </c>
      <c r="AF218" s="16">
        <f>G218*(1-1)</f>
        <v>0</v>
      </c>
      <c r="AM218" s="16">
        <f>F218*AE218</f>
        <v>0</v>
      </c>
      <c r="AN218" s="16">
        <f>F218*AF218</f>
        <v>0</v>
      </c>
      <c r="AO218" s="17" t="s">
        <v>786</v>
      </c>
      <c r="AP218" s="17" t="s">
        <v>802</v>
      </c>
      <c r="AQ218" s="11" t="s">
        <v>809</v>
      </c>
    </row>
    <row r="219" spans="1:13" ht="12.75">
      <c r="A219" s="77"/>
      <c r="B219" s="77"/>
      <c r="C219" s="77"/>
      <c r="D219" s="78" t="s">
        <v>18</v>
      </c>
      <c r="E219" s="77"/>
      <c r="F219" s="79">
        <v>12</v>
      </c>
      <c r="G219" s="77"/>
      <c r="H219" s="77"/>
      <c r="I219" s="77"/>
      <c r="J219" s="77"/>
      <c r="K219" s="77"/>
      <c r="L219" s="77"/>
      <c r="M219" s="77"/>
    </row>
    <row r="220" spans="1:13" ht="12.75">
      <c r="A220" s="77"/>
      <c r="B220" s="77"/>
      <c r="C220" s="77"/>
      <c r="D220" s="78" t="s">
        <v>574</v>
      </c>
      <c r="E220" s="77"/>
      <c r="F220" s="79">
        <v>0.84</v>
      </c>
      <c r="G220" s="77"/>
      <c r="H220" s="77"/>
      <c r="I220" s="77"/>
      <c r="J220" s="77"/>
      <c r="K220" s="77"/>
      <c r="L220" s="77"/>
      <c r="M220" s="77"/>
    </row>
    <row r="221" spans="1:43" ht="12.75">
      <c r="A221" s="74" t="s">
        <v>101</v>
      </c>
      <c r="B221" s="74" t="s">
        <v>207</v>
      </c>
      <c r="C221" s="74" t="s">
        <v>308</v>
      </c>
      <c r="D221" s="74" t="s">
        <v>575</v>
      </c>
      <c r="E221" s="74" t="s">
        <v>729</v>
      </c>
      <c r="F221" s="75">
        <v>135</v>
      </c>
      <c r="G221" s="75"/>
      <c r="H221" s="75">
        <f>F221*AE221</f>
        <v>0</v>
      </c>
      <c r="I221" s="75">
        <f>J221-H221</f>
        <v>0</v>
      </c>
      <c r="J221" s="75">
        <f>F221*G221</f>
        <v>0</v>
      </c>
      <c r="K221" s="75">
        <v>0</v>
      </c>
      <c r="L221" s="75">
        <f>F221*K221</f>
        <v>0</v>
      </c>
      <c r="M221" s="76" t="s">
        <v>758</v>
      </c>
      <c r="N221" s="12" t="s">
        <v>8</v>
      </c>
      <c r="O221" s="6">
        <f>IF(N221="5",I221,0)</f>
        <v>0</v>
      </c>
      <c r="Z221" s="6">
        <f>IF(AD221=0,J221,0)</f>
        <v>0</v>
      </c>
      <c r="AA221" s="6">
        <f>IF(AD221=15,J221,0)</f>
        <v>0</v>
      </c>
      <c r="AB221" s="6">
        <f>IF(AD221=21,J221,0)</f>
        <v>0</v>
      </c>
      <c r="AD221" s="16">
        <v>21</v>
      </c>
      <c r="AE221" s="16">
        <f>G221*0</f>
        <v>0</v>
      </c>
      <c r="AF221" s="16">
        <f>G221*(1-0)</f>
        <v>0</v>
      </c>
      <c r="AM221" s="16">
        <f>F221*AE221</f>
        <v>0</v>
      </c>
      <c r="AN221" s="16">
        <f>F221*AF221</f>
        <v>0</v>
      </c>
      <c r="AO221" s="17" t="s">
        <v>786</v>
      </c>
      <c r="AP221" s="17" t="s">
        <v>802</v>
      </c>
      <c r="AQ221" s="11" t="s">
        <v>809</v>
      </c>
    </row>
    <row r="222" spans="1:13" ht="12.75">
      <c r="A222" s="77"/>
      <c r="B222" s="77"/>
      <c r="C222" s="77"/>
      <c r="D222" s="78" t="s">
        <v>141</v>
      </c>
      <c r="E222" s="77"/>
      <c r="F222" s="79">
        <v>135</v>
      </c>
      <c r="G222" s="77"/>
      <c r="H222" s="77"/>
      <c r="I222" s="77"/>
      <c r="J222" s="77"/>
      <c r="K222" s="77"/>
      <c r="L222" s="77"/>
      <c r="M222" s="77"/>
    </row>
    <row r="223" spans="1:43" ht="12.75">
      <c r="A223" s="84" t="s">
        <v>102</v>
      </c>
      <c r="B223" s="84" t="s">
        <v>207</v>
      </c>
      <c r="C223" s="84" t="s">
        <v>309</v>
      </c>
      <c r="D223" s="84" t="s">
        <v>576</v>
      </c>
      <c r="E223" s="84" t="s">
        <v>733</v>
      </c>
      <c r="F223" s="85">
        <v>68</v>
      </c>
      <c r="G223" s="85"/>
      <c r="H223" s="85">
        <f>F223*AE223</f>
        <v>0</v>
      </c>
      <c r="I223" s="85">
        <f>J223-H223</f>
        <v>0</v>
      </c>
      <c r="J223" s="85">
        <f>F223*G223</f>
        <v>0</v>
      </c>
      <c r="K223" s="85">
        <v>0.0026</v>
      </c>
      <c r="L223" s="85">
        <f>F223*K223</f>
        <v>0.17679999999999998</v>
      </c>
      <c r="M223" s="86" t="s">
        <v>758</v>
      </c>
      <c r="N223" s="13" t="s">
        <v>761</v>
      </c>
      <c r="O223" s="7">
        <f>IF(N223="5",I223,0)</f>
        <v>0</v>
      </c>
      <c r="Z223" s="7">
        <f>IF(AD223=0,J223,0)</f>
        <v>0</v>
      </c>
      <c r="AA223" s="7">
        <f>IF(AD223=15,J223,0)</f>
        <v>0</v>
      </c>
      <c r="AB223" s="7">
        <f>IF(AD223=21,J223,0)</f>
        <v>0</v>
      </c>
      <c r="AD223" s="16">
        <v>21</v>
      </c>
      <c r="AE223" s="16">
        <f>G223*1</f>
        <v>0</v>
      </c>
      <c r="AF223" s="16">
        <f>G223*(1-1)</f>
        <v>0</v>
      </c>
      <c r="AM223" s="16">
        <f>F223*AE223</f>
        <v>0</v>
      </c>
      <c r="AN223" s="16">
        <f>F223*AF223</f>
        <v>0</v>
      </c>
      <c r="AO223" s="17" t="s">
        <v>786</v>
      </c>
      <c r="AP223" s="17" t="s">
        <v>802</v>
      </c>
      <c r="AQ223" s="11" t="s">
        <v>809</v>
      </c>
    </row>
    <row r="224" spans="1:13" ht="12.75">
      <c r="A224" s="77"/>
      <c r="B224" s="77"/>
      <c r="C224" s="77"/>
      <c r="D224" s="78" t="s">
        <v>74</v>
      </c>
      <c r="E224" s="77"/>
      <c r="F224" s="79">
        <v>68</v>
      </c>
      <c r="G224" s="77"/>
      <c r="H224" s="77"/>
      <c r="I224" s="77"/>
      <c r="J224" s="77"/>
      <c r="K224" s="77"/>
      <c r="L224" s="77"/>
      <c r="M224" s="77"/>
    </row>
    <row r="225" spans="1:43" ht="12.75">
      <c r="A225" s="84" t="s">
        <v>103</v>
      </c>
      <c r="B225" s="84" t="s">
        <v>207</v>
      </c>
      <c r="C225" s="84" t="s">
        <v>310</v>
      </c>
      <c r="D225" s="84" t="s">
        <v>577</v>
      </c>
      <c r="E225" s="84" t="s">
        <v>733</v>
      </c>
      <c r="F225" s="85">
        <v>68</v>
      </c>
      <c r="G225" s="85"/>
      <c r="H225" s="85">
        <f>F225*AE225</f>
        <v>0</v>
      </c>
      <c r="I225" s="85">
        <f>J225-H225</f>
        <v>0</v>
      </c>
      <c r="J225" s="85">
        <f>F225*G225</f>
        <v>0</v>
      </c>
      <c r="K225" s="85">
        <v>0.00152</v>
      </c>
      <c r="L225" s="85">
        <f>F225*K225</f>
        <v>0.10336000000000001</v>
      </c>
      <c r="M225" s="86" t="s">
        <v>758</v>
      </c>
      <c r="N225" s="13" t="s">
        <v>761</v>
      </c>
      <c r="O225" s="7">
        <f>IF(N225="5",I225,0)</f>
        <v>0</v>
      </c>
      <c r="Z225" s="7">
        <f>IF(AD225=0,J225,0)</f>
        <v>0</v>
      </c>
      <c r="AA225" s="7">
        <f>IF(AD225=15,J225,0)</f>
        <v>0</v>
      </c>
      <c r="AB225" s="7">
        <f>IF(AD225=21,J225,0)</f>
        <v>0</v>
      </c>
      <c r="AD225" s="16">
        <v>21</v>
      </c>
      <c r="AE225" s="16">
        <f>G225*1</f>
        <v>0</v>
      </c>
      <c r="AF225" s="16">
        <f>G225*(1-1)</f>
        <v>0</v>
      </c>
      <c r="AM225" s="16">
        <f>F225*AE225</f>
        <v>0</v>
      </c>
      <c r="AN225" s="16">
        <f>F225*AF225</f>
        <v>0</v>
      </c>
      <c r="AO225" s="17" t="s">
        <v>786</v>
      </c>
      <c r="AP225" s="17" t="s">
        <v>802</v>
      </c>
      <c r="AQ225" s="11" t="s">
        <v>809</v>
      </c>
    </row>
    <row r="226" spans="1:13" ht="12.75">
      <c r="A226" s="77"/>
      <c r="B226" s="77"/>
      <c r="C226" s="77"/>
      <c r="D226" s="78" t="s">
        <v>74</v>
      </c>
      <c r="E226" s="77"/>
      <c r="F226" s="79">
        <v>68</v>
      </c>
      <c r="G226" s="77"/>
      <c r="H226" s="77"/>
      <c r="I226" s="77"/>
      <c r="J226" s="77"/>
      <c r="K226" s="77"/>
      <c r="L226" s="77"/>
      <c r="M226" s="77"/>
    </row>
    <row r="227" spans="1:43" ht="12.75">
      <c r="A227" s="74" t="s">
        <v>104</v>
      </c>
      <c r="B227" s="74" t="s">
        <v>207</v>
      </c>
      <c r="C227" s="74" t="s">
        <v>311</v>
      </c>
      <c r="D227" s="74" t="s">
        <v>578</v>
      </c>
      <c r="E227" s="74" t="s">
        <v>729</v>
      </c>
      <c r="F227" s="75">
        <v>12</v>
      </c>
      <c r="G227" s="75"/>
      <c r="H227" s="75">
        <f>F227*AE227</f>
        <v>0</v>
      </c>
      <c r="I227" s="75">
        <f>J227-H227</f>
        <v>0</v>
      </c>
      <c r="J227" s="75">
        <f>F227*G227</f>
        <v>0</v>
      </c>
      <c r="K227" s="75">
        <v>0</v>
      </c>
      <c r="L227" s="75">
        <f>F227*K227</f>
        <v>0</v>
      </c>
      <c r="M227" s="76" t="s">
        <v>758</v>
      </c>
      <c r="N227" s="12" t="s">
        <v>8</v>
      </c>
      <c r="O227" s="6">
        <f>IF(N227="5",I227,0)</f>
        <v>0</v>
      </c>
      <c r="Z227" s="6">
        <f>IF(AD227=0,J227,0)</f>
        <v>0</v>
      </c>
      <c r="AA227" s="6">
        <f>IF(AD227=15,J227,0)</f>
        <v>0</v>
      </c>
      <c r="AB227" s="6">
        <f>IF(AD227=21,J227,0)</f>
        <v>0</v>
      </c>
      <c r="AD227" s="16">
        <v>21</v>
      </c>
      <c r="AE227" s="16">
        <f>G227*0</f>
        <v>0</v>
      </c>
      <c r="AF227" s="16">
        <f>G227*(1-0)</f>
        <v>0</v>
      </c>
      <c r="AM227" s="16">
        <f>F227*AE227</f>
        <v>0</v>
      </c>
      <c r="AN227" s="16">
        <f>F227*AF227</f>
        <v>0</v>
      </c>
      <c r="AO227" s="17" t="s">
        <v>786</v>
      </c>
      <c r="AP227" s="17" t="s">
        <v>802</v>
      </c>
      <c r="AQ227" s="11" t="s">
        <v>809</v>
      </c>
    </row>
    <row r="228" spans="1:13" ht="12.75">
      <c r="A228" s="77"/>
      <c r="B228" s="77"/>
      <c r="C228" s="77"/>
      <c r="D228" s="78" t="s">
        <v>18</v>
      </c>
      <c r="E228" s="77"/>
      <c r="F228" s="79">
        <v>12</v>
      </c>
      <c r="G228" s="77"/>
      <c r="H228" s="77"/>
      <c r="I228" s="77"/>
      <c r="J228" s="77"/>
      <c r="K228" s="77"/>
      <c r="L228" s="77"/>
      <c r="M228" s="77"/>
    </row>
    <row r="229" spans="1:43" ht="12.75">
      <c r="A229" s="84" t="s">
        <v>105</v>
      </c>
      <c r="B229" s="84" t="s">
        <v>207</v>
      </c>
      <c r="C229" s="84" t="s">
        <v>312</v>
      </c>
      <c r="D229" s="84" t="s">
        <v>579</v>
      </c>
      <c r="E229" s="84" t="s">
        <v>733</v>
      </c>
      <c r="F229" s="85">
        <v>6</v>
      </c>
      <c r="G229" s="85"/>
      <c r="H229" s="85">
        <f>F229*AE229</f>
        <v>0</v>
      </c>
      <c r="I229" s="85">
        <f>J229-H229</f>
        <v>0</v>
      </c>
      <c r="J229" s="85">
        <f>F229*G229</f>
        <v>0</v>
      </c>
      <c r="K229" s="85">
        <v>0.00364</v>
      </c>
      <c r="L229" s="85">
        <f>F229*K229</f>
        <v>0.02184</v>
      </c>
      <c r="M229" s="86" t="s">
        <v>758</v>
      </c>
      <c r="N229" s="13" t="s">
        <v>761</v>
      </c>
      <c r="O229" s="7">
        <f>IF(N229="5",I229,0)</f>
        <v>0</v>
      </c>
      <c r="Z229" s="7">
        <f>IF(AD229=0,J229,0)</f>
        <v>0</v>
      </c>
      <c r="AA229" s="7">
        <f>IF(AD229=15,J229,0)</f>
        <v>0</v>
      </c>
      <c r="AB229" s="7">
        <f>IF(AD229=21,J229,0)</f>
        <v>0</v>
      </c>
      <c r="AD229" s="16">
        <v>21</v>
      </c>
      <c r="AE229" s="16">
        <f>G229*1</f>
        <v>0</v>
      </c>
      <c r="AF229" s="16">
        <f>G229*(1-1)</f>
        <v>0</v>
      </c>
      <c r="AM229" s="16">
        <f>F229*AE229</f>
        <v>0</v>
      </c>
      <c r="AN229" s="16">
        <f>F229*AF229</f>
        <v>0</v>
      </c>
      <c r="AO229" s="17" t="s">
        <v>786</v>
      </c>
      <c r="AP229" s="17" t="s">
        <v>802</v>
      </c>
      <c r="AQ229" s="11" t="s">
        <v>809</v>
      </c>
    </row>
    <row r="230" spans="1:13" ht="12.75">
      <c r="A230" s="77"/>
      <c r="B230" s="77"/>
      <c r="C230" s="77"/>
      <c r="D230" s="78" t="s">
        <v>12</v>
      </c>
      <c r="E230" s="77"/>
      <c r="F230" s="79">
        <v>6</v>
      </c>
      <c r="G230" s="77"/>
      <c r="H230" s="77"/>
      <c r="I230" s="77"/>
      <c r="J230" s="77"/>
      <c r="K230" s="77"/>
      <c r="L230" s="77"/>
      <c r="M230" s="77"/>
    </row>
    <row r="231" spans="1:43" ht="12.75">
      <c r="A231" s="84" t="s">
        <v>106</v>
      </c>
      <c r="B231" s="84" t="s">
        <v>207</v>
      </c>
      <c r="C231" s="84" t="s">
        <v>313</v>
      </c>
      <c r="D231" s="84" t="s">
        <v>580</v>
      </c>
      <c r="E231" s="84" t="s">
        <v>733</v>
      </c>
      <c r="F231" s="85">
        <v>6</v>
      </c>
      <c r="G231" s="85"/>
      <c r="H231" s="85">
        <f>F231*AE231</f>
        <v>0</v>
      </c>
      <c r="I231" s="85">
        <f>J231-H231</f>
        <v>0</v>
      </c>
      <c r="J231" s="85">
        <f>F231*G231</f>
        <v>0</v>
      </c>
      <c r="K231" s="85">
        <v>0.0056</v>
      </c>
      <c r="L231" s="85">
        <f>F231*K231</f>
        <v>0.0336</v>
      </c>
      <c r="M231" s="86" t="s">
        <v>758</v>
      </c>
      <c r="N231" s="13" t="s">
        <v>761</v>
      </c>
      <c r="O231" s="7">
        <f>IF(N231="5",I231,0)</f>
        <v>0</v>
      </c>
      <c r="Z231" s="7">
        <f>IF(AD231=0,J231,0)</f>
        <v>0</v>
      </c>
      <c r="AA231" s="7">
        <f>IF(AD231=15,J231,0)</f>
        <v>0</v>
      </c>
      <c r="AB231" s="7">
        <f>IF(AD231=21,J231,0)</f>
        <v>0</v>
      </c>
      <c r="AD231" s="16">
        <v>21</v>
      </c>
      <c r="AE231" s="16">
        <f>G231*1</f>
        <v>0</v>
      </c>
      <c r="AF231" s="16">
        <f>G231*(1-1)</f>
        <v>0</v>
      </c>
      <c r="AM231" s="16">
        <f>F231*AE231</f>
        <v>0</v>
      </c>
      <c r="AN231" s="16">
        <f>F231*AF231</f>
        <v>0</v>
      </c>
      <c r="AO231" s="17" t="s">
        <v>786</v>
      </c>
      <c r="AP231" s="17" t="s">
        <v>802</v>
      </c>
      <c r="AQ231" s="11" t="s">
        <v>809</v>
      </c>
    </row>
    <row r="232" spans="1:13" ht="12.75">
      <c r="A232" s="77"/>
      <c r="B232" s="77"/>
      <c r="C232" s="77"/>
      <c r="D232" s="78" t="s">
        <v>12</v>
      </c>
      <c r="E232" s="77"/>
      <c r="F232" s="79">
        <v>6</v>
      </c>
      <c r="G232" s="77"/>
      <c r="H232" s="77"/>
      <c r="I232" s="77"/>
      <c r="J232" s="77"/>
      <c r="K232" s="77"/>
      <c r="L232" s="77"/>
      <c r="M232" s="77"/>
    </row>
    <row r="233" spans="1:43" ht="12.75">
      <c r="A233" s="74" t="s">
        <v>107</v>
      </c>
      <c r="B233" s="74" t="s">
        <v>207</v>
      </c>
      <c r="C233" s="74" t="s">
        <v>314</v>
      </c>
      <c r="D233" s="74" t="s">
        <v>581</v>
      </c>
      <c r="E233" s="74" t="s">
        <v>729</v>
      </c>
      <c r="F233" s="75">
        <v>18</v>
      </c>
      <c r="G233" s="75"/>
      <c r="H233" s="75">
        <f>F233*AE233</f>
        <v>0</v>
      </c>
      <c r="I233" s="75">
        <f>J233-H233</f>
        <v>0</v>
      </c>
      <c r="J233" s="75">
        <f>F233*G233</f>
        <v>0</v>
      </c>
      <c r="K233" s="75">
        <v>0</v>
      </c>
      <c r="L233" s="75">
        <f>F233*K233</f>
        <v>0</v>
      </c>
      <c r="M233" s="76" t="s">
        <v>758</v>
      </c>
      <c r="N233" s="12" t="s">
        <v>8</v>
      </c>
      <c r="O233" s="6">
        <f>IF(N233="5",I233,0)</f>
        <v>0</v>
      </c>
      <c r="Z233" s="6">
        <f>IF(AD233=0,J233,0)</f>
        <v>0</v>
      </c>
      <c r="AA233" s="6">
        <f>IF(AD233=15,J233,0)</f>
        <v>0</v>
      </c>
      <c r="AB233" s="6">
        <f>IF(AD233=21,J233,0)</f>
        <v>0</v>
      </c>
      <c r="AD233" s="16">
        <v>21</v>
      </c>
      <c r="AE233" s="16">
        <f>G233*0.741649122807018</f>
        <v>0</v>
      </c>
      <c r="AF233" s="16">
        <f>G233*(1-0.741649122807018)</f>
        <v>0</v>
      </c>
      <c r="AM233" s="16">
        <f>F233*AE233</f>
        <v>0</v>
      </c>
      <c r="AN233" s="16">
        <f>F233*AF233</f>
        <v>0</v>
      </c>
      <c r="AO233" s="17" t="s">
        <v>786</v>
      </c>
      <c r="AP233" s="17" t="s">
        <v>802</v>
      </c>
      <c r="AQ233" s="11" t="s">
        <v>809</v>
      </c>
    </row>
    <row r="234" spans="1:13" ht="12.75">
      <c r="A234" s="77"/>
      <c r="B234" s="77"/>
      <c r="C234" s="77"/>
      <c r="D234" s="78" t="s">
        <v>24</v>
      </c>
      <c r="E234" s="77"/>
      <c r="F234" s="79">
        <v>18</v>
      </c>
      <c r="G234" s="77"/>
      <c r="H234" s="77"/>
      <c r="I234" s="77"/>
      <c r="J234" s="77"/>
      <c r="K234" s="77"/>
      <c r="L234" s="77"/>
      <c r="M234" s="77"/>
    </row>
    <row r="235" spans="1:43" ht="12.75">
      <c r="A235" s="74" t="s">
        <v>108</v>
      </c>
      <c r="B235" s="74" t="s">
        <v>207</v>
      </c>
      <c r="C235" s="74" t="s">
        <v>315</v>
      </c>
      <c r="D235" s="74" t="s">
        <v>582</v>
      </c>
      <c r="E235" s="74" t="s">
        <v>729</v>
      </c>
      <c r="F235" s="75">
        <v>35</v>
      </c>
      <c r="G235" s="75"/>
      <c r="H235" s="75">
        <f>F235*AE235</f>
        <v>0</v>
      </c>
      <c r="I235" s="75">
        <f>J235-H235</f>
        <v>0</v>
      </c>
      <c r="J235" s="75">
        <f>F235*G235</f>
        <v>0</v>
      </c>
      <c r="K235" s="75">
        <v>0</v>
      </c>
      <c r="L235" s="75">
        <f>F235*K235</f>
        <v>0</v>
      </c>
      <c r="M235" s="76" t="s">
        <v>758</v>
      </c>
      <c r="N235" s="12" t="s">
        <v>8</v>
      </c>
      <c r="O235" s="6">
        <f>IF(N235="5",I235,0)</f>
        <v>0</v>
      </c>
      <c r="Z235" s="6">
        <f>IF(AD235=0,J235,0)</f>
        <v>0</v>
      </c>
      <c r="AA235" s="6">
        <f>IF(AD235=15,J235,0)</f>
        <v>0</v>
      </c>
      <c r="AB235" s="6">
        <f>IF(AD235=21,J235,0)</f>
        <v>0</v>
      </c>
      <c r="AD235" s="16">
        <v>21</v>
      </c>
      <c r="AE235" s="16">
        <f>G235*0</f>
        <v>0</v>
      </c>
      <c r="AF235" s="16">
        <f>G235*(1-0)</f>
        <v>0</v>
      </c>
      <c r="AM235" s="16">
        <f>F235*AE235</f>
        <v>0</v>
      </c>
      <c r="AN235" s="16">
        <f>F235*AF235</f>
        <v>0</v>
      </c>
      <c r="AO235" s="17" t="s">
        <v>786</v>
      </c>
      <c r="AP235" s="17" t="s">
        <v>802</v>
      </c>
      <c r="AQ235" s="11" t="s">
        <v>809</v>
      </c>
    </row>
    <row r="236" spans="1:13" ht="12.75">
      <c r="A236" s="77"/>
      <c r="B236" s="77"/>
      <c r="C236" s="77"/>
      <c r="D236" s="78" t="s">
        <v>41</v>
      </c>
      <c r="E236" s="77"/>
      <c r="F236" s="79">
        <v>35</v>
      </c>
      <c r="G236" s="77"/>
      <c r="H236" s="77"/>
      <c r="I236" s="77"/>
      <c r="J236" s="77"/>
      <c r="K236" s="77"/>
      <c r="L236" s="77"/>
      <c r="M236" s="77"/>
    </row>
    <row r="237" spans="1:43" ht="12.75">
      <c r="A237" s="84" t="s">
        <v>109</v>
      </c>
      <c r="B237" s="84" t="s">
        <v>207</v>
      </c>
      <c r="C237" s="84" t="s">
        <v>316</v>
      </c>
      <c r="D237" s="84" t="s">
        <v>583</v>
      </c>
      <c r="E237" s="84" t="s">
        <v>729</v>
      </c>
      <c r="F237" s="85">
        <v>37.45</v>
      </c>
      <c r="G237" s="85"/>
      <c r="H237" s="85">
        <f>F237*AE237</f>
        <v>0</v>
      </c>
      <c r="I237" s="85">
        <f>J237-H237</f>
        <v>0</v>
      </c>
      <c r="J237" s="85">
        <f>F237*G237</f>
        <v>0</v>
      </c>
      <c r="K237" s="85">
        <v>0.0002</v>
      </c>
      <c r="L237" s="85">
        <f>F237*K237</f>
        <v>0.007490000000000001</v>
      </c>
      <c r="M237" s="86" t="s">
        <v>758</v>
      </c>
      <c r="N237" s="13" t="s">
        <v>761</v>
      </c>
      <c r="O237" s="7">
        <f>IF(N237="5",I237,0)</f>
        <v>0</v>
      </c>
      <c r="Z237" s="7">
        <f>IF(AD237=0,J237,0)</f>
        <v>0</v>
      </c>
      <c r="AA237" s="7">
        <f>IF(AD237=15,J237,0)</f>
        <v>0</v>
      </c>
      <c r="AB237" s="7">
        <f>IF(AD237=21,J237,0)</f>
        <v>0</v>
      </c>
      <c r="AD237" s="16">
        <v>21</v>
      </c>
      <c r="AE237" s="16">
        <f>G237*1</f>
        <v>0</v>
      </c>
      <c r="AF237" s="16">
        <f>G237*(1-1)</f>
        <v>0</v>
      </c>
      <c r="AM237" s="16">
        <f>F237*AE237</f>
        <v>0</v>
      </c>
      <c r="AN237" s="16">
        <f>F237*AF237</f>
        <v>0</v>
      </c>
      <c r="AO237" s="17" t="s">
        <v>786</v>
      </c>
      <c r="AP237" s="17" t="s">
        <v>802</v>
      </c>
      <c r="AQ237" s="11" t="s">
        <v>809</v>
      </c>
    </row>
    <row r="238" spans="1:13" ht="12.75">
      <c r="A238" s="77"/>
      <c r="B238" s="77"/>
      <c r="C238" s="77"/>
      <c r="D238" s="78" t="s">
        <v>41</v>
      </c>
      <c r="E238" s="77"/>
      <c r="F238" s="79">
        <v>35</v>
      </c>
      <c r="G238" s="77"/>
      <c r="H238" s="77"/>
      <c r="I238" s="77"/>
      <c r="J238" s="77"/>
      <c r="K238" s="77"/>
      <c r="L238" s="77"/>
      <c r="M238" s="77"/>
    </row>
    <row r="239" spans="1:13" ht="12.75">
      <c r="A239" s="77"/>
      <c r="B239" s="77"/>
      <c r="C239" s="77"/>
      <c r="D239" s="78" t="s">
        <v>584</v>
      </c>
      <c r="E239" s="77"/>
      <c r="F239" s="79">
        <v>2.45</v>
      </c>
      <c r="G239" s="77"/>
      <c r="H239" s="77"/>
      <c r="I239" s="77"/>
      <c r="J239" s="77"/>
      <c r="K239" s="77"/>
      <c r="L239" s="77"/>
      <c r="M239" s="77"/>
    </row>
    <row r="240" spans="1:43" ht="12.75">
      <c r="A240" s="74" t="s">
        <v>110</v>
      </c>
      <c r="B240" s="74" t="s">
        <v>207</v>
      </c>
      <c r="C240" s="74" t="s">
        <v>317</v>
      </c>
      <c r="D240" s="74" t="s">
        <v>585</v>
      </c>
      <c r="E240" s="74" t="s">
        <v>729</v>
      </c>
      <c r="F240" s="75">
        <v>360</v>
      </c>
      <c r="G240" s="75"/>
      <c r="H240" s="75">
        <f>F240*AE240</f>
        <v>0</v>
      </c>
      <c r="I240" s="75">
        <f>J240-H240</f>
        <v>0</v>
      </c>
      <c r="J240" s="75">
        <f>F240*G240</f>
        <v>0</v>
      </c>
      <c r="K240" s="75">
        <v>0</v>
      </c>
      <c r="L240" s="75">
        <f>F240*K240</f>
        <v>0</v>
      </c>
      <c r="M240" s="76" t="s">
        <v>758</v>
      </c>
      <c r="N240" s="12" t="s">
        <v>8</v>
      </c>
      <c r="O240" s="6">
        <f>IF(N240="5",I240,0)</f>
        <v>0</v>
      </c>
      <c r="Z240" s="6">
        <f>IF(AD240=0,J240,0)</f>
        <v>0</v>
      </c>
      <c r="AA240" s="6">
        <f>IF(AD240=15,J240,0)</f>
        <v>0</v>
      </c>
      <c r="AB240" s="6">
        <f>IF(AD240=21,J240,0)</f>
        <v>0</v>
      </c>
      <c r="AD240" s="16">
        <v>21</v>
      </c>
      <c r="AE240" s="16">
        <f>G240*0</f>
        <v>0</v>
      </c>
      <c r="AF240" s="16">
        <f>G240*(1-0)</f>
        <v>0</v>
      </c>
      <c r="AM240" s="16">
        <f>F240*AE240</f>
        <v>0</v>
      </c>
      <c r="AN240" s="16">
        <f>F240*AF240</f>
        <v>0</v>
      </c>
      <c r="AO240" s="17" t="s">
        <v>786</v>
      </c>
      <c r="AP240" s="17" t="s">
        <v>802</v>
      </c>
      <c r="AQ240" s="11" t="s">
        <v>809</v>
      </c>
    </row>
    <row r="241" spans="1:13" ht="12.75">
      <c r="A241" s="77"/>
      <c r="B241" s="77"/>
      <c r="C241" s="77"/>
      <c r="D241" s="78" t="s">
        <v>586</v>
      </c>
      <c r="E241" s="77"/>
      <c r="F241" s="79">
        <v>360</v>
      </c>
      <c r="G241" s="77"/>
      <c r="H241" s="77"/>
      <c r="I241" s="77"/>
      <c r="J241" s="77"/>
      <c r="K241" s="77"/>
      <c r="L241" s="77"/>
      <c r="M241" s="77"/>
    </row>
    <row r="242" spans="1:43" ht="12.75">
      <c r="A242" s="84" t="s">
        <v>111</v>
      </c>
      <c r="B242" s="84" t="s">
        <v>207</v>
      </c>
      <c r="C242" s="84" t="s">
        <v>318</v>
      </c>
      <c r="D242" s="84" t="s">
        <v>587</v>
      </c>
      <c r="E242" s="84" t="s">
        <v>729</v>
      </c>
      <c r="F242" s="85">
        <v>385.2</v>
      </c>
      <c r="G242" s="85"/>
      <c r="H242" s="85">
        <f>F242*AE242</f>
        <v>0</v>
      </c>
      <c r="I242" s="85">
        <f>J242-H242</f>
        <v>0</v>
      </c>
      <c r="J242" s="85">
        <f>F242*G242</f>
        <v>0</v>
      </c>
      <c r="K242" s="85">
        <v>0.00032</v>
      </c>
      <c r="L242" s="85">
        <f>F242*K242</f>
        <v>0.12326400000000001</v>
      </c>
      <c r="M242" s="86" t="s">
        <v>758</v>
      </c>
      <c r="N242" s="13" t="s">
        <v>761</v>
      </c>
      <c r="O242" s="7">
        <f>IF(N242="5",I242,0)</f>
        <v>0</v>
      </c>
      <c r="Z242" s="7">
        <f>IF(AD242=0,J242,0)</f>
        <v>0</v>
      </c>
      <c r="AA242" s="7">
        <f>IF(AD242=15,J242,0)</f>
        <v>0</v>
      </c>
      <c r="AB242" s="7">
        <f>IF(AD242=21,J242,0)</f>
        <v>0</v>
      </c>
      <c r="AD242" s="16">
        <v>21</v>
      </c>
      <c r="AE242" s="16">
        <f>G242*1</f>
        <v>0</v>
      </c>
      <c r="AF242" s="16">
        <f>G242*(1-1)</f>
        <v>0</v>
      </c>
      <c r="AM242" s="16">
        <f>F242*AE242</f>
        <v>0</v>
      </c>
      <c r="AN242" s="16">
        <f>F242*AF242</f>
        <v>0</v>
      </c>
      <c r="AO242" s="17" t="s">
        <v>786</v>
      </c>
      <c r="AP242" s="17" t="s">
        <v>802</v>
      </c>
      <c r="AQ242" s="11" t="s">
        <v>809</v>
      </c>
    </row>
    <row r="243" spans="1:13" ht="12.75">
      <c r="A243" s="77"/>
      <c r="B243" s="77"/>
      <c r="C243" s="77"/>
      <c r="D243" s="78" t="s">
        <v>586</v>
      </c>
      <c r="E243" s="77"/>
      <c r="F243" s="79">
        <v>360</v>
      </c>
      <c r="G243" s="77"/>
      <c r="H243" s="77"/>
      <c r="I243" s="77"/>
      <c r="J243" s="77"/>
      <c r="K243" s="77"/>
      <c r="L243" s="77"/>
      <c r="M243" s="77"/>
    </row>
    <row r="244" spans="1:13" ht="12.75">
      <c r="A244" s="77"/>
      <c r="B244" s="77"/>
      <c r="C244" s="77"/>
      <c r="D244" s="78" t="s">
        <v>588</v>
      </c>
      <c r="E244" s="77"/>
      <c r="F244" s="79">
        <v>25.2</v>
      </c>
      <c r="G244" s="77"/>
      <c r="H244" s="77"/>
      <c r="I244" s="77"/>
      <c r="J244" s="77"/>
      <c r="K244" s="77"/>
      <c r="L244" s="77"/>
      <c r="M244" s="77"/>
    </row>
    <row r="245" spans="1:43" ht="12.75">
      <c r="A245" s="74" t="s">
        <v>112</v>
      </c>
      <c r="B245" s="74" t="s">
        <v>207</v>
      </c>
      <c r="C245" s="74" t="s">
        <v>319</v>
      </c>
      <c r="D245" s="74" t="s">
        <v>589</v>
      </c>
      <c r="E245" s="74" t="s">
        <v>729</v>
      </c>
      <c r="F245" s="75">
        <v>12</v>
      </c>
      <c r="G245" s="75"/>
      <c r="H245" s="75">
        <f>F245*AE245</f>
        <v>0</v>
      </c>
      <c r="I245" s="75">
        <f>J245-H245</f>
        <v>0</v>
      </c>
      <c r="J245" s="75">
        <f>F245*G245</f>
        <v>0</v>
      </c>
      <c r="K245" s="75">
        <v>0.00037</v>
      </c>
      <c r="L245" s="75">
        <f>F245*K245</f>
        <v>0.0044399999999999995</v>
      </c>
      <c r="M245" s="76" t="s">
        <v>758</v>
      </c>
      <c r="N245" s="12" t="s">
        <v>8</v>
      </c>
      <c r="O245" s="6">
        <f>IF(N245="5",I245,0)</f>
        <v>0</v>
      </c>
      <c r="Z245" s="6">
        <f>IF(AD245=0,J245,0)</f>
        <v>0</v>
      </c>
      <c r="AA245" s="6">
        <f>IF(AD245=15,J245,0)</f>
        <v>0</v>
      </c>
      <c r="AB245" s="6">
        <f>IF(AD245=21,J245,0)</f>
        <v>0</v>
      </c>
      <c r="AD245" s="16">
        <v>21</v>
      </c>
      <c r="AE245" s="16">
        <f>G245*0.73673640167364</f>
        <v>0</v>
      </c>
      <c r="AF245" s="16">
        <f>G245*(1-0.73673640167364)</f>
        <v>0</v>
      </c>
      <c r="AM245" s="16">
        <f>F245*AE245</f>
        <v>0</v>
      </c>
      <c r="AN245" s="16">
        <f>F245*AF245</f>
        <v>0</v>
      </c>
      <c r="AO245" s="17" t="s">
        <v>786</v>
      </c>
      <c r="AP245" s="17" t="s">
        <v>802</v>
      </c>
      <c r="AQ245" s="11" t="s">
        <v>809</v>
      </c>
    </row>
    <row r="246" spans="1:13" ht="12.75">
      <c r="A246" s="77"/>
      <c r="B246" s="77"/>
      <c r="C246" s="77"/>
      <c r="D246" s="78" t="s">
        <v>18</v>
      </c>
      <c r="E246" s="77"/>
      <c r="F246" s="79">
        <v>12</v>
      </c>
      <c r="G246" s="77"/>
      <c r="H246" s="77"/>
      <c r="I246" s="77"/>
      <c r="J246" s="77"/>
      <c r="K246" s="77"/>
      <c r="L246" s="77"/>
      <c r="M246" s="77"/>
    </row>
    <row r="247" spans="1:43" ht="12.75">
      <c r="A247" s="74" t="s">
        <v>113</v>
      </c>
      <c r="B247" s="74" t="s">
        <v>207</v>
      </c>
      <c r="C247" s="74" t="s">
        <v>320</v>
      </c>
      <c r="D247" s="74" t="s">
        <v>590</v>
      </c>
      <c r="E247" s="74" t="s">
        <v>733</v>
      </c>
      <c r="F247" s="75">
        <v>160</v>
      </c>
      <c r="G247" s="75"/>
      <c r="H247" s="75">
        <f>F247*AE247</f>
        <v>0</v>
      </c>
      <c r="I247" s="75">
        <f>J247-H247</f>
        <v>0</v>
      </c>
      <c r="J247" s="75">
        <f>F247*G247</f>
        <v>0</v>
      </c>
      <c r="K247" s="75">
        <v>0.00105</v>
      </c>
      <c r="L247" s="75">
        <f>F247*K247</f>
        <v>0.16799999999999998</v>
      </c>
      <c r="M247" s="76" t="s">
        <v>758</v>
      </c>
      <c r="N247" s="12" t="s">
        <v>8</v>
      </c>
      <c r="O247" s="6">
        <f>IF(N247="5",I247,0)</f>
        <v>0</v>
      </c>
      <c r="Z247" s="6">
        <f>IF(AD247=0,J247,0)</f>
        <v>0</v>
      </c>
      <c r="AA247" s="6">
        <f>IF(AD247=15,J247,0)</f>
        <v>0</v>
      </c>
      <c r="AB247" s="6">
        <f>IF(AD247=21,J247,0)</f>
        <v>0</v>
      </c>
      <c r="AD247" s="16">
        <v>21</v>
      </c>
      <c r="AE247" s="16">
        <f>G247*0.141945409994872</f>
        <v>0</v>
      </c>
      <c r="AF247" s="16">
        <f>G247*(1-0.141945409994872)</f>
        <v>0</v>
      </c>
      <c r="AM247" s="16">
        <f>F247*AE247</f>
        <v>0</v>
      </c>
      <c r="AN247" s="16">
        <f>F247*AF247</f>
        <v>0</v>
      </c>
      <c r="AO247" s="17" t="s">
        <v>786</v>
      </c>
      <c r="AP247" s="17" t="s">
        <v>802</v>
      </c>
      <c r="AQ247" s="11" t="s">
        <v>809</v>
      </c>
    </row>
    <row r="248" spans="1:13" ht="12.75">
      <c r="A248" s="77"/>
      <c r="B248" s="77"/>
      <c r="C248" s="77"/>
      <c r="D248" s="78" t="s">
        <v>166</v>
      </c>
      <c r="E248" s="77"/>
      <c r="F248" s="79">
        <v>160</v>
      </c>
      <c r="G248" s="77"/>
      <c r="H248" s="77"/>
      <c r="I248" s="77"/>
      <c r="J248" s="77"/>
      <c r="K248" s="77"/>
      <c r="L248" s="77"/>
      <c r="M248" s="77"/>
    </row>
    <row r="249" spans="1:43" ht="12.75">
      <c r="A249" s="74" t="s">
        <v>114</v>
      </c>
      <c r="B249" s="74" t="s">
        <v>207</v>
      </c>
      <c r="C249" s="74" t="s">
        <v>321</v>
      </c>
      <c r="D249" s="74" t="s">
        <v>591</v>
      </c>
      <c r="E249" s="74" t="s">
        <v>729</v>
      </c>
      <c r="F249" s="75">
        <v>45</v>
      </c>
      <c r="G249" s="75"/>
      <c r="H249" s="75">
        <f>F249*AE249</f>
        <v>0</v>
      </c>
      <c r="I249" s="75">
        <f>J249-H249</f>
        <v>0</v>
      </c>
      <c r="J249" s="75">
        <f>F249*G249</f>
        <v>0</v>
      </c>
      <c r="K249" s="75">
        <v>0.00014</v>
      </c>
      <c r="L249" s="75">
        <f>F249*K249</f>
        <v>0.006299999999999999</v>
      </c>
      <c r="M249" s="76" t="s">
        <v>758</v>
      </c>
      <c r="N249" s="12" t="s">
        <v>8</v>
      </c>
      <c r="O249" s="6">
        <f>IF(N249="5",I249,0)</f>
        <v>0</v>
      </c>
      <c r="Z249" s="6">
        <f>IF(AD249=0,J249,0)</f>
        <v>0</v>
      </c>
      <c r="AA249" s="6">
        <f>IF(AD249=15,J249,0)</f>
        <v>0</v>
      </c>
      <c r="AB249" s="6">
        <f>IF(AD249=21,J249,0)</f>
        <v>0</v>
      </c>
      <c r="AD249" s="16">
        <v>21</v>
      </c>
      <c r="AE249" s="16">
        <f>G249*0.341698841698842</f>
        <v>0</v>
      </c>
      <c r="AF249" s="16">
        <f>G249*(1-0.341698841698842)</f>
        <v>0</v>
      </c>
      <c r="AM249" s="16">
        <f>F249*AE249</f>
        <v>0</v>
      </c>
      <c r="AN249" s="16">
        <f>F249*AF249</f>
        <v>0</v>
      </c>
      <c r="AO249" s="17" t="s">
        <v>786</v>
      </c>
      <c r="AP249" s="17" t="s">
        <v>802</v>
      </c>
      <c r="AQ249" s="11" t="s">
        <v>809</v>
      </c>
    </row>
    <row r="250" spans="1:13" ht="12.75">
      <c r="A250" s="77"/>
      <c r="B250" s="77"/>
      <c r="C250" s="77"/>
      <c r="D250" s="78" t="s">
        <v>51</v>
      </c>
      <c r="E250" s="77"/>
      <c r="F250" s="79">
        <v>45</v>
      </c>
      <c r="G250" s="77"/>
      <c r="H250" s="77"/>
      <c r="I250" s="77"/>
      <c r="J250" s="77"/>
      <c r="K250" s="77"/>
      <c r="L250" s="77"/>
      <c r="M250" s="77"/>
    </row>
    <row r="251" spans="1:43" ht="12.75">
      <c r="A251" s="74" t="s">
        <v>115</v>
      </c>
      <c r="B251" s="74" t="s">
        <v>207</v>
      </c>
      <c r="C251" s="74" t="s">
        <v>322</v>
      </c>
      <c r="D251" s="74" t="s">
        <v>592</v>
      </c>
      <c r="E251" s="74" t="s">
        <v>729</v>
      </c>
      <c r="F251" s="75">
        <v>1285</v>
      </c>
      <c r="G251" s="75"/>
      <c r="H251" s="75">
        <f>F251*AE251</f>
        <v>0</v>
      </c>
      <c r="I251" s="75">
        <f>J251-H251</f>
        <v>0</v>
      </c>
      <c r="J251" s="75">
        <f>F251*G251</f>
        <v>0</v>
      </c>
      <c r="K251" s="75">
        <v>0.00017</v>
      </c>
      <c r="L251" s="75">
        <f>F251*K251</f>
        <v>0.21845</v>
      </c>
      <c r="M251" s="76" t="s">
        <v>758</v>
      </c>
      <c r="N251" s="12" t="s">
        <v>8</v>
      </c>
      <c r="O251" s="6">
        <f>IF(N251="5",I251,0)</f>
        <v>0</v>
      </c>
      <c r="Z251" s="6">
        <f>IF(AD251=0,J251,0)</f>
        <v>0</v>
      </c>
      <c r="AA251" s="6">
        <f>IF(AD251=15,J251,0)</f>
        <v>0</v>
      </c>
      <c r="AB251" s="6">
        <f>IF(AD251=21,J251,0)</f>
        <v>0</v>
      </c>
      <c r="AD251" s="16">
        <v>21</v>
      </c>
      <c r="AE251" s="16">
        <f>G251*0.395390070921986</f>
        <v>0</v>
      </c>
      <c r="AF251" s="16">
        <f>G251*(1-0.395390070921986)</f>
        <v>0</v>
      </c>
      <c r="AM251" s="16">
        <f>F251*AE251</f>
        <v>0</v>
      </c>
      <c r="AN251" s="16">
        <f>F251*AF251</f>
        <v>0</v>
      </c>
      <c r="AO251" s="17" t="s">
        <v>786</v>
      </c>
      <c r="AP251" s="17" t="s">
        <v>802</v>
      </c>
      <c r="AQ251" s="11" t="s">
        <v>809</v>
      </c>
    </row>
    <row r="252" spans="1:13" ht="12.75">
      <c r="A252" s="77"/>
      <c r="B252" s="77"/>
      <c r="C252" s="77"/>
      <c r="D252" s="78" t="s">
        <v>593</v>
      </c>
      <c r="E252" s="77"/>
      <c r="F252" s="79">
        <v>65</v>
      </c>
      <c r="G252" s="77"/>
      <c r="H252" s="77"/>
      <c r="I252" s="77"/>
      <c r="J252" s="77"/>
      <c r="K252" s="77"/>
      <c r="L252" s="77"/>
      <c r="M252" s="77"/>
    </row>
    <row r="253" spans="1:13" ht="12.75">
      <c r="A253" s="77"/>
      <c r="B253" s="77"/>
      <c r="C253" s="77"/>
      <c r="D253" s="78" t="s">
        <v>594</v>
      </c>
      <c r="E253" s="77"/>
      <c r="F253" s="79">
        <v>1220</v>
      </c>
      <c r="G253" s="77"/>
      <c r="H253" s="77"/>
      <c r="I253" s="77"/>
      <c r="J253" s="77"/>
      <c r="K253" s="77"/>
      <c r="L253" s="77"/>
      <c r="M253" s="77"/>
    </row>
    <row r="254" spans="1:43" ht="12.75">
      <c r="A254" s="74" t="s">
        <v>116</v>
      </c>
      <c r="B254" s="74" t="s">
        <v>207</v>
      </c>
      <c r="C254" s="74" t="s">
        <v>323</v>
      </c>
      <c r="D254" s="74" t="s">
        <v>595</v>
      </c>
      <c r="E254" s="74" t="s">
        <v>729</v>
      </c>
      <c r="F254" s="75">
        <v>20</v>
      </c>
      <c r="G254" s="75"/>
      <c r="H254" s="75">
        <f>F254*AE254</f>
        <v>0</v>
      </c>
      <c r="I254" s="75">
        <f>J254-H254</f>
        <v>0</v>
      </c>
      <c r="J254" s="75">
        <f>F254*G254</f>
        <v>0</v>
      </c>
      <c r="K254" s="75">
        <v>0.00021</v>
      </c>
      <c r="L254" s="75">
        <f>F254*K254</f>
        <v>0.004200000000000001</v>
      </c>
      <c r="M254" s="76" t="s">
        <v>758</v>
      </c>
      <c r="N254" s="12" t="s">
        <v>8</v>
      </c>
      <c r="O254" s="6">
        <f>IF(N254="5",I254,0)</f>
        <v>0</v>
      </c>
      <c r="Z254" s="6">
        <f>IF(AD254=0,J254,0)</f>
        <v>0</v>
      </c>
      <c r="AA254" s="6">
        <f>IF(AD254=15,J254,0)</f>
        <v>0</v>
      </c>
      <c r="AB254" s="6">
        <f>IF(AD254=21,J254,0)</f>
        <v>0</v>
      </c>
      <c r="AD254" s="16">
        <v>21</v>
      </c>
      <c r="AE254" s="16">
        <f>G254*0.531593406593407</f>
        <v>0</v>
      </c>
      <c r="AF254" s="16">
        <f>G254*(1-0.531593406593407)</f>
        <v>0</v>
      </c>
      <c r="AM254" s="16">
        <f>F254*AE254</f>
        <v>0</v>
      </c>
      <c r="AN254" s="16">
        <f>F254*AF254</f>
        <v>0</v>
      </c>
      <c r="AO254" s="17" t="s">
        <v>786</v>
      </c>
      <c r="AP254" s="17" t="s">
        <v>802</v>
      </c>
      <c r="AQ254" s="11" t="s">
        <v>809</v>
      </c>
    </row>
    <row r="255" spans="1:13" ht="12.75">
      <c r="A255" s="77"/>
      <c r="B255" s="77"/>
      <c r="C255" s="77"/>
      <c r="D255" s="78" t="s">
        <v>26</v>
      </c>
      <c r="E255" s="77"/>
      <c r="F255" s="79">
        <v>20</v>
      </c>
      <c r="G255" s="77"/>
      <c r="H255" s="77"/>
      <c r="I255" s="77"/>
      <c r="J255" s="77"/>
      <c r="K255" s="77"/>
      <c r="L255" s="77"/>
      <c r="M255" s="77"/>
    </row>
    <row r="256" spans="1:43" ht="12.75">
      <c r="A256" s="74" t="s">
        <v>117</v>
      </c>
      <c r="B256" s="74" t="s">
        <v>207</v>
      </c>
      <c r="C256" s="74" t="s">
        <v>324</v>
      </c>
      <c r="D256" s="74" t="s">
        <v>596</v>
      </c>
      <c r="E256" s="74" t="s">
        <v>729</v>
      </c>
      <c r="F256" s="75">
        <v>40</v>
      </c>
      <c r="G256" s="75"/>
      <c r="H256" s="75">
        <f>F256*AE256</f>
        <v>0</v>
      </c>
      <c r="I256" s="75">
        <f>J256-H256</f>
        <v>0</v>
      </c>
      <c r="J256" s="75">
        <f>F256*G256</f>
        <v>0</v>
      </c>
      <c r="K256" s="75">
        <v>0.00022</v>
      </c>
      <c r="L256" s="75">
        <f>F256*K256</f>
        <v>0.0088</v>
      </c>
      <c r="M256" s="76" t="s">
        <v>758</v>
      </c>
      <c r="N256" s="12" t="s">
        <v>8</v>
      </c>
      <c r="O256" s="6">
        <f>IF(N256="5",I256,0)</f>
        <v>0</v>
      </c>
      <c r="Z256" s="6">
        <f>IF(AD256=0,J256,0)</f>
        <v>0</v>
      </c>
      <c r="AA256" s="6">
        <f>IF(AD256=15,J256,0)</f>
        <v>0</v>
      </c>
      <c r="AB256" s="6">
        <f>IF(AD256=21,J256,0)</f>
        <v>0</v>
      </c>
      <c r="AD256" s="16">
        <v>21</v>
      </c>
      <c r="AE256" s="16">
        <f>G256*0.51699716713881</f>
        <v>0</v>
      </c>
      <c r="AF256" s="16">
        <f>G256*(1-0.51699716713881)</f>
        <v>0</v>
      </c>
      <c r="AM256" s="16">
        <f>F256*AE256</f>
        <v>0</v>
      </c>
      <c r="AN256" s="16">
        <f>F256*AF256</f>
        <v>0</v>
      </c>
      <c r="AO256" s="17" t="s">
        <v>786</v>
      </c>
      <c r="AP256" s="17" t="s">
        <v>802</v>
      </c>
      <c r="AQ256" s="11" t="s">
        <v>809</v>
      </c>
    </row>
    <row r="257" spans="1:13" ht="12.75">
      <c r="A257" s="77"/>
      <c r="B257" s="77"/>
      <c r="C257" s="77"/>
      <c r="D257" s="78" t="s">
        <v>46</v>
      </c>
      <c r="E257" s="77"/>
      <c r="F257" s="79">
        <v>40</v>
      </c>
      <c r="G257" s="77"/>
      <c r="H257" s="77"/>
      <c r="I257" s="77"/>
      <c r="J257" s="77"/>
      <c r="K257" s="77"/>
      <c r="L257" s="77"/>
      <c r="M257" s="77"/>
    </row>
    <row r="258" spans="1:43" ht="12.75">
      <c r="A258" s="74" t="s">
        <v>118</v>
      </c>
      <c r="B258" s="74" t="s">
        <v>207</v>
      </c>
      <c r="C258" s="74" t="s">
        <v>325</v>
      </c>
      <c r="D258" s="74" t="s">
        <v>597</v>
      </c>
      <c r="E258" s="74" t="s">
        <v>729</v>
      </c>
      <c r="F258" s="75">
        <v>165</v>
      </c>
      <c r="G258" s="75"/>
      <c r="H258" s="75">
        <f>F258*AE258</f>
        <v>0</v>
      </c>
      <c r="I258" s="75">
        <f>J258-H258</f>
        <v>0</v>
      </c>
      <c r="J258" s="75">
        <f>F258*G258</f>
        <v>0</v>
      </c>
      <c r="K258" s="75">
        <v>0.00032</v>
      </c>
      <c r="L258" s="75">
        <f>F258*K258</f>
        <v>0.05280000000000001</v>
      </c>
      <c r="M258" s="76" t="s">
        <v>758</v>
      </c>
      <c r="N258" s="12" t="s">
        <v>8</v>
      </c>
      <c r="O258" s="6">
        <f>IF(N258="5",I258,0)</f>
        <v>0</v>
      </c>
      <c r="Z258" s="6">
        <f>IF(AD258=0,J258,0)</f>
        <v>0</v>
      </c>
      <c r="AA258" s="6">
        <f>IF(AD258=15,J258,0)</f>
        <v>0</v>
      </c>
      <c r="AB258" s="6">
        <f>IF(AD258=21,J258,0)</f>
        <v>0</v>
      </c>
      <c r="AD258" s="16">
        <v>21</v>
      </c>
      <c r="AE258" s="16">
        <f>G258*0.634903640256959</f>
        <v>0</v>
      </c>
      <c r="AF258" s="16">
        <f>G258*(1-0.634903640256959)</f>
        <v>0</v>
      </c>
      <c r="AM258" s="16">
        <f>F258*AE258</f>
        <v>0</v>
      </c>
      <c r="AN258" s="16">
        <f>F258*AF258</f>
        <v>0</v>
      </c>
      <c r="AO258" s="17" t="s">
        <v>786</v>
      </c>
      <c r="AP258" s="17" t="s">
        <v>802</v>
      </c>
      <c r="AQ258" s="11" t="s">
        <v>809</v>
      </c>
    </row>
    <row r="259" spans="1:13" ht="12.75">
      <c r="A259" s="77"/>
      <c r="B259" s="77"/>
      <c r="C259" s="77"/>
      <c r="D259" s="78" t="s">
        <v>171</v>
      </c>
      <c r="E259" s="77"/>
      <c r="F259" s="79">
        <v>165</v>
      </c>
      <c r="G259" s="77"/>
      <c r="H259" s="77"/>
      <c r="I259" s="77"/>
      <c r="J259" s="77"/>
      <c r="K259" s="77"/>
      <c r="L259" s="77"/>
      <c r="M259" s="77"/>
    </row>
    <row r="260" spans="1:43" ht="12.75">
      <c r="A260" s="74" t="s">
        <v>119</v>
      </c>
      <c r="B260" s="74" t="s">
        <v>207</v>
      </c>
      <c r="C260" s="74" t="s">
        <v>326</v>
      </c>
      <c r="D260" s="74" t="s">
        <v>598</v>
      </c>
      <c r="E260" s="74" t="s">
        <v>729</v>
      </c>
      <c r="F260" s="75">
        <v>16</v>
      </c>
      <c r="G260" s="75"/>
      <c r="H260" s="75">
        <f>F260*AE260</f>
        <v>0</v>
      </c>
      <c r="I260" s="75">
        <f>J260-H260</f>
        <v>0</v>
      </c>
      <c r="J260" s="75">
        <f>F260*G260</f>
        <v>0</v>
      </c>
      <c r="K260" s="75">
        <v>0.00043</v>
      </c>
      <c r="L260" s="75">
        <f>F260*K260</f>
        <v>0.00688</v>
      </c>
      <c r="M260" s="76" t="s">
        <v>758</v>
      </c>
      <c r="N260" s="12" t="s">
        <v>8</v>
      </c>
      <c r="O260" s="6">
        <f>IF(N260="5",I260,0)</f>
        <v>0</v>
      </c>
      <c r="Z260" s="6">
        <f>IF(AD260=0,J260,0)</f>
        <v>0</v>
      </c>
      <c r="AA260" s="6">
        <f>IF(AD260=15,J260,0)</f>
        <v>0</v>
      </c>
      <c r="AB260" s="6">
        <f>IF(AD260=21,J260,0)</f>
        <v>0</v>
      </c>
      <c r="AD260" s="16">
        <v>21</v>
      </c>
      <c r="AE260" s="16">
        <f>G260*0.721911321566939</f>
        <v>0</v>
      </c>
      <c r="AF260" s="16">
        <f>G260*(1-0.721911321566939)</f>
        <v>0</v>
      </c>
      <c r="AM260" s="16">
        <f>F260*AE260</f>
        <v>0</v>
      </c>
      <c r="AN260" s="16">
        <f>F260*AF260</f>
        <v>0</v>
      </c>
      <c r="AO260" s="17" t="s">
        <v>786</v>
      </c>
      <c r="AP260" s="17" t="s">
        <v>802</v>
      </c>
      <c r="AQ260" s="11" t="s">
        <v>809</v>
      </c>
    </row>
    <row r="261" spans="1:13" ht="12.75">
      <c r="A261" s="77"/>
      <c r="B261" s="77"/>
      <c r="C261" s="77"/>
      <c r="D261" s="78" t="s">
        <v>22</v>
      </c>
      <c r="E261" s="77"/>
      <c r="F261" s="79">
        <v>16</v>
      </c>
      <c r="G261" s="77"/>
      <c r="H261" s="77"/>
      <c r="I261" s="77"/>
      <c r="J261" s="77"/>
      <c r="K261" s="77"/>
      <c r="L261" s="77"/>
      <c r="M261" s="77"/>
    </row>
    <row r="262" spans="1:43" ht="12.75">
      <c r="A262" s="74" t="s">
        <v>120</v>
      </c>
      <c r="B262" s="74" t="s">
        <v>207</v>
      </c>
      <c r="C262" s="74" t="s">
        <v>327</v>
      </c>
      <c r="D262" s="74" t="s">
        <v>599</v>
      </c>
      <c r="E262" s="74" t="s">
        <v>729</v>
      </c>
      <c r="F262" s="75">
        <v>85</v>
      </c>
      <c r="G262" s="75"/>
      <c r="H262" s="75">
        <f>F262*AE262</f>
        <v>0</v>
      </c>
      <c r="I262" s="75">
        <f>J262-H262</f>
        <v>0</v>
      </c>
      <c r="J262" s="75">
        <f>F262*G262</f>
        <v>0</v>
      </c>
      <c r="K262" s="75">
        <v>0.00064</v>
      </c>
      <c r="L262" s="75">
        <f>F262*K262</f>
        <v>0.054400000000000004</v>
      </c>
      <c r="M262" s="76" t="s">
        <v>758</v>
      </c>
      <c r="N262" s="12" t="s">
        <v>8</v>
      </c>
      <c r="O262" s="6">
        <f>IF(N262="5",I262,0)</f>
        <v>0</v>
      </c>
      <c r="Z262" s="6">
        <f>IF(AD262=0,J262,0)</f>
        <v>0</v>
      </c>
      <c r="AA262" s="6">
        <f>IF(AD262=15,J262,0)</f>
        <v>0</v>
      </c>
      <c r="AB262" s="6">
        <f>IF(AD262=21,J262,0)</f>
        <v>0</v>
      </c>
      <c r="AD262" s="16">
        <v>21</v>
      </c>
      <c r="AE262" s="16">
        <f>G262*0.710597014925373</f>
        <v>0</v>
      </c>
      <c r="AF262" s="16">
        <f>G262*(1-0.710597014925373)</f>
        <v>0</v>
      </c>
      <c r="AM262" s="16">
        <f>F262*AE262</f>
        <v>0</v>
      </c>
      <c r="AN262" s="16">
        <f>F262*AF262</f>
        <v>0</v>
      </c>
      <c r="AO262" s="17" t="s">
        <v>786</v>
      </c>
      <c r="AP262" s="17" t="s">
        <v>802</v>
      </c>
      <c r="AQ262" s="11" t="s">
        <v>809</v>
      </c>
    </row>
    <row r="263" spans="1:13" ht="12.75">
      <c r="A263" s="77"/>
      <c r="B263" s="77"/>
      <c r="C263" s="77"/>
      <c r="D263" s="78" t="s">
        <v>91</v>
      </c>
      <c r="E263" s="77"/>
      <c r="F263" s="79">
        <v>85</v>
      </c>
      <c r="G263" s="77"/>
      <c r="H263" s="77"/>
      <c r="I263" s="77"/>
      <c r="J263" s="77"/>
      <c r="K263" s="77"/>
      <c r="L263" s="77"/>
      <c r="M263" s="77"/>
    </row>
    <row r="264" spans="1:43" ht="12.75">
      <c r="A264" s="74" t="s">
        <v>121</v>
      </c>
      <c r="B264" s="74" t="s">
        <v>207</v>
      </c>
      <c r="C264" s="74" t="s">
        <v>328</v>
      </c>
      <c r="D264" s="74" t="s">
        <v>600</v>
      </c>
      <c r="E264" s="74" t="s">
        <v>729</v>
      </c>
      <c r="F264" s="75">
        <v>18</v>
      </c>
      <c r="G264" s="75"/>
      <c r="H264" s="75">
        <f>F264*AE264</f>
        <v>0</v>
      </c>
      <c r="I264" s="75">
        <f>J264-H264</f>
        <v>0</v>
      </c>
      <c r="J264" s="75">
        <f>F264*G264</f>
        <v>0</v>
      </c>
      <c r="K264" s="75">
        <v>0</v>
      </c>
      <c r="L264" s="75">
        <f>F264*K264</f>
        <v>0</v>
      </c>
      <c r="M264" s="76" t="s">
        <v>758</v>
      </c>
      <c r="N264" s="12" t="s">
        <v>8</v>
      </c>
      <c r="O264" s="6">
        <f>IF(N264="5",I264,0)</f>
        <v>0</v>
      </c>
      <c r="Z264" s="6">
        <f>IF(AD264=0,J264,0)</f>
        <v>0</v>
      </c>
      <c r="AA264" s="6">
        <f>IF(AD264=15,J264,0)</f>
        <v>0</v>
      </c>
      <c r="AB264" s="6">
        <f>IF(AD264=21,J264,0)</f>
        <v>0</v>
      </c>
      <c r="AD264" s="16">
        <v>21</v>
      </c>
      <c r="AE264" s="16">
        <f>G264*0</f>
        <v>0</v>
      </c>
      <c r="AF264" s="16">
        <f>G264*(1-0)</f>
        <v>0</v>
      </c>
      <c r="AM264" s="16">
        <f>F264*AE264</f>
        <v>0</v>
      </c>
      <c r="AN264" s="16">
        <f>F264*AF264</f>
        <v>0</v>
      </c>
      <c r="AO264" s="17" t="s">
        <v>786</v>
      </c>
      <c r="AP264" s="17" t="s">
        <v>802</v>
      </c>
      <c r="AQ264" s="11" t="s">
        <v>809</v>
      </c>
    </row>
    <row r="265" spans="1:13" ht="12.75">
      <c r="A265" s="77"/>
      <c r="B265" s="77"/>
      <c r="C265" s="77"/>
      <c r="D265" s="78" t="s">
        <v>24</v>
      </c>
      <c r="E265" s="77"/>
      <c r="F265" s="79">
        <v>18</v>
      </c>
      <c r="G265" s="77"/>
      <c r="H265" s="77"/>
      <c r="I265" s="77"/>
      <c r="J265" s="77"/>
      <c r="K265" s="77"/>
      <c r="L265" s="77"/>
      <c r="M265" s="77"/>
    </row>
    <row r="266" spans="1:43" ht="12.75">
      <c r="A266" s="84" t="s">
        <v>122</v>
      </c>
      <c r="B266" s="84" t="s">
        <v>207</v>
      </c>
      <c r="C266" s="84" t="s">
        <v>329</v>
      </c>
      <c r="D266" s="84" t="s">
        <v>601</v>
      </c>
      <c r="E266" s="84" t="s">
        <v>729</v>
      </c>
      <c r="F266" s="85">
        <v>19.26</v>
      </c>
      <c r="G266" s="85"/>
      <c r="H266" s="85">
        <f>F266*AE266</f>
        <v>0</v>
      </c>
      <c r="I266" s="85">
        <f>J266-H266</f>
        <v>0</v>
      </c>
      <c r="J266" s="85">
        <f>F266*G266</f>
        <v>0</v>
      </c>
      <c r="K266" s="85">
        <v>0.00011</v>
      </c>
      <c r="L266" s="85">
        <f>F266*K266</f>
        <v>0.0021186000000000004</v>
      </c>
      <c r="M266" s="86" t="s">
        <v>758</v>
      </c>
      <c r="N266" s="13" t="s">
        <v>761</v>
      </c>
      <c r="O266" s="7">
        <f>IF(N266="5",I266,0)</f>
        <v>0</v>
      </c>
      <c r="Z266" s="7">
        <f>IF(AD266=0,J266,0)</f>
        <v>0</v>
      </c>
      <c r="AA266" s="7">
        <f>IF(AD266=15,J266,0)</f>
        <v>0</v>
      </c>
      <c r="AB266" s="7">
        <f>IF(AD266=21,J266,0)</f>
        <v>0</v>
      </c>
      <c r="AD266" s="16">
        <v>21</v>
      </c>
      <c r="AE266" s="16">
        <f>G266*1</f>
        <v>0</v>
      </c>
      <c r="AF266" s="16">
        <f>G266*(1-1)</f>
        <v>0</v>
      </c>
      <c r="AM266" s="16">
        <f>F266*AE266</f>
        <v>0</v>
      </c>
      <c r="AN266" s="16">
        <f>F266*AF266</f>
        <v>0</v>
      </c>
      <c r="AO266" s="17" t="s">
        <v>786</v>
      </c>
      <c r="AP266" s="17" t="s">
        <v>802</v>
      </c>
      <c r="AQ266" s="11" t="s">
        <v>809</v>
      </c>
    </row>
    <row r="267" spans="1:13" ht="12.75">
      <c r="A267" s="77"/>
      <c r="B267" s="77"/>
      <c r="C267" s="77"/>
      <c r="D267" s="78" t="s">
        <v>24</v>
      </c>
      <c r="E267" s="77"/>
      <c r="F267" s="79">
        <v>18</v>
      </c>
      <c r="G267" s="77"/>
      <c r="H267" s="77"/>
      <c r="I267" s="77"/>
      <c r="J267" s="77"/>
      <c r="K267" s="77"/>
      <c r="L267" s="77"/>
      <c r="M267" s="77"/>
    </row>
    <row r="268" spans="1:13" ht="12.75">
      <c r="A268" s="77"/>
      <c r="B268" s="77"/>
      <c r="C268" s="77"/>
      <c r="D268" s="78" t="s">
        <v>602</v>
      </c>
      <c r="E268" s="77"/>
      <c r="F268" s="79">
        <v>1.26</v>
      </c>
      <c r="G268" s="77"/>
      <c r="H268" s="77"/>
      <c r="I268" s="77"/>
      <c r="J268" s="77"/>
      <c r="K268" s="77"/>
      <c r="L268" s="77"/>
      <c r="M268" s="77"/>
    </row>
    <row r="269" spans="1:43" ht="12.75">
      <c r="A269" s="74" t="s">
        <v>123</v>
      </c>
      <c r="B269" s="74" t="s">
        <v>207</v>
      </c>
      <c r="C269" s="74" t="s">
        <v>330</v>
      </c>
      <c r="D269" s="74" t="s">
        <v>603</v>
      </c>
      <c r="E269" s="74" t="s">
        <v>729</v>
      </c>
      <c r="F269" s="75">
        <v>18</v>
      </c>
      <c r="G269" s="75"/>
      <c r="H269" s="75">
        <f>F269*AE269</f>
        <v>0</v>
      </c>
      <c r="I269" s="75">
        <f>J269-H269</f>
        <v>0</v>
      </c>
      <c r="J269" s="75">
        <f>F269*G269</f>
        <v>0</v>
      </c>
      <c r="K269" s="75">
        <v>0</v>
      </c>
      <c r="L269" s="75">
        <f>F269*K269</f>
        <v>0</v>
      </c>
      <c r="M269" s="76" t="s">
        <v>758</v>
      </c>
      <c r="N269" s="12" t="s">
        <v>8</v>
      </c>
      <c r="O269" s="6">
        <f>IF(N269="5",I269,0)</f>
        <v>0</v>
      </c>
      <c r="Z269" s="6">
        <f>IF(AD269=0,J269,0)</f>
        <v>0</v>
      </c>
      <c r="AA269" s="6">
        <f>IF(AD269=15,J269,0)</f>
        <v>0</v>
      </c>
      <c r="AB269" s="6">
        <f>IF(AD269=21,J269,0)</f>
        <v>0</v>
      </c>
      <c r="AD269" s="16">
        <v>21</v>
      </c>
      <c r="AE269" s="16">
        <f>G269*0</f>
        <v>0</v>
      </c>
      <c r="AF269" s="16">
        <f>G269*(1-0)</f>
        <v>0</v>
      </c>
      <c r="AM269" s="16">
        <f>F269*AE269</f>
        <v>0</v>
      </c>
      <c r="AN269" s="16">
        <f>F269*AF269</f>
        <v>0</v>
      </c>
      <c r="AO269" s="17" t="s">
        <v>786</v>
      </c>
      <c r="AP269" s="17" t="s">
        <v>802</v>
      </c>
      <c r="AQ269" s="11" t="s">
        <v>809</v>
      </c>
    </row>
    <row r="270" spans="1:13" ht="12.75">
      <c r="A270" s="77"/>
      <c r="B270" s="77"/>
      <c r="C270" s="77"/>
      <c r="D270" s="78" t="s">
        <v>24</v>
      </c>
      <c r="E270" s="77"/>
      <c r="F270" s="79">
        <v>18</v>
      </c>
      <c r="G270" s="77"/>
      <c r="H270" s="77"/>
      <c r="I270" s="77"/>
      <c r="J270" s="77"/>
      <c r="K270" s="77"/>
      <c r="L270" s="77"/>
      <c r="M270" s="77"/>
    </row>
    <row r="271" spans="1:43" ht="12.75">
      <c r="A271" s="84" t="s">
        <v>124</v>
      </c>
      <c r="B271" s="84" t="s">
        <v>207</v>
      </c>
      <c r="C271" s="84" t="s">
        <v>331</v>
      </c>
      <c r="D271" s="84" t="s">
        <v>604</v>
      </c>
      <c r="E271" s="84" t="s">
        <v>729</v>
      </c>
      <c r="F271" s="85">
        <v>19.26</v>
      </c>
      <c r="G271" s="85"/>
      <c r="H271" s="85">
        <f>F271*AE271</f>
        <v>0</v>
      </c>
      <c r="I271" s="85">
        <f>J271-H271</f>
        <v>0</v>
      </c>
      <c r="J271" s="85">
        <f>F271*G271</f>
        <v>0</v>
      </c>
      <c r="K271" s="85">
        <v>0.00012</v>
      </c>
      <c r="L271" s="85">
        <f>F271*K271</f>
        <v>0.0023112000000000002</v>
      </c>
      <c r="M271" s="86" t="s">
        <v>758</v>
      </c>
      <c r="N271" s="13" t="s">
        <v>761</v>
      </c>
      <c r="O271" s="7">
        <f>IF(N271="5",I271,0)</f>
        <v>0</v>
      </c>
      <c r="Z271" s="7">
        <f>IF(AD271=0,J271,0)</f>
        <v>0</v>
      </c>
      <c r="AA271" s="7">
        <f>IF(AD271=15,J271,0)</f>
        <v>0</v>
      </c>
      <c r="AB271" s="7">
        <f>IF(AD271=21,J271,0)</f>
        <v>0</v>
      </c>
      <c r="AD271" s="16">
        <v>21</v>
      </c>
      <c r="AE271" s="16">
        <f>G271*1</f>
        <v>0</v>
      </c>
      <c r="AF271" s="16">
        <f>G271*(1-1)</f>
        <v>0</v>
      </c>
      <c r="AM271" s="16">
        <f>F271*AE271</f>
        <v>0</v>
      </c>
      <c r="AN271" s="16">
        <f>F271*AF271</f>
        <v>0</v>
      </c>
      <c r="AO271" s="17" t="s">
        <v>786</v>
      </c>
      <c r="AP271" s="17" t="s">
        <v>802</v>
      </c>
      <c r="AQ271" s="11" t="s">
        <v>809</v>
      </c>
    </row>
    <row r="272" spans="1:13" ht="12.75">
      <c r="A272" s="77"/>
      <c r="B272" s="77"/>
      <c r="C272" s="77"/>
      <c r="D272" s="78" t="s">
        <v>24</v>
      </c>
      <c r="E272" s="77"/>
      <c r="F272" s="79">
        <v>18</v>
      </c>
      <c r="G272" s="77"/>
      <c r="H272" s="77"/>
      <c r="I272" s="77"/>
      <c r="J272" s="77"/>
      <c r="K272" s="77"/>
      <c r="L272" s="77"/>
      <c r="M272" s="77"/>
    </row>
    <row r="273" spans="1:13" ht="12.75">
      <c r="A273" s="77"/>
      <c r="B273" s="77"/>
      <c r="C273" s="77"/>
      <c r="D273" s="78" t="s">
        <v>602</v>
      </c>
      <c r="E273" s="77"/>
      <c r="F273" s="79">
        <v>1.26</v>
      </c>
      <c r="G273" s="77"/>
      <c r="H273" s="77"/>
      <c r="I273" s="77"/>
      <c r="J273" s="77"/>
      <c r="K273" s="77"/>
      <c r="L273" s="77"/>
      <c r="M273" s="77"/>
    </row>
    <row r="274" spans="1:43" ht="12.75">
      <c r="A274" s="74" t="s">
        <v>125</v>
      </c>
      <c r="B274" s="74" t="s">
        <v>207</v>
      </c>
      <c r="C274" s="74" t="s">
        <v>332</v>
      </c>
      <c r="D274" s="74" t="s">
        <v>605</v>
      </c>
      <c r="E274" s="74" t="s">
        <v>729</v>
      </c>
      <c r="F274" s="75">
        <v>135</v>
      </c>
      <c r="G274" s="75"/>
      <c r="H274" s="75">
        <f>F274*AE274</f>
        <v>0</v>
      </c>
      <c r="I274" s="75">
        <f>J274-H274</f>
        <v>0</v>
      </c>
      <c r="J274" s="75">
        <f>F274*G274</f>
        <v>0</v>
      </c>
      <c r="K274" s="75">
        <v>0</v>
      </c>
      <c r="L274" s="75">
        <f>F274*K274</f>
        <v>0</v>
      </c>
      <c r="M274" s="76" t="s">
        <v>758</v>
      </c>
      <c r="N274" s="12" t="s">
        <v>8</v>
      </c>
      <c r="O274" s="6">
        <f>IF(N274="5",I274,0)</f>
        <v>0</v>
      </c>
      <c r="Z274" s="6">
        <f>IF(AD274=0,J274,0)</f>
        <v>0</v>
      </c>
      <c r="AA274" s="6">
        <f>IF(AD274=15,J274,0)</f>
        <v>0</v>
      </c>
      <c r="AB274" s="6">
        <f>IF(AD274=21,J274,0)</f>
        <v>0</v>
      </c>
      <c r="AD274" s="16">
        <v>21</v>
      </c>
      <c r="AE274" s="16">
        <f>G274*0.399033149171271</f>
        <v>0</v>
      </c>
      <c r="AF274" s="16">
        <f>G274*(1-0.399033149171271)</f>
        <v>0</v>
      </c>
      <c r="AM274" s="16">
        <f>F274*AE274</f>
        <v>0</v>
      </c>
      <c r="AN274" s="16">
        <f>F274*AF274</f>
        <v>0</v>
      </c>
      <c r="AO274" s="17" t="s">
        <v>786</v>
      </c>
      <c r="AP274" s="17" t="s">
        <v>802</v>
      </c>
      <c r="AQ274" s="11" t="s">
        <v>809</v>
      </c>
    </row>
    <row r="275" spans="1:13" ht="12.75">
      <c r="A275" s="77"/>
      <c r="B275" s="77"/>
      <c r="C275" s="77"/>
      <c r="D275" s="78" t="s">
        <v>141</v>
      </c>
      <c r="E275" s="77"/>
      <c r="F275" s="79">
        <v>135</v>
      </c>
      <c r="G275" s="77"/>
      <c r="H275" s="77"/>
      <c r="I275" s="77"/>
      <c r="J275" s="77"/>
      <c r="K275" s="77"/>
      <c r="L275" s="77"/>
      <c r="M275" s="77"/>
    </row>
    <row r="276" spans="1:43" ht="12.75">
      <c r="A276" s="74" t="s">
        <v>126</v>
      </c>
      <c r="B276" s="74" t="s">
        <v>207</v>
      </c>
      <c r="C276" s="74" t="s">
        <v>333</v>
      </c>
      <c r="D276" s="74" t="s">
        <v>606</v>
      </c>
      <c r="E276" s="74" t="s">
        <v>729</v>
      </c>
      <c r="F276" s="75">
        <v>35</v>
      </c>
      <c r="G276" s="75"/>
      <c r="H276" s="75">
        <f>F276*AE276</f>
        <v>0</v>
      </c>
      <c r="I276" s="75">
        <f>J276-H276</f>
        <v>0</v>
      </c>
      <c r="J276" s="75">
        <f>F276*G276</f>
        <v>0</v>
      </c>
      <c r="K276" s="75">
        <v>0</v>
      </c>
      <c r="L276" s="75">
        <f>F276*K276</f>
        <v>0</v>
      </c>
      <c r="M276" s="76" t="s">
        <v>758</v>
      </c>
      <c r="N276" s="12" t="s">
        <v>8</v>
      </c>
      <c r="O276" s="6">
        <f>IF(N276="5",I276,0)</f>
        <v>0</v>
      </c>
      <c r="Z276" s="6">
        <f>IF(AD276=0,J276,0)</f>
        <v>0</v>
      </c>
      <c r="AA276" s="6">
        <f>IF(AD276=15,J276,0)</f>
        <v>0</v>
      </c>
      <c r="AB276" s="6">
        <f>IF(AD276=21,J276,0)</f>
        <v>0</v>
      </c>
      <c r="AD276" s="16">
        <v>21</v>
      </c>
      <c r="AE276" s="16">
        <f>G276*0.355161290322581</f>
        <v>0</v>
      </c>
      <c r="AF276" s="16">
        <f>G276*(1-0.355161290322581)</f>
        <v>0</v>
      </c>
      <c r="AM276" s="16">
        <f>F276*AE276</f>
        <v>0</v>
      </c>
      <c r="AN276" s="16">
        <f>F276*AF276</f>
        <v>0</v>
      </c>
      <c r="AO276" s="17" t="s">
        <v>786</v>
      </c>
      <c r="AP276" s="17" t="s">
        <v>802</v>
      </c>
      <c r="AQ276" s="11" t="s">
        <v>809</v>
      </c>
    </row>
    <row r="277" spans="1:13" ht="12.75">
      <c r="A277" s="77"/>
      <c r="B277" s="77"/>
      <c r="C277" s="77"/>
      <c r="D277" s="78" t="s">
        <v>41</v>
      </c>
      <c r="E277" s="77"/>
      <c r="F277" s="79">
        <v>35</v>
      </c>
      <c r="G277" s="77"/>
      <c r="H277" s="77"/>
      <c r="I277" s="77"/>
      <c r="J277" s="77"/>
      <c r="K277" s="77"/>
      <c r="L277" s="77"/>
      <c r="M277" s="77"/>
    </row>
    <row r="278" spans="1:43" ht="12.75">
      <c r="A278" s="74" t="s">
        <v>127</v>
      </c>
      <c r="B278" s="74" t="s">
        <v>207</v>
      </c>
      <c r="C278" s="74" t="s">
        <v>334</v>
      </c>
      <c r="D278" s="74" t="s">
        <v>607</v>
      </c>
      <c r="E278" s="74" t="s">
        <v>729</v>
      </c>
      <c r="F278" s="75">
        <v>310</v>
      </c>
      <c r="G278" s="75"/>
      <c r="H278" s="75">
        <f>F278*AE278</f>
        <v>0</v>
      </c>
      <c r="I278" s="75">
        <f>J278-H278</f>
        <v>0</v>
      </c>
      <c r="J278" s="75">
        <f>F278*G278</f>
        <v>0</v>
      </c>
      <c r="K278" s="75">
        <v>0.00116</v>
      </c>
      <c r="L278" s="75">
        <f>F278*K278</f>
        <v>0.3596</v>
      </c>
      <c r="M278" s="76" t="s">
        <v>758</v>
      </c>
      <c r="N278" s="12" t="s">
        <v>8</v>
      </c>
      <c r="O278" s="6">
        <f>IF(N278="5",I278,0)</f>
        <v>0</v>
      </c>
      <c r="Z278" s="6">
        <f>IF(AD278=0,J278,0)</f>
        <v>0</v>
      </c>
      <c r="AA278" s="6">
        <f>IF(AD278=15,J278,0)</f>
        <v>0</v>
      </c>
      <c r="AB278" s="6">
        <f>IF(AD278=21,J278,0)</f>
        <v>0</v>
      </c>
      <c r="AD278" s="16">
        <v>21</v>
      </c>
      <c r="AE278" s="16">
        <f>G278*0.412058823529412</f>
        <v>0</v>
      </c>
      <c r="AF278" s="16">
        <f>G278*(1-0.412058823529412)</f>
        <v>0</v>
      </c>
      <c r="AM278" s="16">
        <f>F278*AE278</f>
        <v>0</v>
      </c>
      <c r="AN278" s="16">
        <f>F278*AF278</f>
        <v>0</v>
      </c>
      <c r="AO278" s="17" t="s">
        <v>786</v>
      </c>
      <c r="AP278" s="17" t="s">
        <v>802</v>
      </c>
      <c r="AQ278" s="11" t="s">
        <v>809</v>
      </c>
    </row>
    <row r="279" spans="1:13" ht="12.75">
      <c r="A279" s="77"/>
      <c r="B279" s="77"/>
      <c r="C279" s="77"/>
      <c r="D279" s="78" t="s">
        <v>608</v>
      </c>
      <c r="E279" s="77"/>
      <c r="F279" s="79">
        <v>310</v>
      </c>
      <c r="G279" s="77"/>
      <c r="H279" s="77"/>
      <c r="I279" s="77"/>
      <c r="J279" s="77"/>
      <c r="K279" s="77"/>
      <c r="L279" s="77"/>
      <c r="M279" s="77"/>
    </row>
    <row r="280" spans="1:43" ht="12.75">
      <c r="A280" s="74" t="s">
        <v>128</v>
      </c>
      <c r="B280" s="74" t="s">
        <v>207</v>
      </c>
      <c r="C280" s="74" t="s">
        <v>335</v>
      </c>
      <c r="D280" s="74" t="s">
        <v>609</v>
      </c>
      <c r="E280" s="74" t="s">
        <v>733</v>
      </c>
      <c r="F280" s="75">
        <v>9</v>
      </c>
      <c r="G280" s="75"/>
      <c r="H280" s="75">
        <f>F280*AE280</f>
        <v>0</v>
      </c>
      <c r="I280" s="75">
        <f>J280-H280</f>
        <v>0</v>
      </c>
      <c r="J280" s="75">
        <f>F280*G280</f>
        <v>0</v>
      </c>
      <c r="K280" s="75">
        <v>0</v>
      </c>
      <c r="L280" s="75">
        <f>F280*K280</f>
        <v>0</v>
      </c>
      <c r="M280" s="76" t="s">
        <v>758</v>
      </c>
      <c r="N280" s="12" t="s">
        <v>8</v>
      </c>
      <c r="O280" s="6">
        <f>IF(N280="5",I280,0)</f>
        <v>0</v>
      </c>
      <c r="Z280" s="6">
        <f>IF(AD280=0,J280,0)</f>
        <v>0</v>
      </c>
      <c r="AA280" s="6">
        <f>IF(AD280=15,J280,0)</f>
        <v>0</v>
      </c>
      <c r="AB280" s="6">
        <f>IF(AD280=21,J280,0)</f>
        <v>0</v>
      </c>
      <c r="AD280" s="16">
        <v>21</v>
      </c>
      <c r="AE280" s="16">
        <f>G280*0.325123966942149</f>
        <v>0</v>
      </c>
      <c r="AF280" s="16">
        <f>G280*(1-0.325123966942149)</f>
        <v>0</v>
      </c>
      <c r="AM280" s="16">
        <f>F280*AE280</f>
        <v>0</v>
      </c>
      <c r="AN280" s="16">
        <f>F280*AF280</f>
        <v>0</v>
      </c>
      <c r="AO280" s="17" t="s">
        <v>786</v>
      </c>
      <c r="AP280" s="17" t="s">
        <v>802</v>
      </c>
      <c r="AQ280" s="11" t="s">
        <v>809</v>
      </c>
    </row>
    <row r="281" spans="1:13" ht="12.75">
      <c r="A281" s="77"/>
      <c r="B281" s="77"/>
      <c r="C281" s="77"/>
      <c r="D281" s="78" t="s">
        <v>15</v>
      </c>
      <c r="E281" s="77"/>
      <c r="F281" s="79">
        <v>9</v>
      </c>
      <c r="G281" s="77"/>
      <c r="H281" s="77"/>
      <c r="I281" s="77"/>
      <c r="J281" s="77"/>
      <c r="K281" s="77"/>
      <c r="L281" s="77"/>
      <c r="M281" s="77"/>
    </row>
    <row r="282" spans="1:43" ht="12.75">
      <c r="A282" s="74" t="s">
        <v>129</v>
      </c>
      <c r="B282" s="74" t="s">
        <v>207</v>
      </c>
      <c r="C282" s="74" t="s">
        <v>336</v>
      </c>
      <c r="D282" s="74" t="s">
        <v>610</v>
      </c>
      <c r="E282" s="74" t="s">
        <v>733</v>
      </c>
      <c r="F282" s="75">
        <v>24</v>
      </c>
      <c r="G282" s="75"/>
      <c r="H282" s="75">
        <f>F282*AE282</f>
        <v>0</v>
      </c>
      <c r="I282" s="75">
        <f>J282-H282</f>
        <v>0</v>
      </c>
      <c r="J282" s="75">
        <f>F282*G282</f>
        <v>0</v>
      </c>
      <c r="K282" s="75">
        <v>0</v>
      </c>
      <c r="L282" s="75">
        <f>F282*K282</f>
        <v>0</v>
      </c>
      <c r="M282" s="76" t="s">
        <v>758</v>
      </c>
      <c r="N282" s="12" t="s">
        <v>8</v>
      </c>
      <c r="O282" s="6">
        <f>IF(N282="5",I282,0)</f>
        <v>0</v>
      </c>
      <c r="Z282" s="6">
        <f>IF(AD282=0,J282,0)</f>
        <v>0</v>
      </c>
      <c r="AA282" s="6">
        <f>IF(AD282=15,J282,0)</f>
        <v>0</v>
      </c>
      <c r="AB282" s="6">
        <f>IF(AD282=21,J282,0)</f>
        <v>0</v>
      </c>
      <c r="AD282" s="16">
        <v>21</v>
      </c>
      <c r="AE282" s="16">
        <f>G282*0.0966814159292035</f>
        <v>0</v>
      </c>
      <c r="AF282" s="16">
        <f>G282*(1-0.0966814159292035)</f>
        <v>0</v>
      </c>
      <c r="AM282" s="16">
        <f>F282*AE282</f>
        <v>0</v>
      </c>
      <c r="AN282" s="16">
        <f>F282*AF282</f>
        <v>0</v>
      </c>
      <c r="AO282" s="17" t="s">
        <v>786</v>
      </c>
      <c r="AP282" s="17" t="s">
        <v>802</v>
      </c>
      <c r="AQ282" s="11" t="s">
        <v>809</v>
      </c>
    </row>
    <row r="283" spans="1:13" ht="12.75">
      <c r="A283" s="77"/>
      <c r="B283" s="77"/>
      <c r="C283" s="77"/>
      <c r="D283" s="78" t="s">
        <v>30</v>
      </c>
      <c r="E283" s="77"/>
      <c r="F283" s="79">
        <v>24</v>
      </c>
      <c r="G283" s="77"/>
      <c r="H283" s="77"/>
      <c r="I283" s="77"/>
      <c r="J283" s="77"/>
      <c r="K283" s="77"/>
      <c r="L283" s="77"/>
      <c r="M283" s="77"/>
    </row>
    <row r="284" spans="1:43" ht="12.75">
      <c r="A284" s="74" t="s">
        <v>130</v>
      </c>
      <c r="B284" s="74" t="s">
        <v>207</v>
      </c>
      <c r="C284" s="74" t="s">
        <v>337</v>
      </c>
      <c r="D284" s="74" t="s">
        <v>611</v>
      </c>
      <c r="E284" s="74" t="s">
        <v>733</v>
      </c>
      <c r="F284" s="75">
        <v>6</v>
      </c>
      <c r="G284" s="75"/>
      <c r="H284" s="75">
        <f>F284*AE284</f>
        <v>0</v>
      </c>
      <c r="I284" s="75">
        <f>J284-H284</f>
        <v>0</v>
      </c>
      <c r="J284" s="75">
        <f>F284*G284</f>
        <v>0</v>
      </c>
      <c r="K284" s="75">
        <v>0</v>
      </c>
      <c r="L284" s="75">
        <f>F284*K284</f>
        <v>0</v>
      </c>
      <c r="M284" s="76" t="s">
        <v>758</v>
      </c>
      <c r="N284" s="12" t="s">
        <v>8</v>
      </c>
      <c r="O284" s="6">
        <f>IF(N284="5",I284,0)</f>
        <v>0</v>
      </c>
      <c r="Z284" s="6">
        <f>IF(AD284=0,J284,0)</f>
        <v>0</v>
      </c>
      <c r="AA284" s="6">
        <f>IF(AD284=15,J284,0)</f>
        <v>0</v>
      </c>
      <c r="AB284" s="6">
        <f>IF(AD284=21,J284,0)</f>
        <v>0</v>
      </c>
      <c r="AD284" s="16">
        <v>21</v>
      </c>
      <c r="AE284" s="16">
        <f>G284*0.241944444444444</f>
        <v>0</v>
      </c>
      <c r="AF284" s="16">
        <f>G284*(1-0.241944444444444)</f>
        <v>0</v>
      </c>
      <c r="AM284" s="16">
        <f>F284*AE284</f>
        <v>0</v>
      </c>
      <c r="AN284" s="16">
        <f>F284*AF284</f>
        <v>0</v>
      </c>
      <c r="AO284" s="17" t="s">
        <v>786</v>
      </c>
      <c r="AP284" s="17" t="s">
        <v>802</v>
      </c>
      <c r="AQ284" s="11" t="s">
        <v>809</v>
      </c>
    </row>
    <row r="285" spans="1:13" ht="12.75">
      <c r="A285" s="77"/>
      <c r="B285" s="77"/>
      <c r="C285" s="77"/>
      <c r="D285" s="78" t="s">
        <v>12</v>
      </c>
      <c r="E285" s="77"/>
      <c r="F285" s="79">
        <v>6</v>
      </c>
      <c r="G285" s="77"/>
      <c r="H285" s="77"/>
      <c r="I285" s="77"/>
      <c r="J285" s="77"/>
      <c r="K285" s="77"/>
      <c r="L285" s="77"/>
      <c r="M285" s="77"/>
    </row>
    <row r="286" spans="1:43" ht="12.75">
      <c r="A286" s="74" t="s">
        <v>131</v>
      </c>
      <c r="B286" s="74" t="s">
        <v>207</v>
      </c>
      <c r="C286" s="74" t="s">
        <v>338</v>
      </c>
      <c r="D286" s="74" t="s">
        <v>612</v>
      </c>
      <c r="E286" s="74" t="s">
        <v>733</v>
      </c>
      <c r="F286" s="75">
        <v>18</v>
      </c>
      <c r="G286" s="75"/>
      <c r="H286" s="75">
        <f>F286*AE286</f>
        <v>0</v>
      </c>
      <c r="I286" s="75">
        <f>J286-H286</f>
        <v>0</v>
      </c>
      <c r="J286" s="75">
        <f>F286*G286</f>
        <v>0</v>
      </c>
      <c r="K286" s="75">
        <v>0</v>
      </c>
      <c r="L286" s="75">
        <f>F286*K286</f>
        <v>0</v>
      </c>
      <c r="M286" s="76" t="s">
        <v>758</v>
      </c>
      <c r="N286" s="12" t="s">
        <v>8</v>
      </c>
      <c r="O286" s="6">
        <f>IF(N286="5",I286,0)</f>
        <v>0</v>
      </c>
      <c r="Z286" s="6">
        <f>IF(AD286=0,J286,0)</f>
        <v>0</v>
      </c>
      <c r="AA286" s="6">
        <f>IF(AD286=15,J286,0)</f>
        <v>0</v>
      </c>
      <c r="AB286" s="6">
        <f>IF(AD286=21,J286,0)</f>
        <v>0</v>
      </c>
      <c r="AD286" s="16">
        <v>21</v>
      </c>
      <c r="AE286" s="16">
        <f>G286*0.154910394265233</f>
        <v>0</v>
      </c>
      <c r="AF286" s="16">
        <f>G286*(1-0.154910394265233)</f>
        <v>0</v>
      </c>
      <c r="AM286" s="16">
        <f>F286*AE286</f>
        <v>0</v>
      </c>
      <c r="AN286" s="16">
        <f>F286*AF286</f>
        <v>0</v>
      </c>
      <c r="AO286" s="17" t="s">
        <v>786</v>
      </c>
      <c r="AP286" s="17" t="s">
        <v>802</v>
      </c>
      <c r="AQ286" s="11" t="s">
        <v>809</v>
      </c>
    </row>
    <row r="287" spans="1:13" ht="12.75">
      <c r="A287" s="77"/>
      <c r="B287" s="77"/>
      <c r="C287" s="77"/>
      <c r="D287" s="78" t="s">
        <v>24</v>
      </c>
      <c r="E287" s="77"/>
      <c r="F287" s="79">
        <v>18</v>
      </c>
      <c r="G287" s="77"/>
      <c r="H287" s="77"/>
      <c r="I287" s="77"/>
      <c r="J287" s="77"/>
      <c r="K287" s="77"/>
      <c r="L287" s="77"/>
      <c r="M287" s="77"/>
    </row>
    <row r="288" spans="1:43" ht="12.75">
      <c r="A288" s="74" t="s">
        <v>132</v>
      </c>
      <c r="B288" s="74" t="s">
        <v>207</v>
      </c>
      <c r="C288" s="74" t="s">
        <v>339</v>
      </c>
      <c r="D288" s="74" t="s">
        <v>613</v>
      </c>
      <c r="E288" s="74" t="s">
        <v>733</v>
      </c>
      <c r="F288" s="75">
        <v>5</v>
      </c>
      <c r="G288" s="75"/>
      <c r="H288" s="75">
        <f>F288*AE288</f>
        <v>0</v>
      </c>
      <c r="I288" s="75">
        <f>J288-H288</f>
        <v>0</v>
      </c>
      <c r="J288" s="75">
        <f>F288*G288</f>
        <v>0</v>
      </c>
      <c r="K288" s="75">
        <v>0</v>
      </c>
      <c r="L288" s="75">
        <f>F288*K288</f>
        <v>0</v>
      </c>
      <c r="M288" s="76" t="s">
        <v>758</v>
      </c>
      <c r="N288" s="12" t="s">
        <v>8</v>
      </c>
      <c r="O288" s="6">
        <f>IF(N288="5",I288,0)</f>
        <v>0</v>
      </c>
      <c r="Z288" s="6">
        <f>IF(AD288=0,J288,0)</f>
        <v>0</v>
      </c>
      <c r="AA288" s="6">
        <f>IF(AD288=15,J288,0)</f>
        <v>0</v>
      </c>
      <c r="AB288" s="6">
        <f>IF(AD288=21,J288,0)</f>
        <v>0</v>
      </c>
      <c r="AD288" s="16">
        <v>21</v>
      </c>
      <c r="AE288" s="16">
        <f>G288*0.0927692307692308</f>
        <v>0</v>
      </c>
      <c r="AF288" s="16">
        <f>G288*(1-0.0927692307692308)</f>
        <v>0</v>
      </c>
      <c r="AM288" s="16">
        <f>F288*AE288</f>
        <v>0</v>
      </c>
      <c r="AN288" s="16">
        <f>F288*AF288</f>
        <v>0</v>
      </c>
      <c r="AO288" s="17" t="s">
        <v>786</v>
      </c>
      <c r="AP288" s="17" t="s">
        <v>802</v>
      </c>
      <c r="AQ288" s="11" t="s">
        <v>809</v>
      </c>
    </row>
    <row r="289" spans="1:13" ht="12.75">
      <c r="A289" s="77"/>
      <c r="B289" s="77"/>
      <c r="C289" s="77"/>
      <c r="D289" s="78" t="s">
        <v>11</v>
      </c>
      <c r="E289" s="77"/>
      <c r="F289" s="79">
        <v>5</v>
      </c>
      <c r="G289" s="77"/>
      <c r="H289" s="77"/>
      <c r="I289" s="77"/>
      <c r="J289" s="77"/>
      <c r="K289" s="77"/>
      <c r="L289" s="77"/>
      <c r="M289" s="77"/>
    </row>
    <row r="290" spans="1:43" ht="12.75">
      <c r="A290" s="74" t="s">
        <v>133</v>
      </c>
      <c r="B290" s="74" t="s">
        <v>207</v>
      </c>
      <c r="C290" s="74" t="s">
        <v>340</v>
      </c>
      <c r="D290" s="74" t="s">
        <v>614</v>
      </c>
      <c r="E290" s="74" t="s">
        <v>733</v>
      </c>
      <c r="F290" s="75">
        <v>8</v>
      </c>
      <c r="G290" s="75"/>
      <c r="H290" s="75">
        <f>F290*AE290</f>
        <v>0</v>
      </c>
      <c r="I290" s="75">
        <f>J290-H290</f>
        <v>0</v>
      </c>
      <c r="J290" s="75">
        <f>F290*G290</f>
        <v>0</v>
      </c>
      <c r="K290" s="75">
        <v>0.00021</v>
      </c>
      <c r="L290" s="75">
        <f>F290*K290</f>
        <v>0.00168</v>
      </c>
      <c r="M290" s="76" t="s">
        <v>758</v>
      </c>
      <c r="N290" s="12" t="s">
        <v>8</v>
      </c>
      <c r="O290" s="6">
        <f>IF(N290="5",I290,0)</f>
        <v>0</v>
      </c>
      <c r="Z290" s="6">
        <f>IF(AD290=0,J290,0)</f>
        <v>0</v>
      </c>
      <c r="AA290" s="6">
        <f>IF(AD290=15,J290,0)</f>
        <v>0</v>
      </c>
      <c r="AB290" s="6">
        <f>IF(AD290=21,J290,0)</f>
        <v>0</v>
      </c>
      <c r="AD290" s="16">
        <v>21</v>
      </c>
      <c r="AE290" s="16">
        <f>G290*0.143272727272727</f>
        <v>0</v>
      </c>
      <c r="AF290" s="16">
        <f>G290*(1-0.143272727272727)</f>
        <v>0</v>
      </c>
      <c r="AM290" s="16">
        <f>F290*AE290</f>
        <v>0</v>
      </c>
      <c r="AN290" s="16">
        <f>F290*AF290</f>
        <v>0</v>
      </c>
      <c r="AO290" s="17" t="s">
        <v>786</v>
      </c>
      <c r="AP290" s="17" t="s">
        <v>802</v>
      </c>
      <c r="AQ290" s="11" t="s">
        <v>809</v>
      </c>
    </row>
    <row r="291" spans="1:13" ht="12.75">
      <c r="A291" s="77"/>
      <c r="B291" s="77"/>
      <c r="C291" s="77"/>
      <c r="D291" s="78" t="s">
        <v>14</v>
      </c>
      <c r="E291" s="77"/>
      <c r="F291" s="79">
        <v>8</v>
      </c>
      <c r="G291" s="77"/>
      <c r="H291" s="77"/>
      <c r="I291" s="77"/>
      <c r="J291" s="77"/>
      <c r="K291" s="77"/>
      <c r="L291" s="77"/>
      <c r="M291" s="77"/>
    </row>
    <row r="292" spans="1:43" ht="12.75">
      <c r="A292" s="74" t="s">
        <v>134</v>
      </c>
      <c r="B292" s="74" t="s">
        <v>207</v>
      </c>
      <c r="C292" s="74" t="s">
        <v>341</v>
      </c>
      <c r="D292" s="74" t="s">
        <v>615</v>
      </c>
      <c r="E292" s="74" t="s">
        <v>733</v>
      </c>
      <c r="F292" s="75">
        <v>12</v>
      </c>
      <c r="G292" s="75"/>
      <c r="H292" s="75">
        <f>F292*AE292</f>
        <v>0</v>
      </c>
      <c r="I292" s="75">
        <f>J292-H292</f>
        <v>0</v>
      </c>
      <c r="J292" s="75">
        <f>F292*G292</f>
        <v>0</v>
      </c>
      <c r="K292" s="75">
        <v>0</v>
      </c>
      <c r="L292" s="75">
        <f>F292*K292</f>
        <v>0</v>
      </c>
      <c r="M292" s="76" t="s">
        <v>758</v>
      </c>
      <c r="N292" s="12" t="s">
        <v>8</v>
      </c>
      <c r="O292" s="6">
        <f>IF(N292="5",I292,0)</f>
        <v>0</v>
      </c>
      <c r="Z292" s="6">
        <f>IF(AD292=0,J292,0)</f>
        <v>0</v>
      </c>
      <c r="AA292" s="6">
        <f>IF(AD292=15,J292,0)</f>
        <v>0</v>
      </c>
      <c r="AB292" s="6">
        <f>IF(AD292=21,J292,0)</f>
        <v>0</v>
      </c>
      <c r="AD292" s="16">
        <v>21</v>
      </c>
      <c r="AE292" s="16">
        <f>G292*0.203716216216216</f>
        <v>0</v>
      </c>
      <c r="AF292" s="16">
        <f>G292*(1-0.203716216216216)</f>
        <v>0</v>
      </c>
      <c r="AM292" s="16">
        <f>F292*AE292</f>
        <v>0</v>
      </c>
      <c r="AN292" s="16">
        <f>F292*AF292</f>
        <v>0</v>
      </c>
      <c r="AO292" s="17" t="s">
        <v>786</v>
      </c>
      <c r="AP292" s="17" t="s">
        <v>802</v>
      </c>
      <c r="AQ292" s="11" t="s">
        <v>809</v>
      </c>
    </row>
    <row r="293" spans="1:13" ht="12.75">
      <c r="A293" s="77"/>
      <c r="B293" s="77"/>
      <c r="C293" s="77"/>
      <c r="D293" s="78" t="s">
        <v>18</v>
      </c>
      <c r="E293" s="77"/>
      <c r="F293" s="79">
        <v>12</v>
      </c>
      <c r="G293" s="77"/>
      <c r="H293" s="77"/>
      <c r="I293" s="77"/>
      <c r="J293" s="77"/>
      <c r="K293" s="77"/>
      <c r="L293" s="77"/>
      <c r="M293" s="77"/>
    </row>
    <row r="294" spans="1:43" ht="12.75">
      <c r="A294" s="74" t="s">
        <v>135</v>
      </c>
      <c r="B294" s="74" t="s">
        <v>207</v>
      </c>
      <c r="C294" s="74" t="s">
        <v>342</v>
      </c>
      <c r="D294" s="74" t="s">
        <v>616</v>
      </c>
      <c r="E294" s="74" t="s">
        <v>733</v>
      </c>
      <c r="F294" s="75">
        <v>4</v>
      </c>
      <c r="G294" s="75"/>
      <c r="H294" s="75">
        <f>F294*AE294</f>
        <v>0</v>
      </c>
      <c r="I294" s="75">
        <f>J294-H294</f>
        <v>0</v>
      </c>
      <c r="J294" s="75">
        <f>F294*G294</f>
        <v>0</v>
      </c>
      <c r="K294" s="75">
        <v>0</v>
      </c>
      <c r="L294" s="75">
        <f>F294*K294</f>
        <v>0</v>
      </c>
      <c r="M294" s="76" t="s">
        <v>758</v>
      </c>
      <c r="N294" s="12" t="s">
        <v>8</v>
      </c>
      <c r="O294" s="6">
        <f>IF(N294="5",I294,0)</f>
        <v>0</v>
      </c>
      <c r="Z294" s="6">
        <f>IF(AD294=0,J294,0)</f>
        <v>0</v>
      </c>
      <c r="AA294" s="6">
        <f>IF(AD294=15,J294,0)</f>
        <v>0</v>
      </c>
      <c r="AB294" s="6">
        <f>IF(AD294=21,J294,0)</f>
        <v>0</v>
      </c>
      <c r="AD294" s="16">
        <v>21</v>
      </c>
      <c r="AE294" s="16">
        <f>G294*0.215066666666667</f>
        <v>0</v>
      </c>
      <c r="AF294" s="16">
        <f>G294*(1-0.215066666666667)</f>
        <v>0</v>
      </c>
      <c r="AM294" s="16">
        <f>F294*AE294</f>
        <v>0</v>
      </c>
      <c r="AN294" s="16">
        <f>F294*AF294</f>
        <v>0</v>
      </c>
      <c r="AO294" s="17" t="s">
        <v>786</v>
      </c>
      <c r="AP294" s="17" t="s">
        <v>802</v>
      </c>
      <c r="AQ294" s="11" t="s">
        <v>809</v>
      </c>
    </row>
    <row r="295" spans="1:13" ht="12.75">
      <c r="A295" s="77"/>
      <c r="B295" s="77"/>
      <c r="C295" s="77"/>
      <c r="D295" s="78" t="s">
        <v>10</v>
      </c>
      <c r="E295" s="77"/>
      <c r="F295" s="79">
        <v>4</v>
      </c>
      <c r="G295" s="77"/>
      <c r="H295" s="77"/>
      <c r="I295" s="77"/>
      <c r="J295" s="77"/>
      <c r="K295" s="77"/>
      <c r="L295" s="77"/>
      <c r="M295" s="77"/>
    </row>
    <row r="296" spans="1:43" ht="12.75">
      <c r="A296" s="74" t="s">
        <v>136</v>
      </c>
      <c r="B296" s="74" t="s">
        <v>207</v>
      </c>
      <c r="C296" s="74" t="s">
        <v>343</v>
      </c>
      <c r="D296" s="74" t="s">
        <v>617</v>
      </c>
      <c r="E296" s="74" t="s">
        <v>733</v>
      </c>
      <c r="F296" s="75">
        <v>4</v>
      </c>
      <c r="G296" s="75"/>
      <c r="H296" s="75">
        <f>F296*AE296</f>
        <v>0</v>
      </c>
      <c r="I296" s="75">
        <f>J296-H296</f>
        <v>0</v>
      </c>
      <c r="J296" s="75">
        <f>F296*G296</f>
        <v>0</v>
      </c>
      <c r="K296" s="75">
        <v>0</v>
      </c>
      <c r="L296" s="75">
        <f>F296*K296</f>
        <v>0</v>
      </c>
      <c r="M296" s="76" t="s">
        <v>758</v>
      </c>
      <c r="N296" s="12" t="s">
        <v>8</v>
      </c>
      <c r="O296" s="6">
        <f>IF(N296="5",I296,0)</f>
        <v>0</v>
      </c>
      <c r="Z296" s="6">
        <f>IF(AD296=0,J296,0)</f>
        <v>0</v>
      </c>
      <c r="AA296" s="6">
        <f>IF(AD296=15,J296,0)</f>
        <v>0</v>
      </c>
      <c r="AB296" s="6">
        <f>IF(AD296=21,J296,0)</f>
        <v>0</v>
      </c>
      <c r="AD296" s="16">
        <v>21</v>
      </c>
      <c r="AE296" s="16">
        <f>G296*0</f>
        <v>0</v>
      </c>
      <c r="AF296" s="16">
        <f>G296*(1-0)</f>
        <v>0</v>
      </c>
      <c r="AM296" s="16">
        <f>F296*AE296</f>
        <v>0</v>
      </c>
      <c r="AN296" s="16">
        <f>F296*AF296</f>
        <v>0</v>
      </c>
      <c r="AO296" s="17" t="s">
        <v>786</v>
      </c>
      <c r="AP296" s="17" t="s">
        <v>802</v>
      </c>
      <c r="AQ296" s="11" t="s">
        <v>809</v>
      </c>
    </row>
    <row r="297" spans="1:13" ht="12.75">
      <c r="A297" s="77"/>
      <c r="B297" s="77"/>
      <c r="C297" s="77"/>
      <c r="D297" s="78" t="s">
        <v>10</v>
      </c>
      <c r="E297" s="77"/>
      <c r="F297" s="79">
        <v>4</v>
      </c>
      <c r="G297" s="77"/>
      <c r="H297" s="77"/>
      <c r="I297" s="77"/>
      <c r="J297" s="77"/>
      <c r="K297" s="77"/>
      <c r="L297" s="77"/>
      <c r="M297" s="77"/>
    </row>
    <row r="298" spans="1:43" ht="12.75">
      <c r="A298" s="84" t="s">
        <v>137</v>
      </c>
      <c r="B298" s="84" t="s">
        <v>207</v>
      </c>
      <c r="C298" s="84" t="s">
        <v>344</v>
      </c>
      <c r="D298" s="84" t="s">
        <v>618</v>
      </c>
      <c r="E298" s="84" t="s">
        <v>733</v>
      </c>
      <c r="F298" s="85">
        <v>4</v>
      </c>
      <c r="G298" s="85"/>
      <c r="H298" s="85">
        <f>F298*AE298</f>
        <v>0</v>
      </c>
      <c r="I298" s="85">
        <f>J298-H298</f>
        <v>0</v>
      </c>
      <c r="J298" s="85">
        <f>F298*G298</f>
        <v>0</v>
      </c>
      <c r="K298" s="85">
        <v>0.00308</v>
      </c>
      <c r="L298" s="85">
        <f>F298*K298</f>
        <v>0.01232</v>
      </c>
      <c r="M298" s="86" t="s">
        <v>758</v>
      </c>
      <c r="N298" s="13" t="s">
        <v>761</v>
      </c>
      <c r="O298" s="7">
        <f>IF(N298="5",I298,0)</f>
        <v>0</v>
      </c>
      <c r="Z298" s="7">
        <f>IF(AD298=0,J298,0)</f>
        <v>0</v>
      </c>
      <c r="AA298" s="7">
        <f>IF(AD298=15,J298,0)</f>
        <v>0</v>
      </c>
      <c r="AB298" s="7">
        <f>IF(AD298=21,J298,0)</f>
        <v>0</v>
      </c>
      <c r="AD298" s="16">
        <v>21</v>
      </c>
      <c r="AE298" s="16">
        <f>G298*1</f>
        <v>0</v>
      </c>
      <c r="AF298" s="16">
        <f>G298*(1-1)</f>
        <v>0</v>
      </c>
      <c r="AM298" s="16">
        <f>F298*AE298</f>
        <v>0</v>
      </c>
      <c r="AN298" s="16">
        <f>F298*AF298</f>
        <v>0</v>
      </c>
      <c r="AO298" s="17" t="s">
        <v>786</v>
      </c>
      <c r="AP298" s="17" t="s">
        <v>802</v>
      </c>
      <c r="AQ298" s="11" t="s">
        <v>809</v>
      </c>
    </row>
    <row r="299" spans="1:13" ht="12.75">
      <c r="A299" s="77"/>
      <c r="B299" s="77"/>
      <c r="C299" s="77"/>
      <c r="D299" s="78" t="s">
        <v>10</v>
      </c>
      <c r="E299" s="77"/>
      <c r="F299" s="79">
        <v>4</v>
      </c>
      <c r="G299" s="77"/>
      <c r="H299" s="77"/>
      <c r="I299" s="77"/>
      <c r="J299" s="77"/>
      <c r="K299" s="77"/>
      <c r="L299" s="77"/>
      <c r="M299" s="77"/>
    </row>
    <row r="300" spans="1:43" ht="12.75">
      <c r="A300" s="74" t="s">
        <v>138</v>
      </c>
      <c r="B300" s="74" t="s">
        <v>207</v>
      </c>
      <c r="C300" s="74" t="s">
        <v>345</v>
      </c>
      <c r="D300" s="74" t="s">
        <v>619</v>
      </c>
      <c r="E300" s="74" t="s">
        <v>733</v>
      </c>
      <c r="F300" s="75">
        <v>7</v>
      </c>
      <c r="G300" s="75"/>
      <c r="H300" s="75">
        <f>F300*AE300</f>
        <v>0</v>
      </c>
      <c r="I300" s="75">
        <f>J300-H300</f>
        <v>0</v>
      </c>
      <c r="J300" s="75">
        <f>F300*G300</f>
        <v>0</v>
      </c>
      <c r="K300" s="75">
        <v>0</v>
      </c>
      <c r="L300" s="75">
        <f>F300*K300</f>
        <v>0</v>
      </c>
      <c r="M300" s="76" t="s">
        <v>758</v>
      </c>
      <c r="N300" s="12" t="s">
        <v>8</v>
      </c>
      <c r="O300" s="6">
        <f>IF(N300="5",I300,0)</f>
        <v>0</v>
      </c>
      <c r="Z300" s="6">
        <f>IF(AD300=0,J300,0)</f>
        <v>0</v>
      </c>
      <c r="AA300" s="6">
        <f>IF(AD300=15,J300,0)</f>
        <v>0</v>
      </c>
      <c r="AB300" s="6">
        <f>IF(AD300=21,J300,0)</f>
        <v>0</v>
      </c>
      <c r="AD300" s="16">
        <v>21</v>
      </c>
      <c r="AE300" s="16">
        <f>G300*0.437239382239382</f>
        <v>0</v>
      </c>
      <c r="AF300" s="16">
        <f>G300*(1-0.437239382239382)</f>
        <v>0</v>
      </c>
      <c r="AM300" s="16">
        <f>F300*AE300</f>
        <v>0</v>
      </c>
      <c r="AN300" s="16">
        <f>F300*AF300</f>
        <v>0</v>
      </c>
      <c r="AO300" s="17" t="s">
        <v>786</v>
      </c>
      <c r="AP300" s="17" t="s">
        <v>802</v>
      </c>
      <c r="AQ300" s="11" t="s">
        <v>809</v>
      </c>
    </row>
    <row r="301" spans="1:13" ht="12.75">
      <c r="A301" s="77"/>
      <c r="B301" s="77"/>
      <c r="C301" s="77"/>
      <c r="D301" s="78" t="s">
        <v>13</v>
      </c>
      <c r="E301" s="77"/>
      <c r="F301" s="79">
        <v>7</v>
      </c>
      <c r="G301" s="77"/>
      <c r="H301" s="77"/>
      <c r="I301" s="77"/>
      <c r="J301" s="77"/>
      <c r="K301" s="77"/>
      <c r="L301" s="77"/>
      <c r="M301" s="77"/>
    </row>
    <row r="302" spans="1:43" ht="12.75">
      <c r="A302" s="84" t="s">
        <v>139</v>
      </c>
      <c r="B302" s="84" t="s">
        <v>207</v>
      </c>
      <c r="C302" s="84" t="s">
        <v>346</v>
      </c>
      <c r="D302" s="84" t="s">
        <v>620</v>
      </c>
      <c r="E302" s="84" t="s">
        <v>733</v>
      </c>
      <c r="F302" s="85">
        <v>4</v>
      </c>
      <c r="G302" s="85"/>
      <c r="H302" s="85">
        <f>F302*AE302</f>
        <v>0</v>
      </c>
      <c r="I302" s="85">
        <f>J302-H302</f>
        <v>0</v>
      </c>
      <c r="J302" s="85">
        <f>F302*G302</f>
        <v>0</v>
      </c>
      <c r="K302" s="85">
        <v>0</v>
      </c>
      <c r="L302" s="85">
        <f>F302*K302</f>
        <v>0</v>
      </c>
      <c r="M302" s="86" t="s">
        <v>758</v>
      </c>
      <c r="N302" s="13" t="s">
        <v>761</v>
      </c>
      <c r="O302" s="7">
        <f>IF(N302="5",I302,0)</f>
        <v>0</v>
      </c>
      <c r="Z302" s="7">
        <f>IF(AD302=0,J302,0)</f>
        <v>0</v>
      </c>
      <c r="AA302" s="7">
        <f>IF(AD302=15,J302,0)</f>
        <v>0</v>
      </c>
      <c r="AB302" s="7">
        <f>IF(AD302=21,J302,0)</f>
        <v>0</v>
      </c>
      <c r="AD302" s="16">
        <v>21</v>
      </c>
      <c r="AE302" s="16">
        <f>G302*1</f>
        <v>0</v>
      </c>
      <c r="AF302" s="16">
        <f>G302*(1-1)</f>
        <v>0</v>
      </c>
      <c r="AM302" s="16">
        <f>F302*AE302</f>
        <v>0</v>
      </c>
      <c r="AN302" s="16">
        <f>F302*AF302</f>
        <v>0</v>
      </c>
      <c r="AO302" s="17" t="s">
        <v>786</v>
      </c>
      <c r="AP302" s="17" t="s">
        <v>802</v>
      </c>
      <c r="AQ302" s="11" t="s">
        <v>809</v>
      </c>
    </row>
    <row r="303" spans="1:13" ht="12.75">
      <c r="A303" s="77"/>
      <c r="B303" s="77"/>
      <c r="C303" s="77"/>
      <c r="D303" s="78" t="s">
        <v>10</v>
      </c>
      <c r="E303" s="77"/>
      <c r="F303" s="79">
        <v>4</v>
      </c>
      <c r="G303" s="77"/>
      <c r="H303" s="77"/>
      <c r="I303" s="77"/>
      <c r="J303" s="77"/>
      <c r="K303" s="77"/>
      <c r="L303" s="77"/>
      <c r="M303" s="77"/>
    </row>
    <row r="304" spans="1:43" ht="12.75">
      <c r="A304" s="74" t="s">
        <v>140</v>
      </c>
      <c r="B304" s="74" t="s">
        <v>207</v>
      </c>
      <c r="C304" s="74" t="s">
        <v>347</v>
      </c>
      <c r="D304" s="74" t="s">
        <v>621</v>
      </c>
      <c r="E304" s="74" t="s">
        <v>733</v>
      </c>
      <c r="F304" s="75">
        <v>7</v>
      </c>
      <c r="G304" s="75"/>
      <c r="H304" s="75">
        <f>F304*AE304</f>
        <v>0</v>
      </c>
      <c r="I304" s="75">
        <f>J304-H304</f>
        <v>0</v>
      </c>
      <c r="J304" s="75">
        <f>F304*G304</f>
        <v>0</v>
      </c>
      <c r="K304" s="75">
        <v>0</v>
      </c>
      <c r="L304" s="75">
        <f>F304*K304</f>
        <v>0</v>
      </c>
      <c r="M304" s="76" t="s">
        <v>758</v>
      </c>
      <c r="N304" s="12" t="s">
        <v>8</v>
      </c>
      <c r="O304" s="6">
        <f>IF(N304="5",I304,0)</f>
        <v>0</v>
      </c>
      <c r="Z304" s="6">
        <f>IF(AD304=0,J304,0)</f>
        <v>0</v>
      </c>
      <c r="AA304" s="6">
        <f>IF(AD304=15,J304,0)</f>
        <v>0</v>
      </c>
      <c r="AB304" s="6">
        <f>IF(AD304=21,J304,0)</f>
        <v>0</v>
      </c>
      <c r="AD304" s="16">
        <v>21</v>
      </c>
      <c r="AE304" s="16">
        <f>G304*0.0985294117647059</f>
        <v>0</v>
      </c>
      <c r="AF304" s="16">
        <f>G304*(1-0.0985294117647059)</f>
        <v>0</v>
      </c>
      <c r="AM304" s="16">
        <f>F304*AE304</f>
        <v>0</v>
      </c>
      <c r="AN304" s="16">
        <f>F304*AF304</f>
        <v>0</v>
      </c>
      <c r="AO304" s="17" t="s">
        <v>786</v>
      </c>
      <c r="AP304" s="17" t="s">
        <v>802</v>
      </c>
      <c r="AQ304" s="11" t="s">
        <v>809</v>
      </c>
    </row>
    <row r="305" spans="1:13" ht="12.75">
      <c r="A305" s="77"/>
      <c r="B305" s="77"/>
      <c r="C305" s="77"/>
      <c r="D305" s="78" t="s">
        <v>13</v>
      </c>
      <c r="E305" s="77"/>
      <c r="F305" s="79">
        <v>7</v>
      </c>
      <c r="G305" s="77"/>
      <c r="H305" s="77"/>
      <c r="I305" s="77"/>
      <c r="J305" s="77"/>
      <c r="K305" s="77"/>
      <c r="L305" s="77"/>
      <c r="M305" s="77"/>
    </row>
    <row r="306" spans="1:43" ht="12.75">
      <c r="A306" s="74" t="s">
        <v>141</v>
      </c>
      <c r="B306" s="74" t="s">
        <v>207</v>
      </c>
      <c r="C306" s="74" t="s">
        <v>348</v>
      </c>
      <c r="D306" s="74" t="s">
        <v>622</v>
      </c>
      <c r="E306" s="74" t="s">
        <v>733</v>
      </c>
      <c r="F306" s="75">
        <v>41</v>
      </c>
      <c r="G306" s="75"/>
      <c r="H306" s="75">
        <f>F306*AE306</f>
        <v>0</v>
      </c>
      <c r="I306" s="75">
        <f>J306-H306</f>
        <v>0</v>
      </c>
      <c r="J306" s="75">
        <f>F306*G306</f>
        <v>0</v>
      </c>
      <c r="K306" s="75">
        <v>0</v>
      </c>
      <c r="L306" s="75">
        <f>F306*K306</f>
        <v>0</v>
      </c>
      <c r="M306" s="76" t="s">
        <v>758</v>
      </c>
      <c r="N306" s="12" t="s">
        <v>8</v>
      </c>
      <c r="O306" s="6">
        <f>IF(N306="5",I306,0)</f>
        <v>0</v>
      </c>
      <c r="Z306" s="6">
        <f>IF(AD306=0,J306,0)</f>
        <v>0</v>
      </c>
      <c r="AA306" s="6">
        <f>IF(AD306=15,J306,0)</f>
        <v>0</v>
      </c>
      <c r="AB306" s="6">
        <f>IF(AD306=21,J306,0)</f>
        <v>0</v>
      </c>
      <c r="AD306" s="16">
        <v>21</v>
      </c>
      <c r="AE306" s="16">
        <f>G306*0</f>
        <v>0</v>
      </c>
      <c r="AF306" s="16">
        <f>G306*(1-0)</f>
        <v>0</v>
      </c>
      <c r="AM306" s="16">
        <f>F306*AE306</f>
        <v>0</v>
      </c>
      <c r="AN306" s="16">
        <f>F306*AF306</f>
        <v>0</v>
      </c>
      <c r="AO306" s="17" t="s">
        <v>786</v>
      </c>
      <c r="AP306" s="17" t="s">
        <v>802</v>
      </c>
      <c r="AQ306" s="11" t="s">
        <v>809</v>
      </c>
    </row>
    <row r="307" spans="1:13" ht="12.75">
      <c r="A307" s="77"/>
      <c r="B307" s="77"/>
      <c r="C307" s="77"/>
      <c r="D307" s="78" t="s">
        <v>47</v>
      </c>
      <c r="E307" s="77"/>
      <c r="F307" s="79">
        <v>41</v>
      </c>
      <c r="G307" s="77"/>
      <c r="H307" s="77"/>
      <c r="I307" s="77"/>
      <c r="J307" s="77"/>
      <c r="K307" s="77"/>
      <c r="L307" s="77"/>
      <c r="M307" s="77"/>
    </row>
    <row r="308" spans="1:43" ht="12.75">
      <c r="A308" s="74" t="s">
        <v>142</v>
      </c>
      <c r="B308" s="74" t="s">
        <v>207</v>
      </c>
      <c r="C308" s="74" t="s">
        <v>349</v>
      </c>
      <c r="D308" s="74" t="s">
        <v>623</v>
      </c>
      <c r="E308" s="74" t="s">
        <v>733</v>
      </c>
      <c r="F308" s="75">
        <v>20</v>
      </c>
      <c r="G308" s="75"/>
      <c r="H308" s="75">
        <f>F308*AE308</f>
        <v>0</v>
      </c>
      <c r="I308" s="75">
        <f>J308-H308</f>
        <v>0</v>
      </c>
      <c r="J308" s="75">
        <f>F308*G308</f>
        <v>0</v>
      </c>
      <c r="K308" s="75">
        <v>0</v>
      </c>
      <c r="L308" s="75">
        <f>F308*K308</f>
        <v>0</v>
      </c>
      <c r="M308" s="76" t="s">
        <v>758</v>
      </c>
      <c r="N308" s="12" t="s">
        <v>8</v>
      </c>
      <c r="O308" s="6">
        <f>IF(N308="5",I308,0)</f>
        <v>0</v>
      </c>
      <c r="Z308" s="6">
        <f>IF(AD308=0,J308,0)</f>
        <v>0</v>
      </c>
      <c r="AA308" s="6">
        <f>IF(AD308=15,J308,0)</f>
        <v>0</v>
      </c>
      <c r="AB308" s="6">
        <f>IF(AD308=21,J308,0)</f>
        <v>0</v>
      </c>
      <c r="AD308" s="16">
        <v>21</v>
      </c>
      <c r="AE308" s="16">
        <f>G308*0</f>
        <v>0</v>
      </c>
      <c r="AF308" s="16">
        <f>G308*(1-0)</f>
        <v>0</v>
      </c>
      <c r="AM308" s="16">
        <f>F308*AE308</f>
        <v>0</v>
      </c>
      <c r="AN308" s="16">
        <f>F308*AF308</f>
        <v>0</v>
      </c>
      <c r="AO308" s="17" t="s">
        <v>786</v>
      </c>
      <c r="AP308" s="17" t="s">
        <v>802</v>
      </c>
      <c r="AQ308" s="11" t="s">
        <v>809</v>
      </c>
    </row>
    <row r="309" spans="1:13" ht="12.75">
      <c r="A309" s="77"/>
      <c r="B309" s="77"/>
      <c r="C309" s="77"/>
      <c r="D309" s="78" t="s">
        <v>26</v>
      </c>
      <c r="E309" s="77"/>
      <c r="F309" s="79">
        <v>20</v>
      </c>
      <c r="G309" s="77"/>
      <c r="H309" s="77"/>
      <c r="I309" s="77"/>
      <c r="J309" s="77"/>
      <c r="K309" s="77"/>
      <c r="L309" s="77"/>
      <c r="M309" s="77"/>
    </row>
    <row r="310" spans="1:43" ht="12.75">
      <c r="A310" s="74" t="s">
        <v>143</v>
      </c>
      <c r="B310" s="74" t="s">
        <v>207</v>
      </c>
      <c r="C310" s="74" t="s">
        <v>350</v>
      </c>
      <c r="D310" s="74" t="s">
        <v>624</v>
      </c>
      <c r="E310" s="74" t="s">
        <v>733</v>
      </c>
      <c r="F310" s="75">
        <v>7</v>
      </c>
      <c r="G310" s="75"/>
      <c r="H310" s="75">
        <f>F310*AE310</f>
        <v>0</v>
      </c>
      <c r="I310" s="75">
        <f>J310-H310</f>
        <v>0</v>
      </c>
      <c r="J310" s="75">
        <f>F310*G310</f>
        <v>0</v>
      </c>
      <c r="K310" s="75">
        <v>0</v>
      </c>
      <c r="L310" s="75">
        <f>F310*K310</f>
        <v>0</v>
      </c>
      <c r="M310" s="76" t="s">
        <v>758</v>
      </c>
      <c r="N310" s="12" t="s">
        <v>8</v>
      </c>
      <c r="O310" s="6">
        <f>IF(N310="5",I310,0)</f>
        <v>0</v>
      </c>
      <c r="Z310" s="6">
        <f>IF(AD310=0,J310,0)</f>
        <v>0</v>
      </c>
      <c r="AA310" s="6">
        <f>IF(AD310=15,J310,0)</f>
        <v>0</v>
      </c>
      <c r="AB310" s="6">
        <f>IF(AD310=21,J310,0)</f>
        <v>0</v>
      </c>
      <c r="AD310" s="16">
        <v>21</v>
      </c>
      <c r="AE310" s="16">
        <f>G310*0</f>
        <v>0</v>
      </c>
      <c r="AF310" s="16">
        <f>G310*(1-0)</f>
        <v>0</v>
      </c>
      <c r="AM310" s="16">
        <f>F310*AE310</f>
        <v>0</v>
      </c>
      <c r="AN310" s="16">
        <f>F310*AF310</f>
        <v>0</v>
      </c>
      <c r="AO310" s="17" t="s">
        <v>786</v>
      </c>
      <c r="AP310" s="17" t="s">
        <v>802</v>
      </c>
      <c r="AQ310" s="11" t="s">
        <v>809</v>
      </c>
    </row>
    <row r="311" spans="1:13" ht="12.75">
      <c r="A311" s="77"/>
      <c r="B311" s="77"/>
      <c r="C311" s="77"/>
      <c r="D311" s="78" t="s">
        <v>13</v>
      </c>
      <c r="E311" s="77"/>
      <c r="F311" s="79">
        <v>7</v>
      </c>
      <c r="G311" s="77"/>
      <c r="H311" s="77"/>
      <c r="I311" s="77"/>
      <c r="J311" s="77"/>
      <c r="K311" s="77"/>
      <c r="L311" s="77"/>
      <c r="M311" s="77"/>
    </row>
    <row r="312" spans="1:43" ht="12.75">
      <c r="A312" s="74" t="s">
        <v>144</v>
      </c>
      <c r="B312" s="74" t="s">
        <v>207</v>
      </c>
      <c r="C312" s="74" t="s">
        <v>351</v>
      </c>
      <c r="D312" s="74" t="s">
        <v>625</v>
      </c>
      <c r="E312" s="74" t="s">
        <v>735</v>
      </c>
      <c r="F312" s="75">
        <v>20</v>
      </c>
      <c r="G312" s="75"/>
      <c r="H312" s="75">
        <f>F312*AE312</f>
        <v>0</v>
      </c>
      <c r="I312" s="75">
        <f>J312-H312</f>
        <v>0</v>
      </c>
      <c r="J312" s="75">
        <f>F312*G312</f>
        <v>0</v>
      </c>
      <c r="K312" s="75">
        <v>0</v>
      </c>
      <c r="L312" s="75">
        <f>F312*K312</f>
        <v>0</v>
      </c>
      <c r="M312" s="76" t="s">
        <v>758</v>
      </c>
      <c r="N312" s="12" t="s">
        <v>7</v>
      </c>
      <c r="O312" s="6">
        <f>IF(N312="5",I312,0)</f>
        <v>0</v>
      </c>
      <c r="Z312" s="6">
        <f>IF(AD312=0,J312,0)</f>
        <v>0</v>
      </c>
      <c r="AA312" s="6">
        <f>IF(AD312=15,J312,0)</f>
        <v>0</v>
      </c>
      <c r="AB312" s="6">
        <f>IF(AD312=21,J312,0)</f>
        <v>0</v>
      </c>
      <c r="AD312" s="16">
        <v>21</v>
      </c>
      <c r="AE312" s="16">
        <f>G312*0</f>
        <v>0</v>
      </c>
      <c r="AF312" s="16">
        <f>G312*(1-0)</f>
        <v>0</v>
      </c>
      <c r="AM312" s="16">
        <f>F312*AE312</f>
        <v>0</v>
      </c>
      <c r="AN312" s="16">
        <f>F312*AF312</f>
        <v>0</v>
      </c>
      <c r="AO312" s="17" t="s">
        <v>786</v>
      </c>
      <c r="AP312" s="17" t="s">
        <v>802</v>
      </c>
      <c r="AQ312" s="11" t="s">
        <v>809</v>
      </c>
    </row>
    <row r="313" spans="1:13" ht="12.75">
      <c r="A313" s="77"/>
      <c r="B313" s="77"/>
      <c r="C313" s="77"/>
      <c r="D313" s="78" t="s">
        <v>26</v>
      </c>
      <c r="E313" s="77"/>
      <c r="F313" s="79">
        <v>20</v>
      </c>
      <c r="G313" s="77"/>
      <c r="H313" s="77"/>
      <c r="I313" s="77"/>
      <c r="J313" s="77"/>
      <c r="K313" s="77"/>
      <c r="L313" s="77"/>
      <c r="M313" s="77"/>
    </row>
    <row r="314" spans="1:43" ht="12.75">
      <c r="A314" s="74" t="s">
        <v>145</v>
      </c>
      <c r="B314" s="74" t="s">
        <v>207</v>
      </c>
      <c r="C314" s="74" t="s">
        <v>352</v>
      </c>
      <c r="D314" s="74" t="s">
        <v>626</v>
      </c>
      <c r="E314" s="74" t="s">
        <v>733</v>
      </c>
      <c r="F314" s="75">
        <v>100</v>
      </c>
      <c r="G314" s="75"/>
      <c r="H314" s="75">
        <f>F314*AE314</f>
        <v>0</v>
      </c>
      <c r="I314" s="75">
        <f>J314-H314</f>
        <v>0</v>
      </c>
      <c r="J314" s="75">
        <f>F314*G314</f>
        <v>0</v>
      </c>
      <c r="K314" s="75">
        <v>0</v>
      </c>
      <c r="L314" s="75">
        <f>F314*K314</f>
        <v>0</v>
      </c>
      <c r="M314" s="76" t="s">
        <v>758</v>
      </c>
      <c r="N314" s="12" t="s">
        <v>8</v>
      </c>
      <c r="O314" s="6">
        <f>IF(N314="5",I314,0)</f>
        <v>0</v>
      </c>
      <c r="Z314" s="6">
        <f>IF(AD314=0,J314,0)</f>
        <v>0</v>
      </c>
      <c r="AA314" s="6">
        <f>IF(AD314=15,J314,0)</f>
        <v>0</v>
      </c>
      <c r="AB314" s="6">
        <f>IF(AD314=21,J314,0)</f>
        <v>0</v>
      </c>
      <c r="AD314" s="16">
        <v>21</v>
      </c>
      <c r="AE314" s="16">
        <f>G314*0</f>
        <v>0</v>
      </c>
      <c r="AF314" s="16">
        <f>G314*(1-0)</f>
        <v>0</v>
      </c>
      <c r="AM314" s="16">
        <f>F314*AE314</f>
        <v>0</v>
      </c>
      <c r="AN314" s="16">
        <f>F314*AF314</f>
        <v>0</v>
      </c>
      <c r="AO314" s="17" t="s">
        <v>786</v>
      </c>
      <c r="AP314" s="17" t="s">
        <v>802</v>
      </c>
      <c r="AQ314" s="11" t="s">
        <v>809</v>
      </c>
    </row>
    <row r="315" spans="1:13" ht="12.75">
      <c r="A315" s="77"/>
      <c r="B315" s="77"/>
      <c r="C315" s="77"/>
      <c r="D315" s="78" t="s">
        <v>627</v>
      </c>
      <c r="E315" s="77"/>
      <c r="F315" s="79">
        <v>100</v>
      </c>
      <c r="G315" s="77"/>
      <c r="H315" s="77"/>
      <c r="I315" s="77"/>
      <c r="J315" s="77"/>
      <c r="K315" s="77"/>
      <c r="L315" s="77"/>
      <c r="M315" s="77"/>
    </row>
    <row r="316" spans="1:43" ht="12.75">
      <c r="A316" s="84" t="s">
        <v>146</v>
      </c>
      <c r="B316" s="84" t="s">
        <v>207</v>
      </c>
      <c r="C316" s="84" t="s">
        <v>353</v>
      </c>
      <c r="D316" s="84" t="s">
        <v>628</v>
      </c>
      <c r="E316" s="84" t="s">
        <v>733</v>
      </c>
      <c r="F316" s="85">
        <v>55</v>
      </c>
      <c r="G316" s="85"/>
      <c r="H316" s="85">
        <f>F316*AE316</f>
        <v>0</v>
      </c>
      <c r="I316" s="85">
        <f>J316-H316</f>
        <v>0</v>
      </c>
      <c r="J316" s="85">
        <f>F316*G316</f>
        <v>0</v>
      </c>
      <c r="K316" s="85">
        <v>0.0056</v>
      </c>
      <c r="L316" s="85">
        <f>F316*K316</f>
        <v>0.308</v>
      </c>
      <c r="M316" s="86" t="s">
        <v>758</v>
      </c>
      <c r="N316" s="13" t="s">
        <v>761</v>
      </c>
      <c r="O316" s="7">
        <f>IF(N316="5",I316,0)</f>
        <v>0</v>
      </c>
      <c r="Z316" s="7">
        <f>IF(AD316=0,J316,0)</f>
        <v>0</v>
      </c>
      <c r="AA316" s="7">
        <f>IF(AD316=15,J316,0)</f>
        <v>0</v>
      </c>
      <c r="AB316" s="7">
        <f>IF(AD316=21,J316,0)</f>
        <v>0</v>
      </c>
      <c r="AD316" s="16">
        <v>21</v>
      </c>
      <c r="AE316" s="16">
        <f>G316*1</f>
        <v>0</v>
      </c>
      <c r="AF316" s="16">
        <f>G316*(1-1)</f>
        <v>0</v>
      </c>
      <c r="AM316" s="16">
        <f>F316*AE316</f>
        <v>0</v>
      </c>
      <c r="AN316" s="16">
        <f>F316*AF316</f>
        <v>0</v>
      </c>
      <c r="AO316" s="17" t="s">
        <v>786</v>
      </c>
      <c r="AP316" s="17" t="s">
        <v>802</v>
      </c>
      <c r="AQ316" s="11" t="s">
        <v>809</v>
      </c>
    </row>
    <row r="317" spans="1:13" ht="12.75">
      <c r="A317" s="77"/>
      <c r="B317" s="77"/>
      <c r="C317" s="77"/>
      <c r="D317" s="78" t="s">
        <v>61</v>
      </c>
      <c r="E317" s="77"/>
      <c r="F317" s="79">
        <v>55</v>
      </c>
      <c r="G317" s="77"/>
      <c r="H317" s="77"/>
      <c r="I317" s="77"/>
      <c r="J317" s="77"/>
      <c r="K317" s="77"/>
      <c r="L317" s="77"/>
      <c r="M317" s="77"/>
    </row>
    <row r="318" spans="1:43" ht="12.75">
      <c r="A318" s="84" t="s">
        <v>147</v>
      </c>
      <c r="B318" s="84" t="s">
        <v>207</v>
      </c>
      <c r="C318" s="84" t="s">
        <v>353</v>
      </c>
      <c r="D318" s="84" t="s">
        <v>629</v>
      </c>
      <c r="E318" s="84" t="s">
        <v>733</v>
      </c>
      <c r="F318" s="85">
        <v>45</v>
      </c>
      <c r="G318" s="85"/>
      <c r="H318" s="85">
        <f>F318*AE318</f>
        <v>0</v>
      </c>
      <c r="I318" s="85">
        <f>J318-H318</f>
        <v>0</v>
      </c>
      <c r="J318" s="85">
        <f>F318*G318</f>
        <v>0</v>
      </c>
      <c r="K318" s="85">
        <v>0.0056</v>
      </c>
      <c r="L318" s="85">
        <f>F318*K318</f>
        <v>0.252</v>
      </c>
      <c r="M318" s="86" t="s">
        <v>758</v>
      </c>
      <c r="N318" s="13" t="s">
        <v>761</v>
      </c>
      <c r="O318" s="7">
        <f>IF(N318="5",I318,0)</f>
        <v>0</v>
      </c>
      <c r="Z318" s="7">
        <f>IF(AD318=0,J318,0)</f>
        <v>0</v>
      </c>
      <c r="AA318" s="7">
        <f>IF(AD318=15,J318,0)</f>
        <v>0</v>
      </c>
      <c r="AB318" s="7">
        <f>IF(AD318=21,J318,0)</f>
        <v>0</v>
      </c>
      <c r="AD318" s="16">
        <v>21</v>
      </c>
      <c r="AE318" s="16">
        <f>G318*1</f>
        <v>0</v>
      </c>
      <c r="AF318" s="16">
        <f>G318*(1-1)</f>
        <v>0</v>
      </c>
      <c r="AM318" s="16">
        <f>F318*AE318</f>
        <v>0</v>
      </c>
      <c r="AN318" s="16">
        <f>F318*AF318</f>
        <v>0</v>
      </c>
      <c r="AO318" s="17" t="s">
        <v>786</v>
      </c>
      <c r="AP318" s="17" t="s">
        <v>802</v>
      </c>
      <c r="AQ318" s="11" t="s">
        <v>809</v>
      </c>
    </row>
    <row r="319" spans="1:13" ht="12.75">
      <c r="A319" s="77"/>
      <c r="B319" s="77"/>
      <c r="C319" s="77"/>
      <c r="D319" s="78" t="s">
        <v>51</v>
      </c>
      <c r="E319" s="77"/>
      <c r="F319" s="79">
        <v>45</v>
      </c>
      <c r="G319" s="77"/>
      <c r="H319" s="77"/>
      <c r="I319" s="77"/>
      <c r="J319" s="77"/>
      <c r="K319" s="77"/>
      <c r="L319" s="77"/>
      <c r="M319" s="77"/>
    </row>
    <row r="320" spans="1:43" ht="12.75">
      <c r="A320" s="74" t="s">
        <v>148</v>
      </c>
      <c r="B320" s="74" t="s">
        <v>207</v>
      </c>
      <c r="C320" s="74" t="s">
        <v>354</v>
      </c>
      <c r="D320" s="74" t="s">
        <v>630</v>
      </c>
      <c r="E320" s="74" t="s">
        <v>733</v>
      </c>
      <c r="F320" s="75">
        <v>6</v>
      </c>
      <c r="G320" s="75"/>
      <c r="H320" s="75">
        <f>F320*AE320</f>
        <v>0</v>
      </c>
      <c r="I320" s="75">
        <f>J320-H320</f>
        <v>0</v>
      </c>
      <c r="J320" s="75">
        <f>F320*G320</f>
        <v>0</v>
      </c>
      <c r="K320" s="75">
        <v>0</v>
      </c>
      <c r="L320" s="75">
        <f>F320*K320</f>
        <v>0</v>
      </c>
      <c r="M320" s="76" t="s">
        <v>758</v>
      </c>
      <c r="N320" s="12" t="s">
        <v>8</v>
      </c>
      <c r="O320" s="6">
        <f>IF(N320="5",I320,0)</f>
        <v>0</v>
      </c>
      <c r="Z320" s="6">
        <f>IF(AD320=0,J320,0)</f>
        <v>0</v>
      </c>
      <c r="AA320" s="6">
        <f>IF(AD320=15,J320,0)</f>
        <v>0</v>
      </c>
      <c r="AB320" s="6">
        <f>IF(AD320=21,J320,0)</f>
        <v>0</v>
      </c>
      <c r="AD320" s="16">
        <v>21</v>
      </c>
      <c r="AE320" s="16">
        <f>G320*0</f>
        <v>0</v>
      </c>
      <c r="AF320" s="16">
        <f>G320*(1-0)</f>
        <v>0</v>
      </c>
      <c r="AM320" s="16">
        <f>F320*AE320</f>
        <v>0</v>
      </c>
      <c r="AN320" s="16">
        <f>F320*AF320</f>
        <v>0</v>
      </c>
      <c r="AO320" s="17" t="s">
        <v>786</v>
      </c>
      <c r="AP320" s="17" t="s">
        <v>802</v>
      </c>
      <c r="AQ320" s="11" t="s">
        <v>809</v>
      </c>
    </row>
    <row r="321" spans="1:13" ht="12.75">
      <c r="A321" s="77"/>
      <c r="B321" s="77"/>
      <c r="C321" s="77"/>
      <c r="D321" s="78" t="s">
        <v>12</v>
      </c>
      <c r="E321" s="77"/>
      <c r="F321" s="79">
        <v>6</v>
      </c>
      <c r="G321" s="77"/>
      <c r="H321" s="77"/>
      <c r="I321" s="77"/>
      <c r="J321" s="77"/>
      <c r="K321" s="77"/>
      <c r="L321" s="77"/>
      <c r="M321" s="77"/>
    </row>
    <row r="322" spans="1:43" ht="12.75">
      <c r="A322" s="84" t="s">
        <v>149</v>
      </c>
      <c r="B322" s="84" t="s">
        <v>207</v>
      </c>
      <c r="C322" s="84" t="s">
        <v>355</v>
      </c>
      <c r="D322" s="84" t="s">
        <v>631</v>
      </c>
      <c r="E322" s="84" t="s">
        <v>733</v>
      </c>
      <c r="F322" s="85">
        <v>6</v>
      </c>
      <c r="G322" s="85"/>
      <c r="H322" s="85">
        <f>F322*AE322</f>
        <v>0</v>
      </c>
      <c r="I322" s="85">
        <f>J322-H322</f>
        <v>0</v>
      </c>
      <c r="J322" s="85">
        <f>F322*G322</f>
        <v>0</v>
      </c>
      <c r="K322" s="85">
        <v>0.002</v>
      </c>
      <c r="L322" s="85">
        <f>F322*K322</f>
        <v>0.012</v>
      </c>
      <c r="M322" s="86" t="s">
        <v>758</v>
      </c>
      <c r="N322" s="13" t="s">
        <v>761</v>
      </c>
      <c r="O322" s="7">
        <f>IF(N322="5",I322,0)</f>
        <v>0</v>
      </c>
      <c r="Z322" s="7">
        <f>IF(AD322=0,J322,0)</f>
        <v>0</v>
      </c>
      <c r="AA322" s="7">
        <f>IF(AD322=15,J322,0)</f>
        <v>0</v>
      </c>
      <c r="AB322" s="7">
        <f>IF(AD322=21,J322,0)</f>
        <v>0</v>
      </c>
      <c r="AD322" s="16">
        <v>21</v>
      </c>
      <c r="AE322" s="16">
        <f>G322*1</f>
        <v>0</v>
      </c>
      <c r="AF322" s="16">
        <f>G322*(1-1)</f>
        <v>0</v>
      </c>
      <c r="AM322" s="16">
        <f>F322*AE322</f>
        <v>0</v>
      </c>
      <c r="AN322" s="16">
        <f>F322*AF322</f>
        <v>0</v>
      </c>
      <c r="AO322" s="17" t="s">
        <v>786</v>
      </c>
      <c r="AP322" s="17" t="s">
        <v>802</v>
      </c>
      <c r="AQ322" s="11" t="s">
        <v>809</v>
      </c>
    </row>
    <row r="323" spans="1:13" ht="12.75">
      <c r="A323" s="77"/>
      <c r="B323" s="77"/>
      <c r="C323" s="77"/>
      <c r="D323" s="78" t="s">
        <v>12</v>
      </c>
      <c r="E323" s="77"/>
      <c r="F323" s="79">
        <v>6</v>
      </c>
      <c r="G323" s="77"/>
      <c r="H323" s="77"/>
      <c r="I323" s="77"/>
      <c r="J323" s="77"/>
      <c r="K323" s="77"/>
      <c r="L323" s="77"/>
      <c r="M323" s="77"/>
    </row>
    <row r="324" spans="1:43" ht="12.75">
      <c r="A324" s="74" t="s">
        <v>150</v>
      </c>
      <c r="B324" s="74" t="s">
        <v>207</v>
      </c>
      <c r="C324" s="74" t="s">
        <v>356</v>
      </c>
      <c r="D324" s="74" t="s">
        <v>632</v>
      </c>
      <c r="E324" s="74" t="s">
        <v>733</v>
      </c>
      <c r="F324" s="75">
        <v>3</v>
      </c>
      <c r="G324" s="75"/>
      <c r="H324" s="75">
        <f>F324*AE324</f>
        <v>0</v>
      </c>
      <c r="I324" s="75">
        <f>J324-H324</f>
        <v>0</v>
      </c>
      <c r="J324" s="75">
        <f>F324*G324</f>
        <v>0</v>
      </c>
      <c r="K324" s="75">
        <v>0</v>
      </c>
      <c r="L324" s="75">
        <f>F324*K324</f>
        <v>0</v>
      </c>
      <c r="M324" s="76" t="s">
        <v>758</v>
      </c>
      <c r="N324" s="12" t="s">
        <v>8</v>
      </c>
      <c r="O324" s="6">
        <f>IF(N324="5",I324,0)</f>
        <v>0</v>
      </c>
      <c r="Z324" s="6">
        <f>IF(AD324=0,J324,0)</f>
        <v>0</v>
      </c>
      <c r="AA324" s="6">
        <f>IF(AD324=15,J324,0)</f>
        <v>0</v>
      </c>
      <c r="AB324" s="6">
        <f>IF(AD324=21,J324,0)</f>
        <v>0</v>
      </c>
      <c r="AD324" s="16">
        <v>21</v>
      </c>
      <c r="AE324" s="16">
        <f>G324*0</f>
        <v>0</v>
      </c>
      <c r="AF324" s="16">
        <f>G324*(1-0)</f>
        <v>0</v>
      </c>
      <c r="AM324" s="16">
        <f>F324*AE324</f>
        <v>0</v>
      </c>
      <c r="AN324" s="16">
        <f>F324*AF324</f>
        <v>0</v>
      </c>
      <c r="AO324" s="17" t="s">
        <v>786</v>
      </c>
      <c r="AP324" s="17" t="s">
        <v>802</v>
      </c>
      <c r="AQ324" s="11" t="s">
        <v>809</v>
      </c>
    </row>
    <row r="325" spans="1:13" ht="12.75">
      <c r="A325" s="77"/>
      <c r="B325" s="77"/>
      <c r="C325" s="77"/>
      <c r="D325" s="78" t="s">
        <v>9</v>
      </c>
      <c r="E325" s="77"/>
      <c r="F325" s="79">
        <v>3</v>
      </c>
      <c r="G325" s="77"/>
      <c r="H325" s="77"/>
      <c r="I325" s="77"/>
      <c r="J325" s="77"/>
      <c r="K325" s="77"/>
      <c r="L325" s="77"/>
      <c r="M325" s="77"/>
    </row>
    <row r="326" spans="1:43" ht="12.75">
      <c r="A326" s="84" t="s">
        <v>151</v>
      </c>
      <c r="B326" s="84" t="s">
        <v>207</v>
      </c>
      <c r="C326" s="84" t="s">
        <v>355</v>
      </c>
      <c r="D326" s="84" t="s">
        <v>633</v>
      </c>
      <c r="E326" s="84" t="s">
        <v>733</v>
      </c>
      <c r="F326" s="85">
        <v>3</v>
      </c>
      <c r="G326" s="85"/>
      <c r="H326" s="85">
        <f>F326*AE326</f>
        <v>0</v>
      </c>
      <c r="I326" s="85">
        <f>J326-H326</f>
        <v>0</v>
      </c>
      <c r="J326" s="85">
        <f>F326*G326</f>
        <v>0</v>
      </c>
      <c r="K326" s="85">
        <v>0.002</v>
      </c>
      <c r="L326" s="85">
        <f>F326*K326</f>
        <v>0.006</v>
      </c>
      <c r="M326" s="86" t="s">
        <v>758</v>
      </c>
      <c r="N326" s="13" t="s">
        <v>761</v>
      </c>
      <c r="O326" s="7">
        <f>IF(N326="5",I326,0)</f>
        <v>0</v>
      </c>
      <c r="Z326" s="7">
        <f>IF(AD326=0,J326,0)</f>
        <v>0</v>
      </c>
      <c r="AA326" s="7">
        <f>IF(AD326=15,J326,0)</f>
        <v>0</v>
      </c>
      <c r="AB326" s="7">
        <f>IF(AD326=21,J326,0)</f>
        <v>0</v>
      </c>
      <c r="AD326" s="16">
        <v>21</v>
      </c>
      <c r="AE326" s="16">
        <f>G326*1</f>
        <v>0</v>
      </c>
      <c r="AF326" s="16">
        <f>G326*(1-1)</f>
        <v>0</v>
      </c>
      <c r="AM326" s="16">
        <f>F326*AE326</f>
        <v>0</v>
      </c>
      <c r="AN326" s="16">
        <f>F326*AF326</f>
        <v>0</v>
      </c>
      <c r="AO326" s="17" t="s">
        <v>786</v>
      </c>
      <c r="AP326" s="17" t="s">
        <v>802</v>
      </c>
      <c r="AQ326" s="11" t="s">
        <v>809</v>
      </c>
    </row>
    <row r="327" spans="1:13" ht="12.75">
      <c r="A327" s="77"/>
      <c r="B327" s="77"/>
      <c r="C327" s="77"/>
      <c r="D327" s="78" t="s">
        <v>9</v>
      </c>
      <c r="E327" s="77"/>
      <c r="F327" s="79">
        <v>3</v>
      </c>
      <c r="G327" s="77"/>
      <c r="H327" s="77"/>
      <c r="I327" s="77"/>
      <c r="J327" s="77"/>
      <c r="K327" s="77"/>
      <c r="L327" s="77"/>
      <c r="M327" s="77"/>
    </row>
    <row r="328" spans="1:43" ht="12.75">
      <c r="A328" s="74" t="s">
        <v>152</v>
      </c>
      <c r="B328" s="74" t="s">
        <v>207</v>
      </c>
      <c r="C328" s="74" t="s">
        <v>357</v>
      </c>
      <c r="D328" s="74" t="s">
        <v>634</v>
      </c>
      <c r="E328" s="74" t="s">
        <v>733</v>
      </c>
      <c r="F328" s="75">
        <v>5</v>
      </c>
      <c r="G328" s="75"/>
      <c r="H328" s="75">
        <f>F328*AE328</f>
        <v>0</v>
      </c>
      <c r="I328" s="75">
        <f>J328-H328</f>
        <v>0</v>
      </c>
      <c r="J328" s="75">
        <f>F328*G328</f>
        <v>0</v>
      </c>
      <c r="K328" s="75">
        <v>0</v>
      </c>
      <c r="L328" s="75">
        <f>F328*K328</f>
        <v>0</v>
      </c>
      <c r="M328" s="76" t="s">
        <v>758</v>
      </c>
      <c r="N328" s="12" t="s">
        <v>8</v>
      </c>
      <c r="O328" s="6">
        <f>IF(N328="5",I328,0)</f>
        <v>0</v>
      </c>
      <c r="Z328" s="6">
        <f>IF(AD328=0,J328,0)</f>
        <v>0</v>
      </c>
      <c r="AA328" s="6">
        <f>IF(AD328=15,J328,0)</f>
        <v>0</v>
      </c>
      <c r="AB328" s="6">
        <f>IF(AD328=21,J328,0)</f>
        <v>0</v>
      </c>
      <c r="AD328" s="16">
        <v>21</v>
      </c>
      <c r="AE328" s="16">
        <f>G328*0</f>
        <v>0</v>
      </c>
      <c r="AF328" s="16">
        <f>G328*(1-0)</f>
        <v>0</v>
      </c>
      <c r="AM328" s="16">
        <f>F328*AE328</f>
        <v>0</v>
      </c>
      <c r="AN328" s="16">
        <f>F328*AF328</f>
        <v>0</v>
      </c>
      <c r="AO328" s="17" t="s">
        <v>786</v>
      </c>
      <c r="AP328" s="17" t="s">
        <v>802</v>
      </c>
      <c r="AQ328" s="11" t="s">
        <v>809</v>
      </c>
    </row>
    <row r="329" spans="1:13" ht="12.75">
      <c r="A329" s="77"/>
      <c r="B329" s="77"/>
      <c r="C329" s="77"/>
      <c r="D329" s="78" t="s">
        <v>11</v>
      </c>
      <c r="E329" s="77"/>
      <c r="F329" s="79">
        <v>5</v>
      </c>
      <c r="G329" s="77"/>
      <c r="H329" s="77"/>
      <c r="I329" s="77"/>
      <c r="J329" s="77"/>
      <c r="K329" s="77"/>
      <c r="L329" s="77"/>
      <c r="M329" s="77"/>
    </row>
    <row r="330" spans="1:43" ht="12.75">
      <c r="A330" s="84" t="s">
        <v>153</v>
      </c>
      <c r="B330" s="84" t="s">
        <v>207</v>
      </c>
      <c r="C330" s="84" t="s">
        <v>358</v>
      </c>
      <c r="D330" s="84" t="s">
        <v>635</v>
      </c>
      <c r="E330" s="84" t="s">
        <v>733</v>
      </c>
      <c r="F330" s="85">
        <v>5</v>
      </c>
      <c r="G330" s="85"/>
      <c r="H330" s="85">
        <f>F330*AE330</f>
        <v>0</v>
      </c>
      <c r="I330" s="85">
        <f>J330-H330</f>
        <v>0</v>
      </c>
      <c r="J330" s="85">
        <f>F330*G330</f>
        <v>0</v>
      </c>
      <c r="K330" s="85">
        <v>0.006</v>
      </c>
      <c r="L330" s="85">
        <f>F330*K330</f>
        <v>0.03</v>
      </c>
      <c r="M330" s="86" t="s">
        <v>758</v>
      </c>
      <c r="N330" s="13" t="s">
        <v>761</v>
      </c>
      <c r="O330" s="7">
        <f>IF(N330="5",I330,0)</f>
        <v>0</v>
      </c>
      <c r="Z330" s="7">
        <f>IF(AD330=0,J330,0)</f>
        <v>0</v>
      </c>
      <c r="AA330" s="7">
        <f>IF(AD330=15,J330,0)</f>
        <v>0</v>
      </c>
      <c r="AB330" s="7">
        <f>IF(AD330=21,J330,0)</f>
        <v>0</v>
      </c>
      <c r="AD330" s="16">
        <v>21</v>
      </c>
      <c r="AE330" s="16">
        <f>G330*1</f>
        <v>0</v>
      </c>
      <c r="AF330" s="16">
        <f>G330*(1-1)</f>
        <v>0</v>
      </c>
      <c r="AM330" s="16">
        <f>F330*AE330</f>
        <v>0</v>
      </c>
      <c r="AN330" s="16">
        <f>F330*AF330</f>
        <v>0</v>
      </c>
      <c r="AO330" s="17" t="s">
        <v>786</v>
      </c>
      <c r="AP330" s="17" t="s">
        <v>802</v>
      </c>
      <c r="AQ330" s="11" t="s">
        <v>809</v>
      </c>
    </row>
    <row r="331" spans="1:13" ht="12.75">
      <c r="A331" s="77"/>
      <c r="B331" s="77"/>
      <c r="C331" s="77"/>
      <c r="D331" s="78" t="s">
        <v>11</v>
      </c>
      <c r="E331" s="77"/>
      <c r="F331" s="79">
        <v>5</v>
      </c>
      <c r="G331" s="77"/>
      <c r="H331" s="77"/>
      <c r="I331" s="77"/>
      <c r="J331" s="77"/>
      <c r="K331" s="77"/>
      <c r="L331" s="77"/>
      <c r="M331" s="77"/>
    </row>
    <row r="332" spans="1:43" ht="12.75">
      <c r="A332" s="74" t="s">
        <v>154</v>
      </c>
      <c r="B332" s="74" t="s">
        <v>207</v>
      </c>
      <c r="C332" s="74" t="s">
        <v>359</v>
      </c>
      <c r="D332" s="74" t="s">
        <v>636</v>
      </c>
      <c r="E332" s="74" t="s">
        <v>733</v>
      </c>
      <c r="F332" s="75">
        <v>2</v>
      </c>
      <c r="G332" s="75"/>
      <c r="H332" s="75">
        <f>F332*AE332</f>
        <v>0</v>
      </c>
      <c r="I332" s="75">
        <f>J332-H332</f>
        <v>0</v>
      </c>
      <c r="J332" s="75">
        <f>F332*G332</f>
        <v>0</v>
      </c>
      <c r="K332" s="75">
        <v>0</v>
      </c>
      <c r="L332" s="75">
        <f>F332*K332</f>
        <v>0</v>
      </c>
      <c r="M332" s="76" t="s">
        <v>758</v>
      </c>
      <c r="N332" s="12" t="s">
        <v>8</v>
      </c>
      <c r="O332" s="6">
        <f>IF(N332="5",I332,0)</f>
        <v>0</v>
      </c>
      <c r="Z332" s="6">
        <f>IF(AD332=0,J332,0)</f>
        <v>0</v>
      </c>
      <c r="AA332" s="6">
        <f>IF(AD332=15,J332,0)</f>
        <v>0</v>
      </c>
      <c r="AB332" s="6">
        <f>IF(AD332=21,J332,0)</f>
        <v>0</v>
      </c>
      <c r="AD332" s="16">
        <v>21</v>
      </c>
      <c r="AE332" s="16">
        <f>G332*0</f>
        <v>0</v>
      </c>
      <c r="AF332" s="16">
        <f>G332*(1-0)</f>
        <v>0</v>
      </c>
      <c r="AM332" s="16">
        <f>F332*AE332</f>
        <v>0</v>
      </c>
      <c r="AN332" s="16">
        <f>F332*AF332</f>
        <v>0</v>
      </c>
      <c r="AO332" s="17" t="s">
        <v>786</v>
      </c>
      <c r="AP332" s="17" t="s">
        <v>802</v>
      </c>
      <c r="AQ332" s="11" t="s">
        <v>809</v>
      </c>
    </row>
    <row r="333" spans="1:13" ht="12.75">
      <c r="A333" s="77"/>
      <c r="B333" s="77"/>
      <c r="C333" s="77"/>
      <c r="D333" s="78" t="s">
        <v>8</v>
      </c>
      <c r="E333" s="77"/>
      <c r="F333" s="79">
        <v>2</v>
      </c>
      <c r="G333" s="77"/>
      <c r="H333" s="77"/>
      <c r="I333" s="77"/>
      <c r="J333" s="77"/>
      <c r="K333" s="77"/>
      <c r="L333" s="77"/>
      <c r="M333" s="77"/>
    </row>
    <row r="334" spans="1:43" ht="12.75">
      <c r="A334" s="84" t="s">
        <v>155</v>
      </c>
      <c r="B334" s="84" t="s">
        <v>207</v>
      </c>
      <c r="C334" s="84" t="s">
        <v>360</v>
      </c>
      <c r="D334" s="84" t="s">
        <v>637</v>
      </c>
      <c r="E334" s="84" t="s">
        <v>733</v>
      </c>
      <c r="F334" s="85">
        <v>2</v>
      </c>
      <c r="G334" s="85"/>
      <c r="H334" s="85">
        <f>F334*AE334</f>
        <v>0</v>
      </c>
      <c r="I334" s="85">
        <f>J334-H334</f>
        <v>0</v>
      </c>
      <c r="J334" s="85">
        <f>F334*G334</f>
        <v>0</v>
      </c>
      <c r="K334" s="85">
        <v>0.0045</v>
      </c>
      <c r="L334" s="85">
        <f>F334*K334</f>
        <v>0.009</v>
      </c>
      <c r="M334" s="86" t="s">
        <v>758</v>
      </c>
      <c r="N334" s="13" t="s">
        <v>761</v>
      </c>
      <c r="O334" s="7">
        <f>IF(N334="5",I334,0)</f>
        <v>0</v>
      </c>
      <c r="Z334" s="7">
        <f>IF(AD334=0,J334,0)</f>
        <v>0</v>
      </c>
      <c r="AA334" s="7">
        <f>IF(AD334=15,J334,0)</f>
        <v>0</v>
      </c>
      <c r="AB334" s="7">
        <f>IF(AD334=21,J334,0)</f>
        <v>0</v>
      </c>
      <c r="AD334" s="16">
        <v>21</v>
      </c>
      <c r="AE334" s="16">
        <f>G334*1</f>
        <v>0</v>
      </c>
      <c r="AF334" s="16">
        <f>G334*(1-1)</f>
        <v>0</v>
      </c>
      <c r="AM334" s="16">
        <f>F334*AE334</f>
        <v>0</v>
      </c>
      <c r="AN334" s="16">
        <f>F334*AF334</f>
        <v>0</v>
      </c>
      <c r="AO334" s="17" t="s">
        <v>786</v>
      </c>
      <c r="AP334" s="17" t="s">
        <v>802</v>
      </c>
      <c r="AQ334" s="11" t="s">
        <v>809</v>
      </c>
    </row>
    <row r="335" spans="1:13" ht="12.75">
      <c r="A335" s="77"/>
      <c r="B335" s="77"/>
      <c r="C335" s="77"/>
      <c r="D335" s="78" t="s">
        <v>8</v>
      </c>
      <c r="E335" s="77"/>
      <c r="F335" s="79">
        <v>2</v>
      </c>
      <c r="G335" s="77"/>
      <c r="H335" s="77"/>
      <c r="I335" s="77"/>
      <c r="J335" s="77"/>
      <c r="K335" s="77"/>
      <c r="L335" s="77"/>
      <c r="M335" s="77"/>
    </row>
    <row r="336" spans="1:43" ht="12.75">
      <c r="A336" s="74" t="s">
        <v>156</v>
      </c>
      <c r="B336" s="74" t="s">
        <v>207</v>
      </c>
      <c r="C336" s="74" t="s">
        <v>361</v>
      </c>
      <c r="D336" s="74" t="s">
        <v>638</v>
      </c>
      <c r="E336" s="74" t="s">
        <v>730</v>
      </c>
      <c r="F336" s="75">
        <v>2</v>
      </c>
      <c r="G336" s="75"/>
      <c r="H336" s="75">
        <f>F336*AE336</f>
        <v>0</v>
      </c>
      <c r="I336" s="75">
        <f>J336-H336</f>
        <v>0</v>
      </c>
      <c r="J336" s="75">
        <f>F336*G336</f>
        <v>0</v>
      </c>
      <c r="K336" s="75">
        <v>0</v>
      </c>
      <c r="L336" s="75">
        <f>F336*K336</f>
        <v>0</v>
      </c>
      <c r="M336" s="76" t="s">
        <v>758</v>
      </c>
      <c r="N336" s="12" t="s">
        <v>8</v>
      </c>
      <c r="O336" s="6">
        <f>IF(N336="5",I336,0)</f>
        <v>0</v>
      </c>
      <c r="Z336" s="6">
        <f>IF(AD336=0,J336,0)</f>
        <v>0</v>
      </c>
      <c r="AA336" s="6">
        <f>IF(AD336=15,J336,0)</f>
        <v>0</v>
      </c>
      <c r="AB336" s="6">
        <f>IF(AD336=21,J336,0)</f>
        <v>0</v>
      </c>
      <c r="AD336" s="16">
        <v>21</v>
      </c>
      <c r="AE336" s="16">
        <f>G336*0</f>
        <v>0</v>
      </c>
      <c r="AF336" s="16">
        <f>G336*(1-0)</f>
        <v>0</v>
      </c>
      <c r="AM336" s="16">
        <f>F336*AE336</f>
        <v>0</v>
      </c>
      <c r="AN336" s="16">
        <f>F336*AF336</f>
        <v>0</v>
      </c>
      <c r="AO336" s="17" t="s">
        <v>786</v>
      </c>
      <c r="AP336" s="17" t="s">
        <v>802</v>
      </c>
      <c r="AQ336" s="11" t="s">
        <v>809</v>
      </c>
    </row>
    <row r="337" spans="1:13" ht="12.75">
      <c r="A337" s="77"/>
      <c r="B337" s="77"/>
      <c r="C337" s="77"/>
      <c r="D337" s="78" t="s">
        <v>8</v>
      </c>
      <c r="E337" s="77"/>
      <c r="F337" s="79">
        <v>2</v>
      </c>
      <c r="G337" s="77"/>
      <c r="H337" s="77"/>
      <c r="I337" s="77"/>
      <c r="J337" s="77"/>
      <c r="K337" s="77"/>
      <c r="L337" s="77"/>
      <c r="M337" s="77"/>
    </row>
    <row r="338" spans="1:43" ht="12.75">
      <c r="A338" s="74" t="s">
        <v>157</v>
      </c>
      <c r="B338" s="74" t="s">
        <v>207</v>
      </c>
      <c r="C338" s="74" t="s">
        <v>362</v>
      </c>
      <c r="D338" s="74" t="s">
        <v>639</v>
      </c>
      <c r="E338" s="74" t="s">
        <v>736</v>
      </c>
      <c r="F338" s="75"/>
      <c r="G338" s="75">
        <v>0.03</v>
      </c>
      <c r="H338" s="75">
        <f>F338*AE338</f>
        <v>0</v>
      </c>
      <c r="I338" s="75">
        <f>J338-H338</f>
        <v>0</v>
      </c>
      <c r="J338" s="75">
        <f>F338*G338</f>
        <v>0</v>
      </c>
      <c r="K338" s="75">
        <v>0</v>
      </c>
      <c r="L338" s="75">
        <f>F338*K338</f>
        <v>0</v>
      </c>
      <c r="M338" s="76" t="s">
        <v>758</v>
      </c>
      <c r="N338" s="12" t="s">
        <v>8</v>
      </c>
      <c r="O338" s="6">
        <f>IF(N338="5",I338,0)</f>
        <v>0</v>
      </c>
      <c r="Z338" s="6">
        <f>IF(AD338=0,J338,0)</f>
        <v>0</v>
      </c>
      <c r="AA338" s="6">
        <f>IF(AD338=15,J338,0)</f>
        <v>0</v>
      </c>
      <c r="AB338" s="6">
        <f>IF(AD338=21,J338,0)</f>
        <v>0</v>
      </c>
      <c r="AD338" s="16">
        <v>21</v>
      </c>
      <c r="AE338" s="16">
        <f>G338*0</f>
        <v>0</v>
      </c>
      <c r="AF338" s="16">
        <f>G338*(1-0)</f>
        <v>0.03</v>
      </c>
      <c r="AM338" s="16">
        <f>F338*AE338</f>
        <v>0</v>
      </c>
      <c r="AN338" s="16">
        <f>F338*AF338</f>
        <v>0</v>
      </c>
      <c r="AO338" s="17" t="s">
        <v>786</v>
      </c>
      <c r="AP338" s="17" t="s">
        <v>802</v>
      </c>
      <c r="AQ338" s="11" t="s">
        <v>809</v>
      </c>
    </row>
    <row r="339" spans="1:43" ht="12.75">
      <c r="A339" s="74" t="s">
        <v>158</v>
      </c>
      <c r="B339" s="74" t="s">
        <v>207</v>
      </c>
      <c r="C339" s="74" t="s">
        <v>363</v>
      </c>
      <c r="D339" s="74" t="s">
        <v>640</v>
      </c>
      <c r="E339" s="74" t="s">
        <v>736</v>
      </c>
      <c r="F339" s="75"/>
      <c r="G339" s="75">
        <v>0.05</v>
      </c>
      <c r="H339" s="75">
        <f>F339*AE339</f>
        <v>0</v>
      </c>
      <c r="I339" s="75">
        <f>J339-H339</f>
        <v>0</v>
      </c>
      <c r="J339" s="75">
        <f>F339*G339</f>
        <v>0</v>
      </c>
      <c r="K339" s="75">
        <v>0</v>
      </c>
      <c r="L339" s="75">
        <f>F339*K339</f>
        <v>0</v>
      </c>
      <c r="M339" s="76" t="s">
        <v>758</v>
      </c>
      <c r="N339" s="12" t="s">
        <v>8</v>
      </c>
      <c r="O339" s="6">
        <f>IF(N339="5",I339,0)</f>
        <v>0</v>
      </c>
      <c r="Z339" s="6">
        <f>IF(AD339=0,J339,0)</f>
        <v>0</v>
      </c>
      <c r="AA339" s="6">
        <f>IF(AD339=15,J339,0)</f>
        <v>0</v>
      </c>
      <c r="AB339" s="6">
        <f>IF(AD339=21,J339,0)</f>
        <v>0</v>
      </c>
      <c r="AD339" s="16">
        <v>21</v>
      </c>
      <c r="AE339" s="16">
        <f>G339*0</f>
        <v>0</v>
      </c>
      <c r="AF339" s="16">
        <f>G339*(1-0)</f>
        <v>0.05</v>
      </c>
      <c r="AM339" s="16">
        <f>F339*AE339</f>
        <v>0</v>
      </c>
      <c r="AN339" s="16">
        <f>F339*AF339</f>
        <v>0</v>
      </c>
      <c r="AO339" s="17" t="s">
        <v>786</v>
      </c>
      <c r="AP339" s="17" t="s">
        <v>802</v>
      </c>
      <c r="AQ339" s="11" t="s">
        <v>809</v>
      </c>
    </row>
    <row r="340" spans="1:43" ht="12.75">
      <c r="A340" s="74" t="s">
        <v>159</v>
      </c>
      <c r="B340" s="74" t="s">
        <v>207</v>
      </c>
      <c r="C340" s="74" t="s">
        <v>364</v>
      </c>
      <c r="D340" s="74" t="s">
        <v>641</v>
      </c>
      <c r="E340" s="74" t="s">
        <v>736</v>
      </c>
      <c r="F340" s="75"/>
      <c r="G340" s="75">
        <v>0.06</v>
      </c>
      <c r="H340" s="75">
        <f>F340*AE340</f>
        <v>0</v>
      </c>
      <c r="I340" s="75">
        <f>J340-H340</f>
        <v>0</v>
      </c>
      <c r="J340" s="75">
        <f>F340*G340</f>
        <v>0</v>
      </c>
      <c r="K340" s="75">
        <v>0</v>
      </c>
      <c r="L340" s="75">
        <f>F340*K340</f>
        <v>0</v>
      </c>
      <c r="M340" s="76" t="s">
        <v>758</v>
      </c>
      <c r="N340" s="12" t="s">
        <v>8</v>
      </c>
      <c r="O340" s="6">
        <f>IF(N340="5",I340,0)</f>
        <v>0</v>
      </c>
      <c r="Z340" s="6">
        <f>IF(AD340=0,J340,0)</f>
        <v>0</v>
      </c>
      <c r="AA340" s="6">
        <f>IF(AD340=15,J340,0)</f>
        <v>0</v>
      </c>
      <c r="AB340" s="6">
        <f>IF(AD340=21,J340,0)</f>
        <v>0</v>
      </c>
      <c r="AD340" s="16">
        <v>21</v>
      </c>
      <c r="AE340" s="16">
        <f>G340*0</f>
        <v>0</v>
      </c>
      <c r="AF340" s="16">
        <f>G340*(1-0)</f>
        <v>0.06</v>
      </c>
      <c r="AM340" s="16">
        <f>F340*AE340</f>
        <v>0</v>
      </c>
      <c r="AN340" s="16">
        <f>F340*AF340</f>
        <v>0</v>
      </c>
      <c r="AO340" s="17" t="s">
        <v>786</v>
      </c>
      <c r="AP340" s="17" t="s">
        <v>802</v>
      </c>
      <c r="AQ340" s="11" t="s">
        <v>809</v>
      </c>
    </row>
    <row r="341" spans="1:37" ht="12.75">
      <c r="A341" s="70"/>
      <c r="B341" s="71" t="s">
        <v>207</v>
      </c>
      <c r="C341" s="71" t="s">
        <v>365</v>
      </c>
      <c r="D341" s="225" t="s">
        <v>642</v>
      </c>
      <c r="E341" s="226"/>
      <c r="F341" s="226"/>
      <c r="G341" s="226"/>
      <c r="H341" s="72">
        <f>SUM(H342:H342)</f>
        <v>0</v>
      </c>
      <c r="I341" s="72">
        <f>SUM(I342:I342)</f>
        <v>0</v>
      </c>
      <c r="J341" s="72">
        <f>H341+I341</f>
        <v>0</v>
      </c>
      <c r="K341" s="73"/>
      <c r="L341" s="72">
        <f>SUM(L342:L342)</f>
        <v>0</v>
      </c>
      <c r="M341" s="73"/>
      <c r="P341" s="18">
        <f>IF(Q341="PR",J341,SUM(O342:O342))</f>
        <v>0</v>
      </c>
      <c r="Q341" s="11" t="s">
        <v>766</v>
      </c>
      <c r="R341" s="18">
        <f>IF(Q341="HS",H341,0)</f>
        <v>0</v>
      </c>
      <c r="S341" s="18">
        <f>IF(Q341="HS",I341-P341,0)</f>
        <v>0</v>
      </c>
      <c r="T341" s="18">
        <f>IF(Q341="PS",H341,0)</f>
        <v>0</v>
      </c>
      <c r="U341" s="18">
        <f>IF(Q341="PS",I341-P341,0)</f>
        <v>0</v>
      </c>
      <c r="V341" s="18">
        <f>IF(Q341="MP",H341,0)</f>
        <v>0</v>
      </c>
      <c r="W341" s="18">
        <f>IF(Q341="MP",I341-P341,0)</f>
        <v>0</v>
      </c>
      <c r="X341" s="18">
        <f>IF(Q341="OM",H341,0)</f>
        <v>0</v>
      </c>
      <c r="Y341" s="11" t="s">
        <v>207</v>
      </c>
      <c r="AI341" s="18">
        <f>SUM(Z342:Z342)</f>
        <v>0</v>
      </c>
      <c r="AJ341" s="18">
        <f>SUM(AA342:AA342)</f>
        <v>0</v>
      </c>
      <c r="AK341" s="18">
        <f>SUM(AB342:AB342)</f>
        <v>0</v>
      </c>
    </row>
    <row r="342" spans="1:43" ht="12.75">
      <c r="A342" s="74" t="s">
        <v>160</v>
      </c>
      <c r="B342" s="74" t="s">
        <v>207</v>
      </c>
      <c r="C342" s="74" t="s">
        <v>366</v>
      </c>
      <c r="D342" s="74" t="s">
        <v>643</v>
      </c>
      <c r="E342" s="74" t="s">
        <v>737</v>
      </c>
      <c r="F342" s="75">
        <v>1</v>
      </c>
      <c r="G342" s="75">
        <f>' Skladová tech'!G15</f>
        <v>0</v>
      </c>
      <c r="H342" s="75">
        <f>F342*AE342</f>
        <v>0</v>
      </c>
      <c r="I342" s="75">
        <f>J342-H342</f>
        <v>0</v>
      </c>
      <c r="J342" s="75">
        <f>F342*G342</f>
        <v>0</v>
      </c>
      <c r="K342" s="75">
        <v>0</v>
      </c>
      <c r="L342" s="75">
        <f>F342*K342</f>
        <v>0</v>
      </c>
      <c r="M342" s="76" t="s">
        <v>760</v>
      </c>
      <c r="N342" s="12" t="s">
        <v>8</v>
      </c>
      <c r="O342" s="6">
        <f>IF(N342="5",I342,0)</f>
        <v>0</v>
      </c>
      <c r="Z342" s="6">
        <f>IF(AD342=0,J342,0)</f>
        <v>0</v>
      </c>
      <c r="AA342" s="6">
        <f>IF(AD342=15,J342,0)</f>
        <v>0</v>
      </c>
      <c r="AB342" s="6">
        <f>IF(AD342=21,J342,0)</f>
        <v>0</v>
      </c>
      <c r="AD342" s="16">
        <v>21</v>
      </c>
      <c r="AE342" s="16">
        <f>G342*0</f>
        <v>0</v>
      </c>
      <c r="AF342" s="16">
        <f>G342*(1-0)</f>
        <v>0</v>
      </c>
      <c r="AM342" s="16">
        <f>F342*AE342</f>
        <v>0</v>
      </c>
      <c r="AN342" s="16">
        <f>F342*AF342</f>
        <v>0</v>
      </c>
      <c r="AO342" s="17" t="s">
        <v>787</v>
      </c>
      <c r="AP342" s="17" t="s">
        <v>802</v>
      </c>
      <c r="AQ342" s="11" t="s">
        <v>809</v>
      </c>
    </row>
    <row r="343" spans="1:13" ht="12.75">
      <c r="A343" s="77"/>
      <c r="B343" s="77"/>
      <c r="C343" s="77"/>
      <c r="D343" s="78" t="s">
        <v>7</v>
      </c>
      <c r="E343" s="77"/>
      <c r="F343" s="79">
        <v>1</v>
      </c>
      <c r="G343" s="77"/>
      <c r="H343" s="77"/>
      <c r="I343" s="77"/>
      <c r="J343" s="77"/>
      <c r="K343" s="77"/>
      <c r="L343" s="77"/>
      <c r="M343" s="77"/>
    </row>
    <row r="344" spans="1:37" ht="12.75">
      <c r="A344" s="70"/>
      <c r="B344" s="71" t="s">
        <v>207</v>
      </c>
      <c r="C344" s="71" t="s">
        <v>367</v>
      </c>
      <c r="D344" s="225" t="s">
        <v>644</v>
      </c>
      <c r="E344" s="226"/>
      <c r="F344" s="226"/>
      <c r="G344" s="226"/>
      <c r="H344" s="72">
        <f>SUM(H345:H345)</f>
        <v>0</v>
      </c>
      <c r="I344" s="72">
        <f>SUM(I345:I345)</f>
        <v>0</v>
      </c>
      <c r="J344" s="72">
        <f>H344+I344</f>
        <v>0</v>
      </c>
      <c r="K344" s="73"/>
      <c r="L344" s="72">
        <f>SUM(L345:L345)</f>
        <v>0</v>
      </c>
      <c r="M344" s="73"/>
      <c r="P344" s="18">
        <f>IF(Q344="PR",J344,SUM(O345:O345))</f>
        <v>0</v>
      </c>
      <c r="Q344" s="11" t="s">
        <v>766</v>
      </c>
      <c r="R344" s="18">
        <f>IF(Q344="HS",H344,0)</f>
        <v>0</v>
      </c>
      <c r="S344" s="18">
        <f>IF(Q344="HS",I344-P344,0)</f>
        <v>0</v>
      </c>
      <c r="T344" s="18">
        <f>IF(Q344="PS",H344,0)</f>
        <v>0</v>
      </c>
      <c r="U344" s="18">
        <f>IF(Q344="PS",I344-P344,0)</f>
        <v>0</v>
      </c>
      <c r="V344" s="18">
        <f>IF(Q344="MP",H344,0)</f>
        <v>0</v>
      </c>
      <c r="W344" s="18">
        <f>IF(Q344="MP",I344-P344,0)</f>
        <v>0</v>
      </c>
      <c r="X344" s="18">
        <f>IF(Q344="OM",H344,0)</f>
        <v>0</v>
      </c>
      <c r="Y344" s="11" t="s">
        <v>207</v>
      </c>
      <c r="AI344" s="18">
        <f>SUM(Z345:Z345)</f>
        <v>0</v>
      </c>
      <c r="AJ344" s="18">
        <f>SUM(AA345:AA345)</f>
        <v>0</v>
      </c>
      <c r="AK344" s="18">
        <f>SUM(AB345:AB345)</f>
        <v>0</v>
      </c>
    </row>
    <row r="345" spans="1:43" ht="12.75">
      <c r="A345" s="74" t="s">
        <v>161</v>
      </c>
      <c r="B345" s="74" t="s">
        <v>207</v>
      </c>
      <c r="C345" s="74" t="s">
        <v>368</v>
      </c>
      <c r="D345" s="74" t="s">
        <v>645</v>
      </c>
      <c r="E345" s="74" t="s">
        <v>737</v>
      </c>
      <c r="F345" s="75">
        <v>1</v>
      </c>
      <c r="G345" s="75">
        <f>'OK 2.et'!G34</f>
        <v>0</v>
      </c>
      <c r="H345" s="75">
        <f>F345*AE345</f>
        <v>0</v>
      </c>
      <c r="I345" s="75">
        <f>J345-H345</f>
        <v>0</v>
      </c>
      <c r="J345" s="75">
        <f>F345*G345</f>
        <v>0</v>
      </c>
      <c r="K345" s="75">
        <v>0</v>
      </c>
      <c r="L345" s="75">
        <f>F345*K345</f>
        <v>0</v>
      </c>
      <c r="M345" s="76" t="s">
        <v>760</v>
      </c>
      <c r="N345" s="12" t="s">
        <v>8</v>
      </c>
      <c r="O345" s="6">
        <f>IF(N345="5",I345,0)</f>
        <v>0</v>
      </c>
      <c r="Z345" s="6">
        <f>IF(AD345=0,J345,0)</f>
        <v>0</v>
      </c>
      <c r="AA345" s="6">
        <f>IF(AD345=15,J345,0)</f>
        <v>0</v>
      </c>
      <c r="AB345" s="6">
        <f>IF(AD345=21,J345,0)</f>
        <v>0</v>
      </c>
      <c r="AD345" s="16">
        <v>21</v>
      </c>
      <c r="AE345" s="16">
        <f>G345*0.980000001529676</f>
        <v>0</v>
      </c>
      <c r="AF345" s="16">
        <f>G345*(1-0.980000001529676)</f>
        <v>0</v>
      </c>
      <c r="AM345" s="16">
        <f>F345*AE345</f>
        <v>0</v>
      </c>
      <c r="AN345" s="16">
        <f>F345*AF345</f>
        <v>0</v>
      </c>
      <c r="AO345" s="17" t="s">
        <v>788</v>
      </c>
      <c r="AP345" s="17" t="s">
        <v>802</v>
      </c>
      <c r="AQ345" s="11" t="s">
        <v>809</v>
      </c>
    </row>
    <row r="346" spans="1:13" ht="12.75">
      <c r="A346" s="77"/>
      <c r="B346" s="77"/>
      <c r="C346" s="77"/>
      <c r="D346" s="78" t="s">
        <v>7</v>
      </c>
      <c r="E346" s="77"/>
      <c r="F346" s="79">
        <v>1</v>
      </c>
      <c r="G346" s="77"/>
      <c r="H346" s="77"/>
      <c r="I346" s="77"/>
      <c r="J346" s="77"/>
      <c r="K346" s="77"/>
      <c r="L346" s="77"/>
      <c r="M346" s="77"/>
    </row>
    <row r="347" spans="1:13" ht="12.75">
      <c r="A347" s="80"/>
      <c r="B347" s="81" t="s">
        <v>208</v>
      </c>
      <c r="C347" s="81"/>
      <c r="D347" s="229" t="s">
        <v>646</v>
      </c>
      <c r="E347" s="230"/>
      <c r="F347" s="230"/>
      <c r="G347" s="230"/>
      <c r="H347" s="82">
        <f>H348+H359+H362</f>
        <v>0</v>
      </c>
      <c r="I347" s="82">
        <f>I348+I359+I362</f>
        <v>0</v>
      </c>
      <c r="J347" s="82">
        <f>H347+I347</f>
        <v>0</v>
      </c>
      <c r="K347" s="83"/>
      <c r="L347" s="82">
        <f>L348+L359+L362</f>
        <v>52.094533999999996</v>
      </c>
      <c r="M347" s="83"/>
    </row>
    <row r="348" spans="1:37" ht="12.75">
      <c r="A348" s="70"/>
      <c r="B348" s="71" t="s">
        <v>208</v>
      </c>
      <c r="C348" s="71" t="s">
        <v>7</v>
      </c>
      <c r="D348" s="225" t="s">
        <v>415</v>
      </c>
      <c r="E348" s="226"/>
      <c r="F348" s="226"/>
      <c r="G348" s="226"/>
      <c r="H348" s="72">
        <f>SUM(H349:H357)</f>
        <v>0</v>
      </c>
      <c r="I348" s="72">
        <f>SUM(I349:I357)</f>
        <v>0</v>
      </c>
      <c r="J348" s="72">
        <f>H348+I348</f>
        <v>0</v>
      </c>
      <c r="K348" s="73"/>
      <c r="L348" s="72">
        <f>SUM(L349:L357)</f>
        <v>44.373264</v>
      </c>
      <c r="M348" s="73"/>
      <c r="P348" s="18">
        <f>IF(Q348="PR",J348,SUM(O349:O357))</f>
        <v>0</v>
      </c>
      <c r="Q348" s="11" t="s">
        <v>764</v>
      </c>
      <c r="R348" s="18">
        <f>IF(Q348="HS",H348,0)</f>
        <v>0</v>
      </c>
      <c r="S348" s="18">
        <f>IF(Q348="HS",I348-P348,0)</f>
        <v>0</v>
      </c>
      <c r="T348" s="18">
        <f>IF(Q348="PS",H348,0)</f>
        <v>0</v>
      </c>
      <c r="U348" s="18">
        <f>IF(Q348="PS",I348-P348,0)</f>
        <v>0</v>
      </c>
      <c r="V348" s="18">
        <f>IF(Q348="MP",H348,0)</f>
        <v>0</v>
      </c>
      <c r="W348" s="18">
        <f>IF(Q348="MP",I348-P348,0)</f>
        <v>0</v>
      </c>
      <c r="X348" s="18">
        <f>IF(Q348="OM",H348,0)</f>
        <v>0</v>
      </c>
      <c r="Y348" s="11" t="s">
        <v>208</v>
      </c>
      <c r="AI348" s="18">
        <f>SUM(Z349:Z357)</f>
        <v>0</v>
      </c>
      <c r="AJ348" s="18">
        <f>SUM(AA349:AA357)</f>
        <v>0</v>
      </c>
      <c r="AK348" s="18">
        <f>SUM(AB349:AB357)</f>
        <v>0</v>
      </c>
    </row>
    <row r="349" spans="1:43" ht="12.75">
      <c r="A349" s="74" t="s">
        <v>162</v>
      </c>
      <c r="B349" s="74" t="s">
        <v>208</v>
      </c>
      <c r="C349" s="74" t="s">
        <v>226</v>
      </c>
      <c r="D349" s="74" t="s">
        <v>445</v>
      </c>
      <c r="E349" s="74" t="s">
        <v>731</v>
      </c>
      <c r="F349" s="75">
        <v>89</v>
      </c>
      <c r="G349" s="75"/>
      <c r="H349" s="75">
        <f>F349*AE349</f>
        <v>0</v>
      </c>
      <c r="I349" s="75">
        <f>J349-H349</f>
        <v>0</v>
      </c>
      <c r="J349" s="75">
        <f>F349*G349</f>
        <v>0</v>
      </c>
      <c r="K349" s="75">
        <v>0</v>
      </c>
      <c r="L349" s="75">
        <f>F349*K349</f>
        <v>0</v>
      </c>
      <c r="M349" s="76" t="s">
        <v>758</v>
      </c>
      <c r="N349" s="12" t="s">
        <v>7</v>
      </c>
      <c r="O349" s="6">
        <f>IF(N349="5",I349,0)</f>
        <v>0</v>
      </c>
      <c r="Z349" s="6">
        <f>IF(AD349=0,J349,0)</f>
        <v>0</v>
      </c>
      <c r="AA349" s="6">
        <f>IF(AD349=15,J349,0)</f>
        <v>0</v>
      </c>
      <c r="AB349" s="6">
        <f>IF(AD349=21,J349,0)</f>
        <v>0</v>
      </c>
      <c r="AD349" s="16">
        <v>21</v>
      </c>
      <c r="AE349" s="16">
        <f>G349*0</f>
        <v>0</v>
      </c>
      <c r="AF349" s="16">
        <f>G349*(1-0)</f>
        <v>0</v>
      </c>
      <c r="AM349" s="16">
        <f>F349*AE349</f>
        <v>0</v>
      </c>
      <c r="AN349" s="16">
        <f>F349*AF349</f>
        <v>0</v>
      </c>
      <c r="AO349" s="17" t="s">
        <v>774</v>
      </c>
      <c r="AP349" s="17" t="s">
        <v>774</v>
      </c>
      <c r="AQ349" s="11" t="s">
        <v>810</v>
      </c>
    </row>
    <row r="350" spans="1:13" ht="12.75">
      <c r="A350" s="77"/>
      <c r="B350" s="77"/>
      <c r="C350" s="77"/>
      <c r="D350" s="78" t="s">
        <v>647</v>
      </c>
      <c r="E350" s="77"/>
      <c r="F350" s="79">
        <v>89</v>
      </c>
      <c r="G350" s="77"/>
      <c r="H350" s="77"/>
      <c r="I350" s="77"/>
      <c r="J350" s="77"/>
      <c r="K350" s="77"/>
      <c r="L350" s="77"/>
      <c r="M350" s="77"/>
    </row>
    <row r="351" spans="1:43" ht="12.75">
      <c r="A351" s="74" t="s">
        <v>163</v>
      </c>
      <c r="B351" s="74" t="s">
        <v>208</v>
      </c>
      <c r="C351" s="74" t="s">
        <v>369</v>
      </c>
      <c r="D351" s="74" t="s">
        <v>648</v>
      </c>
      <c r="E351" s="74" t="s">
        <v>731</v>
      </c>
      <c r="F351" s="75">
        <v>7.12</v>
      </c>
      <c r="G351" s="75"/>
      <c r="H351" s="75">
        <f>F351*AE351</f>
        <v>0</v>
      </c>
      <c r="I351" s="75">
        <f>J351-H351</f>
        <v>0</v>
      </c>
      <c r="J351" s="75">
        <f>F351*G351</f>
        <v>0</v>
      </c>
      <c r="K351" s="75">
        <v>1.1322</v>
      </c>
      <c r="L351" s="75">
        <f>F351*K351</f>
        <v>8.061264000000001</v>
      </c>
      <c r="M351" s="76" t="s">
        <v>758</v>
      </c>
      <c r="N351" s="12" t="s">
        <v>7</v>
      </c>
      <c r="O351" s="6">
        <f>IF(N351="5",I351,0)</f>
        <v>0</v>
      </c>
      <c r="Z351" s="6">
        <f>IF(AD351=0,J351,0)</f>
        <v>0</v>
      </c>
      <c r="AA351" s="6">
        <f>IF(AD351=15,J351,0)</f>
        <v>0</v>
      </c>
      <c r="AB351" s="6">
        <f>IF(AD351=21,J351,0)</f>
        <v>0</v>
      </c>
      <c r="AD351" s="16">
        <v>21</v>
      </c>
      <c r="AE351" s="16">
        <f>G351*0.482813738441215</f>
        <v>0</v>
      </c>
      <c r="AF351" s="16">
        <f>G351*(1-0.482813738441215)</f>
        <v>0</v>
      </c>
      <c r="AM351" s="16">
        <f>F351*AE351</f>
        <v>0</v>
      </c>
      <c r="AN351" s="16">
        <f>F351*AF351</f>
        <v>0</v>
      </c>
      <c r="AO351" s="17" t="s">
        <v>774</v>
      </c>
      <c r="AP351" s="17" t="s">
        <v>774</v>
      </c>
      <c r="AQ351" s="11" t="s">
        <v>810</v>
      </c>
    </row>
    <row r="352" spans="1:13" ht="12.75">
      <c r="A352" s="77"/>
      <c r="B352" s="77"/>
      <c r="C352" s="77"/>
      <c r="D352" s="78" t="s">
        <v>649</v>
      </c>
      <c r="E352" s="77"/>
      <c r="F352" s="79">
        <v>7.12</v>
      </c>
      <c r="G352" s="77"/>
      <c r="H352" s="77"/>
      <c r="I352" s="77"/>
      <c r="J352" s="77"/>
      <c r="K352" s="77"/>
      <c r="L352" s="77"/>
      <c r="M352" s="77"/>
    </row>
    <row r="353" spans="1:43" ht="12.75">
      <c r="A353" s="74" t="s">
        <v>164</v>
      </c>
      <c r="B353" s="74" t="s">
        <v>208</v>
      </c>
      <c r="C353" s="74" t="s">
        <v>227</v>
      </c>
      <c r="D353" s="74" t="s">
        <v>449</v>
      </c>
      <c r="E353" s="74" t="s">
        <v>731</v>
      </c>
      <c r="F353" s="75">
        <v>60.52</v>
      </c>
      <c r="G353" s="75"/>
      <c r="H353" s="75">
        <f>F353*AE353</f>
        <v>0</v>
      </c>
      <c r="I353" s="75">
        <f>J353-H353</f>
        <v>0</v>
      </c>
      <c r="J353" s="75">
        <f>F353*G353</f>
        <v>0</v>
      </c>
      <c r="K353" s="75">
        <v>0</v>
      </c>
      <c r="L353" s="75">
        <f>F353*K353</f>
        <v>0</v>
      </c>
      <c r="M353" s="76" t="s">
        <v>758</v>
      </c>
      <c r="N353" s="12" t="s">
        <v>7</v>
      </c>
      <c r="O353" s="6">
        <f>IF(N353="5",I353,0)</f>
        <v>0</v>
      </c>
      <c r="Z353" s="6">
        <f>IF(AD353=0,J353,0)</f>
        <v>0</v>
      </c>
      <c r="AA353" s="6">
        <f>IF(AD353=15,J353,0)</f>
        <v>0</v>
      </c>
      <c r="AB353" s="6">
        <f>IF(AD353=21,J353,0)</f>
        <v>0</v>
      </c>
      <c r="AD353" s="16">
        <v>21</v>
      </c>
      <c r="AE353" s="16">
        <f>G353*0</f>
        <v>0</v>
      </c>
      <c r="AF353" s="16">
        <f>G353*(1-0)</f>
        <v>0</v>
      </c>
      <c r="AM353" s="16">
        <f>F353*AE353</f>
        <v>0</v>
      </c>
      <c r="AN353" s="16">
        <f>F353*AF353</f>
        <v>0</v>
      </c>
      <c r="AO353" s="17" t="s">
        <v>774</v>
      </c>
      <c r="AP353" s="17" t="s">
        <v>774</v>
      </c>
      <c r="AQ353" s="11" t="s">
        <v>810</v>
      </c>
    </row>
    <row r="354" spans="1:13" ht="12.75">
      <c r="A354" s="77"/>
      <c r="B354" s="77"/>
      <c r="C354" s="77"/>
      <c r="D354" s="78" t="s">
        <v>650</v>
      </c>
      <c r="E354" s="77"/>
      <c r="F354" s="79">
        <v>60.52</v>
      </c>
      <c r="G354" s="77"/>
      <c r="H354" s="77"/>
      <c r="I354" s="77"/>
      <c r="J354" s="77"/>
      <c r="K354" s="77"/>
      <c r="L354" s="77"/>
      <c r="M354" s="77"/>
    </row>
    <row r="355" spans="1:43" ht="12.75">
      <c r="A355" s="74" t="s">
        <v>165</v>
      </c>
      <c r="B355" s="74" t="s">
        <v>208</v>
      </c>
      <c r="C355" s="74" t="s">
        <v>370</v>
      </c>
      <c r="D355" s="74" t="s">
        <v>651</v>
      </c>
      <c r="E355" s="74" t="s">
        <v>731</v>
      </c>
      <c r="F355" s="75">
        <v>21.36</v>
      </c>
      <c r="G355" s="75"/>
      <c r="H355" s="75">
        <f>F355*AE355</f>
        <v>0</v>
      </c>
      <c r="I355" s="75">
        <f>J355-H355</f>
        <v>0</v>
      </c>
      <c r="J355" s="75">
        <f>F355*G355</f>
        <v>0</v>
      </c>
      <c r="K355" s="75">
        <v>1.7</v>
      </c>
      <c r="L355" s="75">
        <f>F355*K355</f>
        <v>36.312</v>
      </c>
      <c r="M355" s="76" t="s">
        <v>758</v>
      </c>
      <c r="N355" s="12" t="s">
        <v>7</v>
      </c>
      <c r="O355" s="6">
        <f>IF(N355="5",I355,0)</f>
        <v>0</v>
      </c>
      <c r="Z355" s="6">
        <f>IF(AD355=0,J355,0)</f>
        <v>0</v>
      </c>
      <c r="AA355" s="6">
        <f>IF(AD355=15,J355,0)</f>
        <v>0</v>
      </c>
      <c r="AB355" s="6">
        <f>IF(AD355=21,J355,0)</f>
        <v>0</v>
      </c>
      <c r="AD355" s="16">
        <v>21</v>
      </c>
      <c r="AE355" s="16">
        <f>G355*0.585577045352077</f>
        <v>0</v>
      </c>
      <c r="AF355" s="16">
        <f>G355*(1-0.585577045352077)</f>
        <v>0</v>
      </c>
      <c r="AM355" s="16">
        <f>F355*AE355</f>
        <v>0</v>
      </c>
      <c r="AN355" s="16">
        <f>F355*AF355</f>
        <v>0</v>
      </c>
      <c r="AO355" s="17" t="s">
        <v>774</v>
      </c>
      <c r="AP355" s="17" t="s">
        <v>774</v>
      </c>
      <c r="AQ355" s="11" t="s">
        <v>810</v>
      </c>
    </row>
    <row r="356" spans="1:13" ht="12.75">
      <c r="A356" s="77"/>
      <c r="B356" s="77"/>
      <c r="C356" s="77"/>
      <c r="D356" s="78" t="s">
        <v>652</v>
      </c>
      <c r="E356" s="77"/>
      <c r="F356" s="79">
        <v>21.36</v>
      </c>
      <c r="G356" s="77"/>
      <c r="H356" s="77"/>
      <c r="I356" s="77"/>
      <c r="J356" s="77"/>
      <c r="K356" s="77"/>
      <c r="L356" s="77"/>
      <c r="M356" s="77"/>
    </row>
    <row r="357" spans="1:43" ht="12.75">
      <c r="A357" s="74" t="s">
        <v>166</v>
      </c>
      <c r="B357" s="74" t="s">
        <v>208</v>
      </c>
      <c r="C357" s="74" t="s">
        <v>217</v>
      </c>
      <c r="D357" s="74" t="s">
        <v>424</v>
      </c>
      <c r="E357" s="74" t="s">
        <v>731</v>
      </c>
      <c r="F357" s="75">
        <v>28.48</v>
      </c>
      <c r="G357" s="75"/>
      <c r="H357" s="75">
        <f>F357*AE357</f>
        <v>0</v>
      </c>
      <c r="I357" s="75">
        <f>J357-H357</f>
        <v>0</v>
      </c>
      <c r="J357" s="75">
        <f>F357*G357</f>
        <v>0</v>
      </c>
      <c r="K357" s="75">
        <v>0</v>
      </c>
      <c r="L357" s="75">
        <f>F357*K357</f>
        <v>0</v>
      </c>
      <c r="M357" s="76" t="s">
        <v>758</v>
      </c>
      <c r="N357" s="12" t="s">
        <v>7</v>
      </c>
      <c r="O357" s="6">
        <f>IF(N357="5",I357,0)</f>
        <v>0</v>
      </c>
      <c r="Z357" s="6">
        <f>IF(AD357=0,J357,0)</f>
        <v>0</v>
      </c>
      <c r="AA357" s="6">
        <f>IF(AD357=15,J357,0)</f>
        <v>0</v>
      </c>
      <c r="AB357" s="6">
        <f>IF(AD357=21,J357,0)</f>
        <v>0</v>
      </c>
      <c r="AD357" s="16">
        <v>21</v>
      </c>
      <c r="AE357" s="16">
        <f>G357*0</f>
        <v>0</v>
      </c>
      <c r="AF357" s="16">
        <f>G357*(1-0)</f>
        <v>0</v>
      </c>
      <c r="AM357" s="16">
        <f>F357*AE357</f>
        <v>0</v>
      </c>
      <c r="AN357" s="16">
        <f>F357*AF357</f>
        <v>0</v>
      </c>
      <c r="AO357" s="17" t="s">
        <v>774</v>
      </c>
      <c r="AP357" s="17" t="s">
        <v>774</v>
      </c>
      <c r="AQ357" s="11" t="s">
        <v>810</v>
      </c>
    </row>
    <row r="358" spans="1:13" ht="12.75">
      <c r="A358" s="77"/>
      <c r="B358" s="77"/>
      <c r="C358" s="77"/>
      <c r="D358" s="78" t="s">
        <v>653</v>
      </c>
      <c r="E358" s="77"/>
      <c r="F358" s="79">
        <v>28.48</v>
      </c>
      <c r="G358" s="77"/>
      <c r="H358" s="77"/>
      <c r="I358" s="77"/>
      <c r="J358" s="77"/>
      <c r="K358" s="77"/>
      <c r="L358" s="77"/>
      <c r="M358" s="77"/>
    </row>
    <row r="359" spans="1:37" ht="12.75">
      <c r="A359" s="70"/>
      <c r="B359" s="71" t="s">
        <v>208</v>
      </c>
      <c r="C359" s="71" t="s">
        <v>93</v>
      </c>
      <c r="D359" s="225" t="s">
        <v>654</v>
      </c>
      <c r="E359" s="226"/>
      <c r="F359" s="226"/>
      <c r="G359" s="226"/>
      <c r="H359" s="72">
        <f>SUM(H360:H360)</f>
        <v>0</v>
      </c>
      <c r="I359" s="72">
        <f>SUM(I360:I360)</f>
        <v>0</v>
      </c>
      <c r="J359" s="72">
        <f>H359+I359</f>
        <v>0</v>
      </c>
      <c r="K359" s="73"/>
      <c r="L359" s="72">
        <f>SUM(L360:L360)</f>
        <v>0.29103</v>
      </c>
      <c r="M359" s="73"/>
      <c r="P359" s="18">
        <f>IF(Q359="PR",J359,SUM(O360:O360))</f>
        <v>0</v>
      </c>
      <c r="Q359" s="11" t="s">
        <v>764</v>
      </c>
      <c r="R359" s="18">
        <f>IF(Q359="HS",H359,0)</f>
        <v>0</v>
      </c>
      <c r="S359" s="18">
        <f>IF(Q359="HS",I359-P359,0)</f>
        <v>0</v>
      </c>
      <c r="T359" s="18">
        <f>IF(Q359="PS",H359,0)</f>
        <v>0</v>
      </c>
      <c r="U359" s="18">
        <f>IF(Q359="PS",I359-P359,0)</f>
        <v>0</v>
      </c>
      <c r="V359" s="18">
        <f>IF(Q359="MP",H359,0)</f>
        <v>0</v>
      </c>
      <c r="W359" s="18">
        <f>IF(Q359="MP",I359-P359,0)</f>
        <v>0</v>
      </c>
      <c r="X359" s="18">
        <f>IF(Q359="OM",H359,0)</f>
        <v>0</v>
      </c>
      <c r="Y359" s="11" t="s">
        <v>208</v>
      </c>
      <c r="AI359" s="18">
        <f>SUM(Z360:Z360)</f>
        <v>0</v>
      </c>
      <c r="AJ359" s="18">
        <f>SUM(AA360:AA360)</f>
        <v>0</v>
      </c>
      <c r="AK359" s="18">
        <f>SUM(AB360:AB360)</f>
        <v>0</v>
      </c>
    </row>
    <row r="360" spans="1:43" ht="12.75">
      <c r="A360" s="74" t="s">
        <v>167</v>
      </c>
      <c r="B360" s="74" t="s">
        <v>208</v>
      </c>
      <c r="C360" s="74" t="s">
        <v>371</v>
      </c>
      <c r="D360" s="74" t="s">
        <v>655</v>
      </c>
      <c r="E360" s="74" t="s">
        <v>729</v>
      </c>
      <c r="F360" s="75">
        <v>89</v>
      </c>
      <c r="G360" s="75"/>
      <c r="H360" s="75">
        <f>F360*AE360</f>
        <v>0</v>
      </c>
      <c r="I360" s="75">
        <f>J360-H360</f>
        <v>0</v>
      </c>
      <c r="J360" s="75">
        <f>F360*G360</f>
        <v>0</v>
      </c>
      <c r="K360" s="75">
        <v>0.00327</v>
      </c>
      <c r="L360" s="75">
        <f>F360*K360</f>
        <v>0.29103</v>
      </c>
      <c r="M360" s="76" t="s">
        <v>758</v>
      </c>
      <c r="N360" s="12" t="s">
        <v>7</v>
      </c>
      <c r="O360" s="6">
        <f>IF(N360="5",I360,0)</f>
        <v>0</v>
      </c>
      <c r="Z360" s="6">
        <f>IF(AD360=0,J360,0)</f>
        <v>0</v>
      </c>
      <c r="AA360" s="6">
        <f>IF(AD360=15,J360,0)</f>
        <v>0</v>
      </c>
      <c r="AB360" s="6">
        <f>IF(AD360=21,J360,0)</f>
        <v>0</v>
      </c>
      <c r="AD360" s="16">
        <v>21</v>
      </c>
      <c r="AE360" s="16">
        <f>G360*0.863414634146341</f>
        <v>0</v>
      </c>
      <c r="AF360" s="16">
        <f>G360*(1-0.863414634146341)</f>
        <v>0</v>
      </c>
      <c r="AM360" s="16">
        <f>F360*AE360</f>
        <v>0</v>
      </c>
      <c r="AN360" s="16">
        <f>F360*AF360</f>
        <v>0</v>
      </c>
      <c r="AO360" s="17" t="s">
        <v>789</v>
      </c>
      <c r="AP360" s="17" t="s">
        <v>806</v>
      </c>
      <c r="AQ360" s="11" t="s">
        <v>810</v>
      </c>
    </row>
    <row r="361" spans="1:13" ht="12.75">
      <c r="A361" s="77"/>
      <c r="B361" s="77"/>
      <c r="C361" s="77"/>
      <c r="D361" s="78" t="s">
        <v>656</v>
      </c>
      <c r="E361" s="77"/>
      <c r="F361" s="79">
        <v>89</v>
      </c>
      <c r="G361" s="77"/>
      <c r="H361" s="77"/>
      <c r="I361" s="77"/>
      <c r="J361" s="77"/>
      <c r="K361" s="77"/>
      <c r="L361" s="77"/>
      <c r="M361" s="77"/>
    </row>
    <row r="362" spans="1:37" ht="12.75">
      <c r="A362" s="70"/>
      <c r="B362" s="71" t="s">
        <v>208</v>
      </c>
      <c r="C362" s="71" t="s">
        <v>95</v>
      </c>
      <c r="D362" s="225" t="s">
        <v>657</v>
      </c>
      <c r="E362" s="226"/>
      <c r="F362" s="226"/>
      <c r="G362" s="226"/>
      <c r="H362" s="72">
        <f>SUM(H363:H365)</f>
        <v>0</v>
      </c>
      <c r="I362" s="72">
        <f>SUM(I363:I365)</f>
        <v>0</v>
      </c>
      <c r="J362" s="72">
        <f>H362+I362</f>
        <v>0</v>
      </c>
      <c r="K362" s="73"/>
      <c r="L362" s="72">
        <f>SUM(L363:L365)</f>
        <v>7.43024</v>
      </c>
      <c r="M362" s="73"/>
      <c r="P362" s="18">
        <f>IF(Q362="PR",J362,SUM(O363:O365))</f>
        <v>0</v>
      </c>
      <c r="Q362" s="11" t="s">
        <v>764</v>
      </c>
      <c r="R362" s="18">
        <f>IF(Q362="HS",H362,0)</f>
        <v>0</v>
      </c>
      <c r="S362" s="18">
        <f>IF(Q362="HS",I362-P362,0)</f>
        <v>0</v>
      </c>
      <c r="T362" s="18">
        <f>IF(Q362="PS",H362,0)</f>
        <v>0</v>
      </c>
      <c r="U362" s="18">
        <f>IF(Q362="PS",I362-P362,0)</f>
        <v>0</v>
      </c>
      <c r="V362" s="18">
        <f>IF(Q362="MP",H362,0)</f>
        <v>0</v>
      </c>
      <c r="W362" s="18">
        <f>IF(Q362="MP",I362-P362,0)</f>
        <v>0</v>
      </c>
      <c r="X362" s="18">
        <f>IF(Q362="OM",H362,0)</f>
        <v>0</v>
      </c>
      <c r="Y362" s="11" t="s">
        <v>208</v>
      </c>
      <c r="AI362" s="18">
        <f>SUM(Z363:Z365)</f>
        <v>0</v>
      </c>
      <c r="AJ362" s="18">
        <f>SUM(AA363:AA365)</f>
        <v>0</v>
      </c>
      <c r="AK362" s="18">
        <f>SUM(AB363:AB365)</f>
        <v>0</v>
      </c>
    </row>
    <row r="363" spans="1:43" ht="12.75">
      <c r="A363" s="74" t="s">
        <v>168</v>
      </c>
      <c r="B363" s="74" t="s">
        <v>208</v>
      </c>
      <c r="C363" s="74" t="s">
        <v>372</v>
      </c>
      <c r="D363" s="74" t="s">
        <v>658</v>
      </c>
      <c r="E363" s="74" t="s">
        <v>733</v>
      </c>
      <c r="F363" s="75">
        <v>2</v>
      </c>
      <c r="G363" s="75"/>
      <c r="H363" s="75">
        <f>F363*AE363</f>
        <v>0</v>
      </c>
      <c r="I363" s="75">
        <f>J363-H363</f>
        <v>0</v>
      </c>
      <c r="J363" s="75">
        <f>F363*G363</f>
        <v>0</v>
      </c>
      <c r="K363" s="75">
        <v>3.71512</v>
      </c>
      <c r="L363" s="75">
        <f>F363*K363</f>
        <v>7.43024</v>
      </c>
      <c r="M363" s="76" t="s">
        <v>758</v>
      </c>
      <c r="N363" s="12" t="s">
        <v>9</v>
      </c>
      <c r="O363" s="6">
        <f>IF(N363="5",I363,0)</f>
        <v>0</v>
      </c>
      <c r="Z363" s="6">
        <f>IF(AD363=0,J363,0)</f>
        <v>0</v>
      </c>
      <c r="AA363" s="6">
        <f>IF(AD363=15,J363,0)</f>
        <v>0</v>
      </c>
      <c r="AB363" s="6">
        <f>IF(AD363=21,J363,0)</f>
        <v>0</v>
      </c>
      <c r="AD363" s="16">
        <v>21</v>
      </c>
      <c r="AE363" s="16">
        <f>G363*0.540281580411797</f>
        <v>0</v>
      </c>
      <c r="AF363" s="16">
        <f>G363*(1-0.540281580411797)</f>
        <v>0</v>
      </c>
      <c r="AM363" s="16">
        <f>F363*AE363</f>
        <v>0</v>
      </c>
      <c r="AN363" s="16">
        <f>F363*AF363</f>
        <v>0</v>
      </c>
      <c r="AO363" s="17" t="s">
        <v>790</v>
      </c>
      <c r="AP363" s="17" t="s">
        <v>806</v>
      </c>
      <c r="AQ363" s="11" t="s">
        <v>810</v>
      </c>
    </row>
    <row r="364" spans="1:13" ht="12.75">
      <c r="A364" s="77"/>
      <c r="B364" s="77"/>
      <c r="C364" s="77"/>
      <c r="D364" s="78" t="s">
        <v>8</v>
      </c>
      <c r="E364" s="77"/>
      <c r="F364" s="79">
        <v>2</v>
      </c>
      <c r="G364" s="77"/>
      <c r="H364" s="77"/>
      <c r="I364" s="77"/>
      <c r="J364" s="77"/>
      <c r="K364" s="77"/>
      <c r="L364" s="77"/>
      <c r="M364" s="77"/>
    </row>
    <row r="365" spans="1:43" ht="12.75">
      <c r="A365" s="74" t="s">
        <v>169</v>
      </c>
      <c r="B365" s="74" t="s">
        <v>208</v>
      </c>
      <c r="C365" s="74" t="s">
        <v>373</v>
      </c>
      <c r="D365" s="74" t="s">
        <v>659</v>
      </c>
      <c r="E365" s="74" t="s">
        <v>732</v>
      </c>
      <c r="F365" s="75">
        <v>7.72127</v>
      </c>
      <c r="G365" s="75"/>
      <c r="H365" s="75">
        <f>F365*AE365</f>
        <v>0</v>
      </c>
      <c r="I365" s="75">
        <f>J365-H365</f>
        <v>0</v>
      </c>
      <c r="J365" s="75">
        <f>F365*G365</f>
        <v>0</v>
      </c>
      <c r="K365" s="75">
        <v>0</v>
      </c>
      <c r="L365" s="75">
        <f>F365*K365</f>
        <v>0</v>
      </c>
      <c r="M365" s="76" t="s">
        <v>758</v>
      </c>
      <c r="N365" s="12" t="s">
        <v>11</v>
      </c>
      <c r="O365" s="6">
        <f>IF(N365="5",I365,0)</f>
        <v>0</v>
      </c>
      <c r="Z365" s="6">
        <f>IF(AD365=0,J365,0)</f>
        <v>0</v>
      </c>
      <c r="AA365" s="6">
        <f>IF(AD365=15,J365,0)</f>
        <v>0</v>
      </c>
      <c r="AB365" s="6">
        <f>IF(AD365=21,J365,0)</f>
        <v>0</v>
      </c>
      <c r="AD365" s="16">
        <v>21</v>
      </c>
      <c r="AE365" s="16">
        <f>G365*0</f>
        <v>0</v>
      </c>
      <c r="AF365" s="16">
        <f>G365*(1-0)</f>
        <v>0</v>
      </c>
      <c r="AM365" s="16">
        <f>F365*AE365</f>
        <v>0</v>
      </c>
      <c r="AN365" s="16">
        <f>F365*AF365</f>
        <v>0</v>
      </c>
      <c r="AO365" s="17" t="s">
        <v>790</v>
      </c>
      <c r="AP365" s="17" t="s">
        <v>806</v>
      </c>
      <c r="AQ365" s="11" t="s">
        <v>810</v>
      </c>
    </row>
    <row r="366" spans="1:13" ht="12.75">
      <c r="A366" s="80"/>
      <c r="B366" s="81" t="s">
        <v>209</v>
      </c>
      <c r="C366" s="81"/>
      <c r="D366" s="229" t="s">
        <v>660</v>
      </c>
      <c r="E366" s="230"/>
      <c r="F366" s="230"/>
      <c r="G366" s="230"/>
      <c r="H366" s="82">
        <f>H367+H372+H379+H386</f>
        <v>0</v>
      </c>
      <c r="I366" s="82">
        <f>I367+I372+I379+I386</f>
        <v>0</v>
      </c>
      <c r="J366" s="82">
        <f>H366+I366</f>
        <v>0</v>
      </c>
      <c r="K366" s="83"/>
      <c r="L366" s="82">
        <f>L367+L372+L379+L386</f>
        <v>103.01785000000001</v>
      </c>
      <c r="M366" s="83"/>
    </row>
    <row r="367" spans="1:37" ht="12.75">
      <c r="A367" s="70"/>
      <c r="B367" s="71" t="s">
        <v>209</v>
      </c>
      <c r="C367" s="71" t="s">
        <v>7</v>
      </c>
      <c r="D367" s="225" t="s">
        <v>415</v>
      </c>
      <c r="E367" s="226"/>
      <c r="F367" s="226"/>
      <c r="G367" s="226"/>
      <c r="H367" s="72">
        <f>SUM(H368:H370)</f>
        <v>0</v>
      </c>
      <c r="I367" s="72">
        <f>SUM(I368:I370)</f>
        <v>0</v>
      </c>
      <c r="J367" s="72">
        <f>H367+I367</f>
        <v>0</v>
      </c>
      <c r="K367" s="73"/>
      <c r="L367" s="72">
        <f>SUM(L368:L370)</f>
        <v>0</v>
      </c>
      <c r="M367" s="73"/>
      <c r="P367" s="18">
        <f>IF(Q367="PR",J367,SUM(O368:O370))</f>
        <v>0</v>
      </c>
      <c r="Q367" s="11" t="s">
        <v>764</v>
      </c>
      <c r="R367" s="18">
        <f>IF(Q367="HS",H367,0)</f>
        <v>0</v>
      </c>
      <c r="S367" s="18">
        <f>IF(Q367="HS",I367-P367,0)</f>
        <v>0</v>
      </c>
      <c r="T367" s="18">
        <f>IF(Q367="PS",H367,0)</f>
        <v>0</v>
      </c>
      <c r="U367" s="18">
        <f>IF(Q367="PS",I367-P367,0)</f>
        <v>0</v>
      </c>
      <c r="V367" s="18">
        <f>IF(Q367="MP",H367,0)</f>
        <v>0</v>
      </c>
      <c r="W367" s="18">
        <f>IF(Q367="MP",I367-P367,0)</f>
        <v>0</v>
      </c>
      <c r="X367" s="18">
        <f>IF(Q367="OM",H367,0)</f>
        <v>0</v>
      </c>
      <c r="Y367" s="11" t="s">
        <v>209</v>
      </c>
      <c r="AI367" s="18">
        <f>SUM(Z368:Z370)</f>
        <v>0</v>
      </c>
      <c r="AJ367" s="18">
        <f>SUM(AA368:AA370)</f>
        <v>0</v>
      </c>
      <c r="AK367" s="18">
        <f>SUM(AB368:AB370)</f>
        <v>0</v>
      </c>
    </row>
    <row r="368" spans="1:43" ht="12.75">
      <c r="A368" s="74" t="s">
        <v>170</v>
      </c>
      <c r="B368" s="74" t="s">
        <v>209</v>
      </c>
      <c r="C368" s="74" t="s">
        <v>374</v>
      </c>
      <c r="D368" s="74" t="s">
        <v>661</v>
      </c>
      <c r="E368" s="74" t="s">
        <v>731</v>
      </c>
      <c r="F368" s="75">
        <v>18.5</v>
      </c>
      <c r="G368" s="75"/>
      <c r="H368" s="75">
        <f>F368*AE368</f>
        <v>0</v>
      </c>
      <c r="I368" s="75">
        <f>J368-H368</f>
        <v>0</v>
      </c>
      <c r="J368" s="75">
        <f>F368*G368</f>
        <v>0</v>
      </c>
      <c r="K368" s="75">
        <v>0</v>
      </c>
      <c r="L368" s="75">
        <f>F368*K368</f>
        <v>0</v>
      </c>
      <c r="M368" s="76" t="s">
        <v>758</v>
      </c>
      <c r="N368" s="12" t="s">
        <v>7</v>
      </c>
      <c r="O368" s="6">
        <f>IF(N368="5",I368,0)</f>
        <v>0</v>
      </c>
      <c r="Z368" s="6">
        <f>IF(AD368=0,J368,0)</f>
        <v>0</v>
      </c>
      <c r="AA368" s="6">
        <f>IF(AD368=15,J368,0)</f>
        <v>0</v>
      </c>
      <c r="AB368" s="6">
        <f>IF(AD368=21,J368,0)</f>
        <v>0</v>
      </c>
      <c r="AD368" s="16">
        <v>21</v>
      </c>
      <c r="AE368" s="16">
        <f>G368*0</f>
        <v>0</v>
      </c>
      <c r="AF368" s="16">
        <f>G368*(1-0)</f>
        <v>0</v>
      </c>
      <c r="AM368" s="16">
        <f>F368*AE368</f>
        <v>0</v>
      </c>
      <c r="AN368" s="16">
        <f>F368*AF368</f>
        <v>0</v>
      </c>
      <c r="AO368" s="17" t="s">
        <v>774</v>
      </c>
      <c r="AP368" s="17" t="s">
        <v>774</v>
      </c>
      <c r="AQ368" s="11" t="s">
        <v>811</v>
      </c>
    </row>
    <row r="369" spans="1:13" ht="12.75">
      <c r="A369" s="77"/>
      <c r="B369" s="77"/>
      <c r="C369" s="77"/>
      <c r="D369" s="78" t="s">
        <v>662</v>
      </c>
      <c r="E369" s="77"/>
      <c r="F369" s="79">
        <v>18.5</v>
      </c>
      <c r="G369" s="77"/>
      <c r="H369" s="77"/>
      <c r="I369" s="77"/>
      <c r="J369" s="77"/>
      <c r="K369" s="77"/>
      <c r="L369" s="77"/>
      <c r="M369" s="77"/>
    </row>
    <row r="370" spans="1:43" ht="12.75">
      <c r="A370" s="74" t="s">
        <v>171</v>
      </c>
      <c r="B370" s="74" t="s">
        <v>209</v>
      </c>
      <c r="C370" s="74" t="s">
        <v>375</v>
      </c>
      <c r="D370" s="74" t="s">
        <v>663</v>
      </c>
      <c r="E370" s="74" t="s">
        <v>730</v>
      </c>
      <c r="F370" s="75">
        <v>74</v>
      </c>
      <c r="G370" s="75"/>
      <c r="H370" s="75">
        <f>F370*AE370</f>
        <v>0</v>
      </c>
      <c r="I370" s="75">
        <f>J370-H370</f>
        <v>0</v>
      </c>
      <c r="J370" s="75">
        <f>F370*G370</f>
        <v>0</v>
      </c>
      <c r="K370" s="75">
        <v>0</v>
      </c>
      <c r="L370" s="75">
        <f>F370*K370</f>
        <v>0</v>
      </c>
      <c r="M370" s="76" t="s">
        <v>758</v>
      </c>
      <c r="N370" s="12" t="s">
        <v>7</v>
      </c>
      <c r="O370" s="6">
        <f>IF(N370="5",I370,0)</f>
        <v>0</v>
      </c>
      <c r="Z370" s="6">
        <f>IF(AD370=0,J370,0)</f>
        <v>0</v>
      </c>
      <c r="AA370" s="6">
        <f>IF(AD370=15,J370,0)</f>
        <v>0</v>
      </c>
      <c r="AB370" s="6">
        <f>IF(AD370=21,J370,0)</f>
        <v>0</v>
      </c>
      <c r="AD370" s="16">
        <v>21</v>
      </c>
      <c r="AE370" s="16">
        <f>G370*0</f>
        <v>0</v>
      </c>
      <c r="AF370" s="16">
        <f>G370*(1-0)</f>
        <v>0</v>
      </c>
      <c r="AM370" s="16">
        <f>F370*AE370</f>
        <v>0</v>
      </c>
      <c r="AN370" s="16">
        <f>F370*AF370</f>
        <v>0</v>
      </c>
      <c r="AO370" s="17" t="s">
        <v>774</v>
      </c>
      <c r="AP370" s="17" t="s">
        <v>774</v>
      </c>
      <c r="AQ370" s="11" t="s">
        <v>811</v>
      </c>
    </row>
    <row r="371" spans="1:13" ht="12.75">
      <c r="A371" s="77"/>
      <c r="B371" s="77"/>
      <c r="C371" s="77"/>
      <c r="D371" s="78" t="s">
        <v>80</v>
      </c>
      <c r="E371" s="77"/>
      <c r="F371" s="79">
        <v>74</v>
      </c>
      <c r="G371" s="77"/>
      <c r="H371" s="77"/>
      <c r="I371" s="77"/>
      <c r="J371" s="77"/>
      <c r="K371" s="77"/>
      <c r="L371" s="77"/>
      <c r="M371" s="77"/>
    </row>
    <row r="372" spans="1:37" ht="12.75">
      <c r="A372" s="70"/>
      <c r="B372" s="71" t="s">
        <v>209</v>
      </c>
      <c r="C372" s="71" t="s">
        <v>62</v>
      </c>
      <c r="D372" s="225" t="s">
        <v>483</v>
      </c>
      <c r="E372" s="226"/>
      <c r="F372" s="226"/>
      <c r="G372" s="226"/>
      <c r="H372" s="72">
        <f>SUM(H373:H377)</f>
        <v>0</v>
      </c>
      <c r="I372" s="72">
        <f>SUM(I373:I377)</f>
        <v>0</v>
      </c>
      <c r="J372" s="72">
        <f>H372+I372</f>
        <v>0</v>
      </c>
      <c r="K372" s="73"/>
      <c r="L372" s="72">
        <f>SUM(L373:L377)</f>
        <v>78.59540000000001</v>
      </c>
      <c r="M372" s="73"/>
      <c r="P372" s="18">
        <f>IF(Q372="PR",J372,SUM(O373:O377))</f>
        <v>0</v>
      </c>
      <c r="Q372" s="11" t="s">
        <v>764</v>
      </c>
      <c r="R372" s="18">
        <f>IF(Q372="HS",H372,0)</f>
        <v>0</v>
      </c>
      <c r="S372" s="18">
        <f>IF(Q372="HS",I372-P372,0)</f>
        <v>0</v>
      </c>
      <c r="T372" s="18">
        <f>IF(Q372="PS",H372,0)</f>
        <v>0</v>
      </c>
      <c r="U372" s="18">
        <f>IF(Q372="PS",I372-P372,0)</f>
        <v>0</v>
      </c>
      <c r="V372" s="18">
        <f>IF(Q372="MP",H372,0)</f>
        <v>0</v>
      </c>
      <c r="W372" s="18">
        <f>IF(Q372="MP",I372-P372,0)</f>
        <v>0</v>
      </c>
      <c r="X372" s="18">
        <f>IF(Q372="OM",H372,0)</f>
        <v>0</v>
      </c>
      <c r="Y372" s="11" t="s">
        <v>209</v>
      </c>
      <c r="AI372" s="18">
        <f>SUM(Z373:Z377)</f>
        <v>0</v>
      </c>
      <c r="AJ372" s="18">
        <f>SUM(AA373:AA377)</f>
        <v>0</v>
      </c>
      <c r="AK372" s="18">
        <f>SUM(AB373:AB377)</f>
        <v>0</v>
      </c>
    </row>
    <row r="373" spans="1:43" ht="12.75">
      <c r="A373" s="74" t="s">
        <v>172</v>
      </c>
      <c r="B373" s="74" t="s">
        <v>209</v>
      </c>
      <c r="C373" s="74" t="s">
        <v>376</v>
      </c>
      <c r="D373" s="74" t="s">
        <v>664</v>
      </c>
      <c r="E373" s="74" t="s">
        <v>730</v>
      </c>
      <c r="F373" s="75">
        <v>74</v>
      </c>
      <c r="G373" s="75"/>
      <c r="H373" s="75">
        <f>F373*AE373</f>
        <v>0</v>
      </c>
      <c r="I373" s="75">
        <f>J373-H373</f>
        <v>0</v>
      </c>
      <c r="J373" s="75">
        <f>F373*G373</f>
        <v>0</v>
      </c>
      <c r="K373" s="75">
        <v>0.48574</v>
      </c>
      <c r="L373" s="75">
        <f>F373*K373</f>
        <v>35.94476</v>
      </c>
      <c r="M373" s="76" t="s">
        <v>758</v>
      </c>
      <c r="N373" s="12" t="s">
        <v>7</v>
      </c>
      <c r="O373" s="6">
        <f>IF(N373="5",I373,0)</f>
        <v>0</v>
      </c>
      <c r="Z373" s="6">
        <f>IF(AD373=0,J373,0)</f>
        <v>0</v>
      </c>
      <c r="AA373" s="6">
        <f>IF(AD373=15,J373,0)</f>
        <v>0</v>
      </c>
      <c r="AB373" s="6">
        <f>IF(AD373=21,J373,0)</f>
        <v>0</v>
      </c>
      <c r="AD373" s="16">
        <v>21</v>
      </c>
      <c r="AE373" s="16">
        <f>G373*0.812008547008547</f>
        <v>0</v>
      </c>
      <c r="AF373" s="16">
        <f>G373*(1-0.812008547008547)</f>
        <v>0</v>
      </c>
      <c r="AM373" s="16">
        <f>F373*AE373</f>
        <v>0</v>
      </c>
      <c r="AN373" s="16">
        <f>F373*AF373</f>
        <v>0</v>
      </c>
      <c r="AO373" s="17" t="s">
        <v>782</v>
      </c>
      <c r="AP373" s="17" t="s">
        <v>803</v>
      </c>
      <c r="AQ373" s="11" t="s">
        <v>811</v>
      </c>
    </row>
    <row r="374" spans="1:13" ht="12.75">
      <c r="A374" s="77"/>
      <c r="B374" s="77"/>
      <c r="C374" s="77"/>
      <c r="D374" s="78" t="s">
        <v>80</v>
      </c>
      <c r="E374" s="77"/>
      <c r="F374" s="79">
        <v>74</v>
      </c>
      <c r="G374" s="77"/>
      <c r="H374" s="77"/>
      <c r="I374" s="77"/>
      <c r="J374" s="77"/>
      <c r="K374" s="77"/>
      <c r="L374" s="77"/>
      <c r="M374" s="77"/>
    </row>
    <row r="375" spans="1:43" ht="12.75">
      <c r="A375" s="74" t="s">
        <v>173</v>
      </c>
      <c r="B375" s="74" t="s">
        <v>209</v>
      </c>
      <c r="C375" s="74" t="s">
        <v>377</v>
      </c>
      <c r="D375" s="74" t="s">
        <v>665</v>
      </c>
      <c r="E375" s="74" t="s">
        <v>731</v>
      </c>
      <c r="F375" s="75">
        <v>11.1</v>
      </c>
      <c r="G375" s="75"/>
      <c r="H375" s="75">
        <f>F375*AE375</f>
        <v>0</v>
      </c>
      <c r="I375" s="75">
        <f>J375-H375</f>
        <v>0</v>
      </c>
      <c r="J375" s="75">
        <f>F375*G375</f>
        <v>0</v>
      </c>
      <c r="K375" s="75">
        <v>2.084</v>
      </c>
      <c r="L375" s="75">
        <f>F375*K375</f>
        <v>23.1324</v>
      </c>
      <c r="M375" s="76" t="s">
        <v>758</v>
      </c>
      <c r="N375" s="12" t="s">
        <v>7</v>
      </c>
      <c r="O375" s="6">
        <f>IF(N375="5",I375,0)</f>
        <v>0</v>
      </c>
      <c r="Z375" s="6">
        <f>IF(AD375=0,J375,0)</f>
        <v>0</v>
      </c>
      <c r="AA375" s="6">
        <f>IF(AD375=15,J375,0)</f>
        <v>0</v>
      </c>
      <c r="AB375" s="6">
        <f>IF(AD375=21,J375,0)</f>
        <v>0</v>
      </c>
      <c r="AD375" s="16">
        <v>21</v>
      </c>
      <c r="AE375" s="16">
        <f>G375*0.681134209750858</f>
        <v>0</v>
      </c>
      <c r="AF375" s="16">
        <f>G375*(1-0.681134209750858)</f>
        <v>0</v>
      </c>
      <c r="AM375" s="16">
        <f>F375*AE375</f>
        <v>0</v>
      </c>
      <c r="AN375" s="16">
        <f>F375*AF375</f>
        <v>0</v>
      </c>
      <c r="AO375" s="17" t="s">
        <v>782</v>
      </c>
      <c r="AP375" s="17" t="s">
        <v>803</v>
      </c>
      <c r="AQ375" s="11" t="s">
        <v>811</v>
      </c>
    </row>
    <row r="376" spans="1:13" ht="12.75">
      <c r="A376" s="77"/>
      <c r="B376" s="77"/>
      <c r="C376" s="77"/>
      <c r="D376" s="78" t="s">
        <v>666</v>
      </c>
      <c r="E376" s="77"/>
      <c r="F376" s="79">
        <v>11.1</v>
      </c>
      <c r="G376" s="77"/>
      <c r="H376" s="77"/>
      <c r="I376" s="77"/>
      <c r="J376" s="77"/>
      <c r="K376" s="77"/>
      <c r="L376" s="77"/>
      <c r="M376" s="77"/>
    </row>
    <row r="377" spans="1:43" ht="12.75">
      <c r="A377" s="74" t="s">
        <v>174</v>
      </c>
      <c r="B377" s="74" t="s">
        <v>209</v>
      </c>
      <c r="C377" s="74" t="s">
        <v>378</v>
      </c>
      <c r="D377" s="74" t="s">
        <v>667</v>
      </c>
      <c r="E377" s="74" t="s">
        <v>730</v>
      </c>
      <c r="F377" s="75">
        <v>74</v>
      </c>
      <c r="G377" s="75"/>
      <c r="H377" s="75">
        <f>F377*AE377</f>
        <v>0</v>
      </c>
      <c r="I377" s="75">
        <f>J377-H377</f>
        <v>0</v>
      </c>
      <c r="J377" s="75">
        <f>F377*G377</f>
        <v>0</v>
      </c>
      <c r="K377" s="75">
        <v>0.26376</v>
      </c>
      <c r="L377" s="75">
        <f>F377*K377</f>
        <v>19.51824</v>
      </c>
      <c r="M377" s="76" t="s">
        <v>758</v>
      </c>
      <c r="N377" s="12" t="s">
        <v>7</v>
      </c>
      <c r="O377" s="6">
        <f>IF(N377="5",I377,0)</f>
        <v>0</v>
      </c>
      <c r="Z377" s="6">
        <f>IF(AD377=0,J377,0)</f>
        <v>0</v>
      </c>
      <c r="AA377" s="6">
        <f>IF(AD377=15,J377,0)</f>
        <v>0</v>
      </c>
      <c r="AB377" s="6">
        <f>IF(AD377=21,J377,0)</f>
        <v>0</v>
      </c>
      <c r="AD377" s="16">
        <v>21</v>
      </c>
      <c r="AE377" s="16">
        <f>G377*0.580992907801418</f>
        <v>0</v>
      </c>
      <c r="AF377" s="16">
        <f>G377*(1-0.580992907801418)</f>
        <v>0</v>
      </c>
      <c r="AM377" s="16">
        <f>F377*AE377</f>
        <v>0</v>
      </c>
      <c r="AN377" s="16">
        <f>F377*AF377</f>
        <v>0</v>
      </c>
      <c r="AO377" s="17" t="s">
        <v>782</v>
      </c>
      <c r="AP377" s="17" t="s">
        <v>803</v>
      </c>
      <c r="AQ377" s="11" t="s">
        <v>811</v>
      </c>
    </row>
    <row r="378" spans="1:13" ht="12.75">
      <c r="A378" s="77"/>
      <c r="B378" s="77"/>
      <c r="C378" s="77"/>
      <c r="D378" s="78" t="s">
        <v>80</v>
      </c>
      <c r="E378" s="77"/>
      <c r="F378" s="79">
        <v>74</v>
      </c>
      <c r="G378" s="77"/>
      <c r="H378" s="77"/>
      <c r="I378" s="77"/>
      <c r="J378" s="77"/>
      <c r="K378" s="77"/>
      <c r="L378" s="77"/>
      <c r="M378" s="77"/>
    </row>
    <row r="379" spans="1:37" ht="12.75">
      <c r="A379" s="70"/>
      <c r="B379" s="71" t="s">
        <v>209</v>
      </c>
      <c r="C379" s="71" t="s">
        <v>63</v>
      </c>
      <c r="D379" s="225" t="s">
        <v>668</v>
      </c>
      <c r="E379" s="226"/>
      <c r="F379" s="226"/>
      <c r="G379" s="226"/>
      <c r="H379" s="72">
        <f>SUM(H380:H384)</f>
        <v>0</v>
      </c>
      <c r="I379" s="72">
        <f>SUM(I380:I384)</f>
        <v>0</v>
      </c>
      <c r="J379" s="72">
        <f>H379+I379</f>
        <v>0</v>
      </c>
      <c r="K379" s="73"/>
      <c r="L379" s="72">
        <f>SUM(L380:L384)</f>
        <v>18.431179999999998</v>
      </c>
      <c r="M379" s="73"/>
      <c r="P379" s="18">
        <f>IF(Q379="PR",J379,SUM(O380:O384))</f>
        <v>0</v>
      </c>
      <c r="Q379" s="11" t="s">
        <v>764</v>
      </c>
      <c r="R379" s="18">
        <f>IF(Q379="HS",H379,0)</f>
        <v>0</v>
      </c>
      <c r="S379" s="18">
        <f>IF(Q379="HS",I379-P379,0)</f>
        <v>0</v>
      </c>
      <c r="T379" s="18">
        <f>IF(Q379="PS",H379,0)</f>
        <v>0</v>
      </c>
      <c r="U379" s="18">
        <f>IF(Q379="PS",I379-P379,0)</f>
        <v>0</v>
      </c>
      <c r="V379" s="18">
        <f>IF(Q379="MP",H379,0)</f>
        <v>0</v>
      </c>
      <c r="W379" s="18">
        <f>IF(Q379="MP",I379-P379,0)</f>
        <v>0</v>
      </c>
      <c r="X379" s="18">
        <f>IF(Q379="OM",H379,0)</f>
        <v>0</v>
      </c>
      <c r="Y379" s="11" t="s">
        <v>209</v>
      </c>
      <c r="AI379" s="18">
        <f>SUM(Z380:Z384)</f>
        <v>0</v>
      </c>
      <c r="AJ379" s="18">
        <f>SUM(AA380:AA384)</f>
        <v>0</v>
      </c>
      <c r="AK379" s="18">
        <f>SUM(AB380:AB384)</f>
        <v>0</v>
      </c>
    </row>
    <row r="380" spans="1:43" ht="12.75">
      <c r="A380" s="74" t="s">
        <v>175</v>
      </c>
      <c r="B380" s="74" t="s">
        <v>209</v>
      </c>
      <c r="C380" s="74" t="s">
        <v>379</v>
      </c>
      <c r="D380" s="74" t="s">
        <v>669</v>
      </c>
      <c r="E380" s="74" t="s">
        <v>730</v>
      </c>
      <c r="F380" s="75">
        <v>148</v>
      </c>
      <c r="G380" s="75"/>
      <c r="H380" s="75">
        <f>F380*AE380</f>
        <v>0</v>
      </c>
      <c r="I380" s="75">
        <f>J380-H380</f>
        <v>0</v>
      </c>
      <c r="J380" s="75">
        <f>F380*G380</f>
        <v>0</v>
      </c>
      <c r="K380" s="75">
        <v>0.00034</v>
      </c>
      <c r="L380" s="75">
        <f>F380*K380</f>
        <v>0.050320000000000004</v>
      </c>
      <c r="M380" s="76" t="s">
        <v>758</v>
      </c>
      <c r="N380" s="12" t="s">
        <v>7</v>
      </c>
      <c r="O380" s="6">
        <f>IF(N380="5",I380,0)</f>
        <v>0</v>
      </c>
      <c r="Z380" s="6">
        <f>IF(AD380=0,J380,0)</f>
        <v>0</v>
      </c>
      <c r="AA380" s="6">
        <f>IF(AD380=15,J380,0)</f>
        <v>0</v>
      </c>
      <c r="AB380" s="6">
        <f>IF(AD380=21,J380,0)</f>
        <v>0</v>
      </c>
      <c r="AD380" s="16">
        <v>21</v>
      </c>
      <c r="AE380" s="16">
        <f>G380*0.352272727272727</f>
        <v>0</v>
      </c>
      <c r="AF380" s="16">
        <f>G380*(1-0.352272727272727)</f>
        <v>0</v>
      </c>
      <c r="AM380" s="16">
        <f>F380*AE380</f>
        <v>0</v>
      </c>
      <c r="AN380" s="16">
        <f>F380*AF380</f>
        <v>0</v>
      </c>
      <c r="AO380" s="17" t="s">
        <v>791</v>
      </c>
      <c r="AP380" s="17" t="s">
        <v>803</v>
      </c>
      <c r="AQ380" s="11" t="s">
        <v>811</v>
      </c>
    </row>
    <row r="381" spans="1:13" ht="12.75">
      <c r="A381" s="77"/>
      <c r="B381" s="77"/>
      <c r="C381" s="77"/>
      <c r="D381" s="78" t="s">
        <v>670</v>
      </c>
      <c r="E381" s="77"/>
      <c r="F381" s="79">
        <v>148</v>
      </c>
      <c r="G381" s="77"/>
      <c r="H381" s="77"/>
      <c r="I381" s="77"/>
      <c r="J381" s="77"/>
      <c r="K381" s="77"/>
      <c r="L381" s="77"/>
      <c r="M381" s="77"/>
    </row>
    <row r="382" spans="1:43" ht="12.75">
      <c r="A382" s="74" t="s">
        <v>176</v>
      </c>
      <c r="B382" s="74" t="s">
        <v>209</v>
      </c>
      <c r="C382" s="74" t="s">
        <v>380</v>
      </c>
      <c r="D382" s="74" t="s">
        <v>671</v>
      </c>
      <c r="E382" s="74" t="s">
        <v>730</v>
      </c>
      <c r="F382" s="75">
        <v>74</v>
      </c>
      <c r="G382" s="75"/>
      <c r="H382" s="75">
        <f>F382*AE382</f>
        <v>0</v>
      </c>
      <c r="I382" s="75">
        <f>J382-H382</f>
        <v>0</v>
      </c>
      <c r="J382" s="75">
        <f>F382*G382</f>
        <v>0</v>
      </c>
      <c r="K382" s="75">
        <v>0.15559</v>
      </c>
      <c r="L382" s="75">
        <f>F382*K382</f>
        <v>11.51366</v>
      </c>
      <c r="M382" s="76" t="s">
        <v>758</v>
      </c>
      <c r="N382" s="12" t="s">
        <v>7</v>
      </c>
      <c r="O382" s="6">
        <f>IF(N382="5",I382,0)</f>
        <v>0</v>
      </c>
      <c r="Z382" s="6">
        <f>IF(AD382=0,J382,0)</f>
        <v>0</v>
      </c>
      <c r="AA382" s="6">
        <f>IF(AD382=15,J382,0)</f>
        <v>0</v>
      </c>
      <c r="AB382" s="6">
        <f>IF(AD382=21,J382,0)</f>
        <v>0</v>
      </c>
      <c r="AD382" s="16">
        <v>21</v>
      </c>
      <c r="AE382" s="16">
        <f>G382*0.641467181467181</f>
        <v>0</v>
      </c>
      <c r="AF382" s="16">
        <f>G382*(1-0.641467181467181)</f>
        <v>0</v>
      </c>
      <c r="AM382" s="16">
        <f>F382*AE382</f>
        <v>0</v>
      </c>
      <c r="AN382" s="16">
        <f>F382*AF382</f>
        <v>0</v>
      </c>
      <c r="AO382" s="17" t="s">
        <v>791</v>
      </c>
      <c r="AP382" s="17" t="s">
        <v>803</v>
      </c>
      <c r="AQ382" s="11" t="s">
        <v>811</v>
      </c>
    </row>
    <row r="383" spans="1:13" ht="12.75">
      <c r="A383" s="77"/>
      <c r="B383" s="77"/>
      <c r="C383" s="77"/>
      <c r="D383" s="78" t="s">
        <v>80</v>
      </c>
      <c r="E383" s="77"/>
      <c r="F383" s="79">
        <v>74</v>
      </c>
      <c r="G383" s="77"/>
      <c r="H383" s="77"/>
      <c r="I383" s="77"/>
      <c r="J383" s="77"/>
      <c r="K383" s="77"/>
      <c r="L383" s="77"/>
      <c r="M383" s="77"/>
    </row>
    <row r="384" spans="1:43" ht="12.75">
      <c r="A384" s="74" t="s">
        <v>177</v>
      </c>
      <c r="B384" s="74" t="s">
        <v>209</v>
      </c>
      <c r="C384" s="74" t="s">
        <v>381</v>
      </c>
      <c r="D384" s="74" t="s">
        <v>672</v>
      </c>
      <c r="E384" s="74" t="s">
        <v>730</v>
      </c>
      <c r="F384" s="75">
        <v>74</v>
      </c>
      <c r="G384" s="75"/>
      <c r="H384" s="75">
        <f>F384*AE384</f>
        <v>0</v>
      </c>
      <c r="I384" s="75">
        <f>J384-H384</f>
        <v>0</v>
      </c>
      <c r="J384" s="75">
        <f>F384*G384</f>
        <v>0</v>
      </c>
      <c r="K384" s="75">
        <v>0.0928</v>
      </c>
      <c r="L384" s="75">
        <f>F384*K384</f>
        <v>6.8671999999999995</v>
      </c>
      <c r="M384" s="76" t="s">
        <v>758</v>
      </c>
      <c r="N384" s="12" t="s">
        <v>7</v>
      </c>
      <c r="O384" s="6">
        <f>IF(N384="5",I384,0)</f>
        <v>0</v>
      </c>
      <c r="Z384" s="6">
        <f>IF(AD384=0,J384,0)</f>
        <v>0</v>
      </c>
      <c r="AA384" s="6">
        <f>IF(AD384=15,J384,0)</f>
        <v>0</v>
      </c>
      <c r="AB384" s="6">
        <f>IF(AD384=21,J384,0)</f>
        <v>0</v>
      </c>
      <c r="AD384" s="16">
        <v>21</v>
      </c>
      <c r="AE384" s="16">
        <f>G384*0.937545019278844</f>
        <v>0</v>
      </c>
      <c r="AF384" s="16">
        <f>G384*(1-0.937545019278844)</f>
        <v>0</v>
      </c>
      <c r="AM384" s="16">
        <f>F384*AE384</f>
        <v>0</v>
      </c>
      <c r="AN384" s="16">
        <f>F384*AF384</f>
        <v>0</v>
      </c>
      <c r="AO384" s="17" t="s">
        <v>791</v>
      </c>
      <c r="AP384" s="17" t="s">
        <v>803</v>
      </c>
      <c r="AQ384" s="11" t="s">
        <v>811</v>
      </c>
    </row>
    <row r="385" spans="1:13" ht="12.75">
      <c r="A385" s="77"/>
      <c r="B385" s="77"/>
      <c r="C385" s="77"/>
      <c r="D385" s="78" t="s">
        <v>80</v>
      </c>
      <c r="E385" s="77"/>
      <c r="F385" s="79">
        <v>74</v>
      </c>
      <c r="G385" s="77"/>
      <c r="H385" s="77"/>
      <c r="I385" s="77"/>
      <c r="J385" s="77"/>
      <c r="K385" s="77"/>
      <c r="L385" s="77"/>
      <c r="M385" s="77"/>
    </row>
    <row r="386" spans="1:37" ht="12.75">
      <c r="A386" s="70"/>
      <c r="B386" s="71" t="s">
        <v>209</v>
      </c>
      <c r="C386" s="71" t="s">
        <v>97</v>
      </c>
      <c r="D386" s="225" t="s">
        <v>440</v>
      </c>
      <c r="E386" s="226"/>
      <c r="F386" s="226"/>
      <c r="G386" s="226"/>
      <c r="H386" s="72">
        <f>SUM(H387:H393)</f>
        <v>0</v>
      </c>
      <c r="I386" s="72">
        <f>SUM(I387:I393)</f>
        <v>0</v>
      </c>
      <c r="J386" s="72">
        <f>H386+I386</f>
        <v>0</v>
      </c>
      <c r="K386" s="73"/>
      <c r="L386" s="72">
        <f>SUM(L387:L393)</f>
        <v>5.99127</v>
      </c>
      <c r="M386" s="73"/>
      <c r="P386" s="18">
        <f>IF(Q386="PR",J386,SUM(O387:O393))</f>
        <v>0</v>
      </c>
      <c r="Q386" s="11" t="s">
        <v>764</v>
      </c>
      <c r="R386" s="18">
        <f>IF(Q386="HS",H386,0)</f>
        <v>0</v>
      </c>
      <c r="S386" s="18">
        <f>IF(Q386="HS",I386-P386,0)</f>
        <v>0</v>
      </c>
      <c r="T386" s="18">
        <f>IF(Q386="PS",H386,0)</f>
        <v>0</v>
      </c>
      <c r="U386" s="18">
        <f>IF(Q386="PS",I386-P386,0)</f>
        <v>0</v>
      </c>
      <c r="V386" s="18">
        <f>IF(Q386="MP",H386,0)</f>
        <v>0</v>
      </c>
      <c r="W386" s="18">
        <f>IF(Q386="MP",I386-P386,0)</f>
        <v>0</v>
      </c>
      <c r="X386" s="18">
        <f>IF(Q386="OM",H386,0)</f>
        <v>0</v>
      </c>
      <c r="Y386" s="11" t="s">
        <v>209</v>
      </c>
      <c r="AI386" s="18">
        <f>SUM(Z387:Z393)</f>
        <v>0</v>
      </c>
      <c r="AJ386" s="18">
        <f>SUM(AA387:AA393)</f>
        <v>0</v>
      </c>
      <c r="AK386" s="18">
        <f>SUM(AB387:AB393)</f>
        <v>0</v>
      </c>
    </row>
    <row r="387" spans="1:43" ht="12.75">
      <c r="A387" s="74" t="s">
        <v>178</v>
      </c>
      <c r="B387" s="74" t="s">
        <v>209</v>
      </c>
      <c r="C387" s="74" t="s">
        <v>224</v>
      </c>
      <c r="D387" s="74" t="s">
        <v>441</v>
      </c>
      <c r="E387" s="74" t="s">
        <v>729</v>
      </c>
      <c r="F387" s="75">
        <v>5</v>
      </c>
      <c r="G387" s="75"/>
      <c r="H387" s="75">
        <f>F387*AE387</f>
        <v>0</v>
      </c>
      <c r="I387" s="75">
        <f>J387-H387</f>
        <v>0</v>
      </c>
      <c r="J387" s="75">
        <f>F387*G387</f>
        <v>0</v>
      </c>
      <c r="K387" s="75">
        <v>0.21675</v>
      </c>
      <c r="L387" s="75">
        <f>F387*K387</f>
        <v>1.08375</v>
      </c>
      <c r="M387" s="76" t="s">
        <v>758</v>
      </c>
      <c r="N387" s="12" t="s">
        <v>7</v>
      </c>
      <c r="O387" s="6">
        <f>IF(N387="5",I387,0)</f>
        <v>0</v>
      </c>
      <c r="Z387" s="6">
        <f>IF(AD387=0,J387,0)</f>
        <v>0</v>
      </c>
      <c r="AA387" s="6">
        <f>IF(AD387=15,J387,0)</f>
        <v>0</v>
      </c>
      <c r="AB387" s="6">
        <f>IF(AD387=21,J387,0)</f>
        <v>0</v>
      </c>
      <c r="AD387" s="16">
        <v>21</v>
      </c>
      <c r="AE387" s="16">
        <f>G387*0.802592741268979</f>
        <v>0</v>
      </c>
      <c r="AF387" s="16">
        <f>G387*(1-0.802592741268979)</f>
        <v>0</v>
      </c>
      <c r="AM387" s="16">
        <f>F387*AE387</f>
        <v>0</v>
      </c>
      <c r="AN387" s="16">
        <f>F387*AF387</f>
        <v>0</v>
      </c>
      <c r="AO387" s="17" t="s">
        <v>779</v>
      </c>
      <c r="AP387" s="17" t="s">
        <v>802</v>
      </c>
      <c r="AQ387" s="11" t="s">
        <v>811</v>
      </c>
    </row>
    <row r="388" spans="1:13" ht="12.75">
      <c r="A388" s="77"/>
      <c r="B388" s="77"/>
      <c r="C388" s="77"/>
      <c r="D388" s="78" t="s">
        <v>11</v>
      </c>
      <c r="E388" s="77"/>
      <c r="F388" s="79">
        <v>5</v>
      </c>
      <c r="G388" s="77"/>
      <c r="H388" s="77"/>
      <c r="I388" s="77"/>
      <c r="J388" s="77"/>
      <c r="K388" s="77"/>
      <c r="L388" s="77"/>
      <c r="M388" s="77"/>
    </row>
    <row r="389" spans="1:43" ht="12.75">
      <c r="A389" s="74" t="s">
        <v>179</v>
      </c>
      <c r="B389" s="74" t="s">
        <v>209</v>
      </c>
      <c r="C389" s="74" t="s">
        <v>382</v>
      </c>
      <c r="D389" s="74" t="s">
        <v>673</v>
      </c>
      <c r="E389" s="74" t="s">
        <v>729</v>
      </c>
      <c r="F389" s="75">
        <v>36</v>
      </c>
      <c r="G389" s="75"/>
      <c r="H389" s="75">
        <f>F389*AE389</f>
        <v>0</v>
      </c>
      <c r="I389" s="75">
        <f>J389-H389</f>
        <v>0</v>
      </c>
      <c r="J389" s="75">
        <f>F389*G389</f>
        <v>0</v>
      </c>
      <c r="K389" s="75">
        <v>0.08232</v>
      </c>
      <c r="L389" s="75">
        <f>F389*K389</f>
        <v>2.96352</v>
      </c>
      <c r="M389" s="76" t="s">
        <v>758</v>
      </c>
      <c r="N389" s="12" t="s">
        <v>7</v>
      </c>
      <c r="O389" s="6">
        <f>IF(N389="5",I389,0)</f>
        <v>0</v>
      </c>
      <c r="Z389" s="6">
        <f>IF(AD389=0,J389,0)</f>
        <v>0</v>
      </c>
      <c r="AA389" s="6">
        <f>IF(AD389=15,J389,0)</f>
        <v>0</v>
      </c>
      <c r="AB389" s="6">
        <f>IF(AD389=21,J389,0)</f>
        <v>0</v>
      </c>
      <c r="AD389" s="16">
        <v>21</v>
      </c>
      <c r="AE389" s="16">
        <f>G389*0.611405119343342</f>
        <v>0</v>
      </c>
      <c r="AF389" s="16">
        <f>G389*(1-0.611405119343342)</f>
        <v>0</v>
      </c>
      <c r="AM389" s="16">
        <f>F389*AE389</f>
        <v>0</v>
      </c>
      <c r="AN389" s="16">
        <f>F389*AF389</f>
        <v>0</v>
      </c>
      <c r="AO389" s="17" t="s">
        <v>779</v>
      </c>
      <c r="AP389" s="17" t="s">
        <v>802</v>
      </c>
      <c r="AQ389" s="11" t="s">
        <v>811</v>
      </c>
    </row>
    <row r="390" spans="1:13" ht="12.75">
      <c r="A390" s="77"/>
      <c r="B390" s="77"/>
      <c r="C390" s="77"/>
      <c r="D390" s="78" t="s">
        <v>42</v>
      </c>
      <c r="E390" s="77"/>
      <c r="F390" s="79">
        <v>36</v>
      </c>
      <c r="G390" s="77"/>
      <c r="H390" s="77"/>
      <c r="I390" s="77"/>
      <c r="J390" s="77"/>
      <c r="K390" s="77"/>
      <c r="L390" s="77"/>
      <c r="M390" s="77"/>
    </row>
    <row r="391" spans="1:43" ht="12.75">
      <c r="A391" s="84" t="s">
        <v>180</v>
      </c>
      <c r="B391" s="84" t="s">
        <v>209</v>
      </c>
      <c r="C391" s="84" t="s">
        <v>383</v>
      </c>
      <c r="D391" s="84" t="s">
        <v>674</v>
      </c>
      <c r="E391" s="84" t="s">
        <v>733</v>
      </c>
      <c r="F391" s="85">
        <v>72</v>
      </c>
      <c r="G391" s="85"/>
      <c r="H391" s="85">
        <f>F391*AE391</f>
        <v>0</v>
      </c>
      <c r="I391" s="85">
        <f>J391-H391</f>
        <v>0</v>
      </c>
      <c r="J391" s="85">
        <f>F391*G391</f>
        <v>0</v>
      </c>
      <c r="K391" s="85">
        <v>0.027</v>
      </c>
      <c r="L391" s="85">
        <f>F391*K391</f>
        <v>1.944</v>
      </c>
      <c r="M391" s="86" t="s">
        <v>758</v>
      </c>
      <c r="N391" s="13" t="s">
        <v>761</v>
      </c>
      <c r="O391" s="7">
        <f>IF(N391="5",I391,0)</f>
        <v>0</v>
      </c>
      <c r="Z391" s="7">
        <f>IF(AD391=0,J391,0)</f>
        <v>0</v>
      </c>
      <c r="AA391" s="7">
        <f>IF(AD391=15,J391,0)</f>
        <v>0</v>
      </c>
      <c r="AB391" s="7">
        <f>IF(AD391=21,J391,0)</f>
        <v>0</v>
      </c>
      <c r="AD391" s="16">
        <v>21</v>
      </c>
      <c r="AE391" s="16">
        <f>G391*1</f>
        <v>0</v>
      </c>
      <c r="AF391" s="16">
        <f>G391*(1-1)</f>
        <v>0</v>
      </c>
      <c r="AM391" s="16">
        <f>F391*AE391</f>
        <v>0</v>
      </c>
      <c r="AN391" s="16">
        <f>F391*AF391</f>
        <v>0</v>
      </c>
      <c r="AO391" s="17" t="s">
        <v>779</v>
      </c>
      <c r="AP391" s="17" t="s">
        <v>802</v>
      </c>
      <c r="AQ391" s="11" t="s">
        <v>811</v>
      </c>
    </row>
    <row r="392" spans="1:13" ht="12.75">
      <c r="A392" s="77"/>
      <c r="B392" s="77"/>
      <c r="C392" s="77"/>
      <c r="D392" s="78" t="s">
        <v>78</v>
      </c>
      <c r="E392" s="77"/>
      <c r="F392" s="79">
        <v>72</v>
      </c>
      <c r="G392" s="77"/>
      <c r="H392" s="77"/>
      <c r="I392" s="77"/>
      <c r="J392" s="77"/>
      <c r="K392" s="77"/>
      <c r="L392" s="77"/>
      <c r="M392" s="77"/>
    </row>
    <row r="393" spans="1:43" ht="12.75">
      <c r="A393" s="74" t="s">
        <v>181</v>
      </c>
      <c r="B393" s="74" t="s">
        <v>209</v>
      </c>
      <c r="C393" s="74" t="s">
        <v>384</v>
      </c>
      <c r="D393" s="74" t="s">
        <v>675</v>
      </c>
      <c r="E393" s="74" t="s">
        <v>732</v>
      </c>
      <c r="F393" s="75">
        <v>103.01785</v>
      </c>
      <c r="G393" s="75"/>
      <c r="H393" s="75">
        <f>F393*AE393</f>
        <v>0</v>
      </c>
      <c r="I393" s="75">
        <f>J393-H393</f>
        <v>0</v>
      </c>
      <c r="J393" s="75">
        <f>F393*G393</f>
        <v>0</v>
      </c>
      <c r="K393" s="75">
        <v>0</v>
      </c>
      <c r="L393" s="75">
        <f>F393*K393</f>
        <v>0</v>
      </c>
      <c r="M393" s="76" t="s">
        <v>758</v>
      </c>
      <c r="N393" s="12" t="s">
        <v>11</v>
      </c>
      <c r="O393" s="6">
        <f>IF(N393="5",I393,0)</f>
        <v>0</v>
      </c>
      <c r="Z393" s="6">
        <f>IF(AD393=0,J393,0)</f>
        <v>0</v>
      </c>
      <c r="AA393" s="6">
        <f>IF(AD393=15,J393,0)</f>
        <v>0</v>
      </c>
      <c r="AB393" s="6">
        <f>IF(AD393=21,J393,0)</f>
        <v>0</v>
      </c>
      <c r="AD393" s="16">
        <v>21</v>
      </c>
      <c r="AE393" s="16">
        <f>G393*0</f>
        <v>0</v>
      </c>
      <c r="AF393" s="16">
        <f>G393*(1-0)</f>
        <v>0</v>
      </c>
      <c r="AM393" s="16">
        <f>F393*AE393</f>
        <v>0</v>
      </c>
      <c r="AN393" s="16">
        <f>F393*AF393</f>
        <v>0</v>
      </c>
      <c r="AO393" s="17" t="s">
        <v>779</v>
      </c>
      <c r="AP393" s="17" t="s">
        <v>802</v>
      </c>
      <c r="AQ393" s="11" t="s">
        <v>811</v>
      </c>
    </row>
    <row r="394" spans="1:13" ht="12.75">
      <c r="A394" s="80"/>
      <c r="B394" s="81" t="s">
        <v>210</v>
      </c>
      <c r="C394" s="81"/>
      <c r="D394" s="229" t="s">
        <v>676</v>
      </c>
      <c r="E394" s="230"/>
      <c r="F394" s="230"/>
      <c r="G394" s="230"/>
      <c r="H394" s="82">
        <f>H395+H406+H409+H416+H425+H429+H432+H445</f>
        <v>0</v>
      </c>
      <c r="I394" s="82">
        <f>I395+I406+I409+I416+I425+I429+I432+I445</f>
        <v>0</v>
      </c>
      <c r="J394" s="82">
        <f>H394+I394</f>
        <v>0</v>
      </c>
      <c r="K394" s="83"/>
      <c r="L394" s="82">
        <f>L395+L406+L409+L416+L425+L429+L432+L445</f>
        <v>1285.0118722000002</v>
      </c>
      <c r="M394" s="83"/>
    </row>
    <row r="395" spans="1:37" ht="12.75">
      <c r="A395" s="70"/>
      <c r="B395" s="71" t="s">
        <v>210</v>
      </c>
      <c r="C395" s="71" t="s">
        <v>7</v>
      </c>
      <c r="D395" s="225" t="s">
        <v>415</v>
      </c>
      <c r="E395" s="226"/>
      <c r="F395" s="226"/>
      <c r="G395" s="226"/>
      <c r="H395" s="72">
        <f>SUM(H396:H404)</f>
        <v>0</v>
      </c>
      <c r="I395" s="72">
        <f>SUM(I396:I404)</f>
        <v>0</v>
      </c>
      <c r="J395" s="72">
        <f>H395+I395</f>
        <v>0</v>
      </c>
      <c r="K395" s="73"/>
      <c r="L395" s="72">
        <f>SUM(L396:L404)</f>
        <v>0</v>
      </c>
      <c r="M395" s="73"/>
      <c r="P395" s="18">
        <f>IF(Q395="PR",J395,SUM(O396:O404))</f>
        <v>0</v>
      </c>
      <c r="Q395" s="11" t="s">
        <v>764</v>
      </c>
      <c r="R395" s="18">
        <f>IF(Q395="HS",H395,0)</f>
        <v>0</v>
      </c>
      <c r="S395" s="18">
        <f>IF(Q395="HS",I395-P395,0)</f>
        <v>0</v>
      </c>
      <c r="T395" s="18">
        <f>IF(Q395="PS",H395,0)</f>
        <v>0</v>
      </c>
      <c r="U395" s="18">
        <f>IF(Q395="PS",I395-P395,0)</f>
        <v>0</v>
      </c>
      <c r="V395" s="18">
        <f>IF(Q395="MP",H395,0)</f>
        <v>0</v>
      </c>
      <c r="W395" s="18">
        <f>IF(Q395="MP",I395-P395,0)</f>
        <v>0</v>
      </c>
      <c r="X395" s="18">
        <f>IF(Q395="OM",H395,0)</f>
        <v>0</v>
      </c>
      <c r="Y395" s="11" t="s">
        <v>210</v>
      </c>
      <c r="AI395" s="18">
        <f>SUM(Z396:Z404)</f>
        <v>0</v>
      </c>
      <c r="AJ395" s="18">
        <f>SUM(AA396:AA404)</f>
        <v>0</v>
      </c>
      <c r="AK395" s="18">
        <f>SUM(AB396:AB404)</f>
        <v>0</v>
      </c>
    </row>
    <row r="396" spans="1:43" ht="12.75">
      <c r="A396" s="74" t="s">
        <v>182</v>
      </c>
      <c r="B396" s="74" t="s">
        <v>210</v>
      </c>
      <c r="C396" s="74" t="s">
        <v>385</v>
      </c>
      <c r="D396" s="74" t="s">
        <v>677</v>
      </c>
      <c r="E396" s="74" t="s">
        <v>730</v>
      </c>
      <c r="F396" s="75">
        <v>418</v>
      </c>
      <c r="G396" s="75"/>
      <c r="H396" s="75">
        <f>F396*AE396</f>
        <v>0</v>
      </c>
      <c r="I396" s="75">
        <f>J396-H396</f>
        <v>0</v>
      </c>
      <c r="J396" s="75">
        <f>F396*G396</f>
        <v>0</v>
      </c>
      <c r="K396" s="75">
        <v>0</v>
      </c>
      <c r="L396" s="75">
        <f>F396*K396</f>
        <v>0</v>
      </c>
      <c r="M396" s="76" t="s">
        <v>758</v>
      </c>
      <c r="N396" s="12" t="s">
        <v>7</v>
      </c>
      <c r="O396" s="6">
        <f>IF(N396="5",I396,0)</f>
        <v>0</v>
      </c>
      <c r="Z396" s="6">
        <f>IF(AD396=0,J396,0)</f>
        <v>0</v>
      </c>
      <c r="AA396" s="6">
        <f>IF(AD396=15,J396,0)</f>
        <v>0</v>
      </c>
      <c r="AB396" s="6">
        <f>IF(AD396=21,J396,0)</f>
        <v>0</v>
      </c>
      <c r="AD396" s="16">
        <v>21</v>
      </c>
      <c r="AE396" s="16">
        <f>G396*0</f>
        <v>0</v>
      </c>
      <c r="AF396" s="16">
        <f>G396*(1-0)</f>
        <v>0</v>
      </c>
      <c r="AM396" s="16">
        <f>F396*AE396</f>
        <v>0</v>
      </c>
      <c r="AN396" s="16">
        <f>F396*AF396</f>
        <v>0</v>
      </c>
      <c r="AO396" s="17" t="s">
        <v>774</v>
      </c>
      <c r="AP396" s="17" t="s">
        <v>774</v>
      </c>
      <c r="AQ396" s="11" t="s">
        <v>812</v>
      </c>
    </row>
    <row r="397" spans="1:13" ht="12.75">
      <c r="A397" s="77"/>
      <c r="B397" s="77"/>
      <c r="C397" s="77"/>
      <c r="D397" s="78" t="s">
        <v>678</v>
      </c>
      <c r="E397" s="77"/>
      <c r="F397" s="79">
        <v>418</v>
      </c>
      <c r="G397" s="77"/>
      <c r="H397" s="77"/>
      <c r="I397" s="77"/>
      <c r="J397" s="77"/>
      <c r="K397" s="77"/>
      <c r="L397" s="77"/>
      <c r="M397" s="77"/>
    </row>
    <row r="398" spans="1:43" ht="12.75">
      <c r="A398" s="74" t="s">
        <v>183</v>
      </c>
      <c r="B398" s="74" t="s">
        <v>210</v>
      </c>
      <c r="C398" s="74" t="s">
        <v>386</v>
      </c>
      <c r="D398" s="74" t="s">
        <v>679</v>
      </c>
      <c r="E398" s="74" t="s">
        <v>730</v>
      </c>
      <c r="F398" s="75">
        <v>418</v>
      </c>
      <c r="G398" s="75"/>
      <c r="H398" s="75">
        <f>F398*AE398</f>
        <v>0</v>
      </c>
      <c r="I398" s="75">
        <f>J398-H398</f>
        <v>0</v>
      </c>
      <c r="J398" s="75">
        <f>F398*G398</f>
        <v>0</v>
      </c>
      <c r="K398" s="75">
        <v>0</v>
      </c>
      <c r="L398" s="75">
        <f>F398*K398</f>
        <v>0</v>
      </c>
      <c r="M398" s="76" t="s">
        <v>758</v>
      </c>
      <c r="N398" s="12" t="s">
        <v>7</v>
      </c>
      <c r="O398" s="6">
        <f>IF(N398="5",I398,0)</f>
        <v>0</v>
      </c>
      <c r="Z398" s="6">
        <f>IF(AD398=0,J398,0)</f>
        <v>0</v>
      </c>
      <c r="AA398" s="6">
        <f>IF(AD398=15,J398,0)</f>
        <v>0</v>
      </c>
      <c r="AB398" s="6">
        <f>IF(AD398=21,J398,0)</f>
        <v>0</v>
      </c>
      <c r="AD398" s="16">
        <v>21</v>
      </c>
      <c r="AE398" s="16">
        <f>G398*0</f>
        <v>0</v>
      </c>
      <c r="AF398" s="16">
        <f>G398*(1-0)</f>
        <v>0</v>
      </c>
      <c r="AM398" s="16">
        <f>F398*AE398</f>
        <v>0</v>
      </c>
      <c r="AN398" s="16">
        <f>F398*AF398</f>
        <v>0</v>
      </c>
      <c r="AO398" s="17" t="s">
        <v>774</v>
      </c>
      <c r="AP398" s="17" t="s">
        <v>774</v>
      </c>
      <c r="AQ398" s="11" t="s">
        <v>812</v>
      </c>
    </row>
    <row r="399" spans="1:13" ht="12.75">
      <c r="A399" s="77"/>
      <c r="B399" s="77"/>
      <c r="C399" s="77"/>
      <c r="D399" s="78" t="s">
        <v>680</v>
      </c>
      <c r="E399" s="77"/>
      <c r="F399" s="79">
        <v>418</v>
      </c>
      <c r="G399" s="77"/>
      <c r="H399" s="77"/>
      <c r="I399" s="77"/>
      <c r="J399" s="77"/>
      <c r="K399" s="77"/>
      <c r="L399" s="77"/>
      <c r="M399" s="77"/>
    </row>
    <row r="400" spans="1:43" ht="12.75">
      <c r="A400" s="74" t="s">
        <v>184</v>
      </c>
      <c r="B400" s="74" t="s">
        <v>210</v>
      </c>
      <c r="C400" s="74" t="s">
        <v>387</v>
      </c>
      <c r="D400" s="74" t="s">
        <v>681</v>
      </c>
      <c r="E400" s="74" t="s">
        <v>730</v>
      </c>
      <c r="F400" s="75">
        <v>418</v>
      </c>
      <c r="G400" s="75"/>
      <c r="H400" s="75">
        <f>F400*AE400</f>
        <v>0</v>
      </c>
      <c r="I400" s="75">
        <f>J400-H400</f>
        <v>0</v>
      </c>
      <c r="J400" s="75">
        <f>F400*G400</f>
        <v>0</v>
      </c>
      <c r="K400" s="75">
        <v>0</v>
      </c>
      <c r="L400" s="75">
        <f>F400*K400</f>
        <v>0</v>
      </c>
      <c r="M400" s="76" t="s">
        <v>758</v>
      </c>
      <c r="N400" s="12" t="s">
        <v>7</v>
      </c>
      <c r="O400" s="6">
        <f>IF(N400="5",I400,0)</f>
        <v>0</v>
      </c>
      <c r="Z400" s="6">
        <f>IF(AD400=0,J400,0)</f>
        <v>0</v>
      </c>
      <c r="AA400" s="6">
        <f>IF(AD400=15,J400,0)</f>
        <v>0</v>
      </c>
      <c r="AB400" s="6">
        <f>IF(AD400=21,J400,0)</f>
        <v>0</v>
      </c>
      <c r="AD400" s="16">
        <v>21</v>
      </c>
      <c r="AE400" s="16">
        <f>G400*0</f>
        <v>0</v>
      </c>
      <c r="AF400" s="16">
        <f>G400*(1-0)</f>
        <v>0</v>
      </c>
      <c r="AM400" s="16">
        <f>F400*AE400</f>
        <v>0</v>
      </c>
      <c r="AN400" s="16">
        <f>F400*AF400</f>
        <v>0</v>
      </c>
      <c r="AO400" s="17" t="s">
        <v>774</v>
      </c>
      <c r="AP400" s="17" t="s">
        <v>774</v>
      </c>
      <c r="AQ400" s="11" t="s">
        <v>812</v>
      </c>
    </row>
    <row r="401" spans="1:13" ht="12.75">
      <c r="A401" s="77"/>
      <c r="B401" s="77"/>
      <c r="C401" s="77"/>
      <c r="D401" s="78" t="s">
        <v>680</v>
      </c>
      <c r="E401" s="77"/>
      <c r="F401" s="79">
        <v>418</v>
      </c>
      <c r="G401" s="77"/>
      <c r="H401" s="77"/>
      <c r="I401" s="77"/>
      <c r="J401" s="77"/>
      <c r="K401" s="77"/>
      <c r="L401" s="77"/>
      <c r="M401" s="77"/>
    </row>
    <row r="402" spans="1:43" ht="12.75">
      <c r="A402" s="74" t="s">
        <v>185</v>
      </c>
      <c r="B402" s="74" t="s">
        <v>210</v>
      </c>
      <c r="C402" s="74" t="s">
        <v>388</v>
      </c>
      <c r="D402" s="74" t="s">
        <v>682</v>
      </c>
      <c r="E402" s="74" t="s">
        <v>730</v>
      </c>
      <c r="F402" s="75">
        <v>418</v>
      </c>
      <c r="G402" s="75"/>
      <c r="H402" s="75">
        <f>F402*AE402</f>
        <v>0</v>
      </c>
      <c r="I402" s="75">
        <f>J402-H402</f>
        <v>0</v>
      </c>
      <c r="J402" s="75">
        <f>F402*G402</f>
        <v>0</v>
      </c>
      <c r="K402" s="75">
        <v>0</v>
      </c>
      <c r="L402" s="75">
        <f>F402*K402</f>
        <v>0</v>
      </c>
      <c r="M402" s="76" t="s">
        <v>758</v>
      </c>
      <c r="N402" s="12" t="s">
        <v>7</v>
      </c>
      <c r="O402" s="6">
        <f>IF(N402="5",I402,0)</f>
        <v>0</v>
      </c>
      <c r="Z402" s="6">
        <f>IF(AD402=0,J402,0)</f>
        <v>0</v>
      </c>
      <c r="AA402" s="6">
        <f>IF(AD402=15,J402,0)</f>
        <v>0</v>
      </c>
      <c r="AB402" s="6">
        <f>IF(AD402=21,J402,0)</f>
        <v>0</v>
      </c>
      <c r="AD402" s="16">
        <v>21</v>
      </c>
      <c r="AE402" s="16">
        <f>G402*0</f>
        <v>0</v>
      </c>
      <c r="AF402" s="16">
        <f>G402*(1-0)</f>
        <v>0</v>
      </c>
      <c r="AM402" s="16">
        <f>F402*AE402</f>
        <v>0</v>
      </c>
      <c r="AN402" s="16">
        <f>F402*AF402</f>
        <v>0</v>
      </c>
      <c r="AO402" s="17" t="s">
        <v>774</v>
      </c>
      <c r="AP402" s="17" t="s">
        <v>774</v>
      </c>
      <c r="AQ402" s="11" t="s">
        <v>812</v>
      </c>
    </row>
    <row r="403" spans="1:13" ht="12.75">
      <c r="A403" s="77"/>
      <c r="B403" s="77"/>
      <c r="C403" s="77"/>
      <c r="D403" s="78" t="s">
        <v>680</v>
      </c>
      <c r="E403" s="77"/>
      <c r="F403" s="79">
        <v>418</v>
      </c>
      <c r="G403" s="77"/>
      <c r="H403" s="77"/>
      <c r="I403" s="77"/>
      <c r="J403" s="77"/>
      <c r="K403" s="77"/>
      <c r="L403" s="77"/>
      <c r="M403" s="77"/>
    </row>
    <row r="404" spans="1:43" ht="12.75">
      <c r="A404" s="74" t="s">
        <v>186</v>
      </c>
      <c r="B404" s="74" t="s">
        <v>210</v>
      </c>
      <c r="C404" s="74" t="s">
        <v>389</v>
      </c>
      <c r="D404" s="74" t="s">
        <v>683</v>
      </c>
      <c r="E404" s="74" t="s">
        <v>731</v>
      </c>
      <c r="F404" s="75">
        <v>138.04</v>
      </c>
      <c r="G404" s="75"/>
      <c r="H404" s="75">
        <f>F404*AE404</f>
        <v>0</v>
      </c>
      <c r="I404" s="75">
        <f>J404-H404</f>
        <v>0</v>
      </c>
      <c r="J404" s="75">
        <f>F404*G404</f>
        <v>0</v>
      </c>
      <c r="K404" s="75">
        <v>0</v>
      </c>
      <c r="L404" s="75">
        <f>F404*K404</f>
        <v>0</v>
      </c>
      <c r="M404" s="76" t="s">
        <v>758</v>
      </c>
      <c r="N404" s="12" t="s">
        <v>7</v>
      </c>
      <c r="O404" s="6">
        <f>IF(N404="5",I404,0)</f>
        <v>0</v>
      </c>
      <c r="Z404" s="6">
        <f>IF(AD404=0,J404,0)</f>
        <v>0</v>
      </c>
      <c r="AA404" s="6">
        <f>IF(AD404=15,J404,0)</f>
        <v>0</v>
      </c>
      <c r="AB404" s="6">
        <f>IF(AD404=21,J404,0)</f>
        <v>0</v>
      </c>
      <c r="AD404" s="16">
        <v>21</v>
      </c>
      <c r="AE404" s="16">
        <f>G404*0</f>
        <v>0</v>
      </c>
      <c r="AF404" s="16">
        <f>G404*(1-0)</f>
        <v>0</v>
      </c>
      <c r="AM404" s="16">
        <f>F404*AE404</f>
        <v>0</v>
      </c>
      <c r="AN404" s="16">
        <f>F404*AF404</f>
        <v>0</v>
      </c>
      <c r="AO404" s="17" t="s">
        <v>774</v>
      </c>
      <c r="AP404" s="17" t="s">
        <v>774</v>
      </c>
      <c r="AQ404" s="11" t="s">
        <v>812</v>
      </c>
    </row>
    <row r="405" spans="1:13" ht="12.75">
      <c r="A405" s="77"/>
      <c r="B405" s="77"/>
      <c r="C405" s="77"/>
      <c r="D405" s="78" t="s">
        <v>684</v>
      </c>
      <c r="E405" s="77"/>
      <c r="F405" s="79">
        <v>138.04</v>
      </c>
      <c r="G405" s="77"/>
      <c r="H405" s="77"/>
      <c r="I405" s="77"/>
      <c r="J405" s="77"/>
      <c r="K405" s="77"/>
      <c r="L405" s="77"/>
      <c r="M405" s="77"/>
    </row>
    <row r="406" spans="1:37" ht="12.75">
      <c r="A406" s="70"/>
      <c r="B406" s="71" t="s">
        <v>210</v>
      </c>
      <c r="C406" s="71" t="s">
        <v>17</v>
      </c>
      <c r="D406" s="225" t="s">
        <v>685</v>
      </c>
      <c r="E406" s="226"/>
      <c r="F406" s="226"/>
      <c r="G406" s="226"/>
      <c r="H406" s="72">
        <f>SUM(H407:H407)</f>
        <v>0</v>
      </c>
      <c r="I406" s="72">
        <f>SUM(I407:I407)</f>
        <v>0</v>
      </c>
      <c r="J406" s="72">
        <f>H406+I406</f>
        <v>0</v>
      </c>
      <c r="K406" s="73"/>
      <c r="L406" s="72">
        <f>SUM(L407:L407)</f>
        <v>0</v>
      </c>
      <c r="M406" s="73"/>
      <c r="P406" s="18">
        <f>IF(Q406="PR",J406,SUM(O407:O407))</f>
        <v>0</v>
      </c>
      <c r="Q406" s="11" t="s">
        <v>764</v>
      </c>
      <c r="R406" s="18">
        <f>IF(Q406="HS",H406,0)</f>
        <v>0</v>
      </c>
      <c r="S406" s="18">
        <f>IF(Q406="HS",I406-P406,0)</f>
        <v>0</v>
      </c>
      <c r="T406" s="18">
        <f>IF(Q406="PS",H406,0)</f>
        <v>0</v>
      </c>
      <c r="U406" s="18">
        <f>IF(Q406="PS",I406-P406,0)</f>
        <v>0</v>
      </c>
      <c r="V406" s="18">
        <f>IF(Q406="MP",H406,0)</f>
        <v>0</v>
      </c>
      <c r="W406" s="18">
        <f>IF(Q406="MP",I406-P406,0)</f>
        <v>0</v>
      </c>
      <c r="X406" s="18">
        <f>IF(Q406="OM",H406,0)</f>
        <v>0</v>
      </c>
      <c r="Y406" s="11" t="s">
        <v>210</v>
      </c>
      <c r="AI406" s="18">
        <f>SUM(Z407:Z407)</f>
        <v>0</v>
      </c>
      <c r="AJ406" s="18">
        <f>SUM(AA407:AA407)</f>
        <v>0</v>
      </c>
      <c r="AK406" s="18">
        <f>SUM(AB407:AB407)</f>
        <v>0</v>
      </c>
    </row>
    <row r="407" spans="1:43" ht="12.75">
      <c r="A407" s="74" t="s">
        <v>187</v>
      </c>
      <c r="B407" s="74" t="s">
        <v>210</v>
      </c>
      <c r="C407" s="74" t="s">
        <v>390</v>
      </c>
      <c r="D407" s="74" t="s">
        <v>686</v>
      </c>
      <c r="E407" s="74" t="s">
        <v>732</v>
      </c>
      <c r="F407" s="75">
        <v>900.07</v>
      </c>
      <c r="G407" s="75"/>
      <c r="H407" s="75">
        <f>F407*AE407</f>
        <v>0</v>
      </c>
      <c r="I407" s="75">
        <f>J407-H407</f>
        <v>0</v>
      </c>
      <c r="J407" s="75">
        <f>F407*G407</f>
        <v>0</v>
      </c>
      <c r="K407" s="75">
        <v>0</v>
      </c>
      <c r="L407" s="75">
        <f>F407*K407</f>
        <v>0</v>
      </c>
      <c r="M407" s="76" t="s">
        <v>758</v>
      </c>
      <c r="N407" s="12" t="s">
        <v>7</v>
      </c>
      <c r="O407" s="6">
        <f>IF(N407="5",I407,0)</f>
        <v>0</v>
      </c>
      <c r="Z407" s="6">
        <f>IF(AD407=0,J407,0)</f>
        <v>0</v>
      </c>
      <c r="AA407" s="6">
        <f>IF(AD407=15,J407,0)</f>
        <v>0</v>
      </c>
      <c r="AB407" s="6">
        <f>IF(AD407=21,J407,0)</f>
        <v>0</v>
      </c>
      <c r="AD407" s="16">
        <v>21</v>
      </c>
      <c r="AE407" s="16">
        <f>G407*0</f>
        <v>0</v>
      </c>
      <c r="AF407" s="16">
        <f>G407*(1-0)</f>
        <v>0</v>
      </c>
      <c r="AM407" s="16">
        <f>F407*AE407</f>
        <v>0</v>
      </c>
      <c r="AN407" s="16">
        <f>F407*AF407</f>
        <v>0</v>
      </c>
      <c r="AO407" s="17" t="s">
        <v>792</v>
      </c>
      <c r="AP407" s="17" t="s">
        <v>774</v>
      </c>
      <c r="AQ407" s="11" t="s">
        <v>812</v>
      </c>
    </row>
    <row r="408" spans="1:13" ht="12.75">
      <c r="A408" s="77"/>
      <c r="B408" s="77"/>
      <c r="C408" s="77"/>
      <c r="D408" s="78" t="s">
        <v>687</v>
      </c>
      <c r="E408" s="77"/>
      <c r="F408" s="79">
        <v>900.07</v>
      </c>
      <c r="G408" s="77"/>
      <c r="H408" s="77"/>
      <c r="I408" s="77"/>
      <c r="J408" s="77"/>
      <c r="K408" s="77"/>
      <c r="L408" s="77"/>
      <c r="M408" s="77"/>
    </row>
    <row r="409" spans="1:37" ht="12.75">
      <c r="A409" s="70"/>
      <c r="B409" s="71" t="s">
        <v>210</v>
      </c>
      <c r="C409" s="71" t="s">
        <v>391</v>
      </c>
      <c r="D409" s="225" t="s">
        <v>688</v>
      </c>
      <c r="E409" s="226"/>
      <c r="F409" s="226"/>
      <c r="G409" s="226"/>
      <c r="H409" s="72">
        <f>SUM(H410:H415)</f>
        <v>0</v>
      </c>
      <c r="I409" s="72">
        <f>SUM(I410:I415)</f>
        <v>0</v>
      </c>
      <c r="J409" s="72">
        <f>H409+I409</f>
        <v>0</v>
      </c>
      <c r="K409" s="73"/>
      <c r="L409" s="72">
        <f>SUM(L410:L415)</f>
        <v>16.2344</v>
      </c>
      <c r="M409" s="73"/>
      <c r="P409" s="18">
        <f>IF(Q409="PR",J409,SUM(O410:O415))</f>
        <v>0</v>
      </c>
      <c r="Q409" s="11" t="s">
        <v>765</v>
      </c>
      <c r="R409" s="18">
        <f>IF(Q409="HS",H409,0)</f>
        <v>0</v>
      </c>
      <c r="S409" s="18">
        <f>IF(Q409="HS",I409-P409,0)</f>
        <v>0</v>
      </c>
      <c r="T409" s="18">
        <f>IF(Q409="PS",H409,0)</f>
        <v>0</v>
      </c>
      <c r="U409" s="18">
        <f>IF(Q409="PS",I409-P409,0)</f>
        <v>0</v>
      </c>
      <c r="V409" s="18">
        <f>IF(Q409="MP",H409,0)</f>
        <v>0</v>
      </c>
      <c r="W409" s="18">
        <f>IF(Q409="MP",I409-P409,0)</f>
        <v>0</v>
      </c>
      <c r="X409" s="18">
        <f>IF(Q409="OM",H409,0)</f>
        <v>0</v>
      </c>
      <c r="Y409" s="11" t="s">
        <v>210</v>
      </c>
      <c r="AI409" s="18">
        <f>SUM(Z410:Z415)</f>
        <v>0</v>
      </c>
      <c r="AJ409" s="18">
        <f>SUM(AA410:AA415)</f>
        <v>0</v>
      </c>
      <c r="AK409" s="18">
        <f>SUM(AB410:AB415)</f>
        <v>0</v>
      </c>
    </row>
    <row r="410" spans="1:43" ht="12.75">
      <c r="A410" s="74" t="s">
        <v>188</v>
      </c>
      <c r="B410" s="74" t="s">
        <v>210</v>
      </c>
      <c r="C410" s="74" t="s">
        <v>392</v>
      </c>
      <c r="D410" s="74" t="s">
        <v>689</v>
      </c>
      <c r="E410" s="74" t="s">
        <v>730</v>
      </c>
      <c r="F410" s="75">
        <v>624.4</v>
      </c>
      <c r="G410" s="75"/>
      <c r="H410" s="75">
        <f>F410*AE410</f>
        <v>0</v>
      </c>
      <c r="I410" s="75">
        <f>J410-H410</f>
        <v>0</v>
      </c>
      <c r="J410" s="75">
        <f>F410*G410</f>
        <v>0</v>
      </c>
      <c r="K410" s="75">
        <v>0.014</v>
      </c>
      <c r="L410" s="75">
        <f>F410*K410</f>
        <v>8.7416</v>
      </c>
      <c r="M410" s="76" t="s">
        <v>758</v>
      </c>
      <c r="N410" s="12" t="s">
        <v>7</v>
      </c>
      <c r="O410" s="6">
        <f>IF(N410="5",I410,0)</f>
        <v>0</v>
      </c>
      <c r="Z410" s="6">
        <f>IF(AD410=0,J410,0)</f>
        <v>0</v>
      </c>
      <c r="AA410" s="6">
        <f>IF(AD410=15,J410,0)</f>
        <v>0</v>
      </c>
      <c r="AB410" s="6">
        <f>IF(AD410=21,J410,0)</f>
        <v>0</v>
      </c>
      <c r="AD410" s="16">
        <v>21</v>
      </c>
      <c r="AE410" s="16">
        <f>G410*0</f>
        <v>0</v>
      </c>
      <c r="AF410" s="16">
        <f>G410*(1-0)</f>
        <v>0</v>
      </c>
      <c r="AM410" s="16">
        <f>F410*AE410</f>
        <v>0</v>
      </c>
      <c r="AN410" s="16">
        <f>F410*AF410</f>
        <v>0</v>
      </c>
      <c r="AO410" s="17" t="s">
        <v>793</v>
      </c>
      <c r="AP410" s="17" t="s">
        <v>804</v>
      </c>
      <c r="AQ410" s="11" t="s">
        <v>812</v>
      </c>
    </row>
    <row r="411" spans="1:13" ht="12.75">
      <c r="A411" s="77"/>
      <c r="B411" s="77"/>
      <c r="C411" s="77"/>
      <c r="D411" s="78" t="s">
        <v>690</v>
      </c>
      <c r="E411" s="77"/>
      <c r="F411" s="79">
        <v>266.81</v>
      </c>
      <c r="G411" s="77"/>
      <c r="H411" s="77"/>
      <c r="I411" s="77"/>
      <c r="J411" s="77"/>
      <c r="K411" s="77"/>
      <c r="L411" s="77"/>
      <c r="M411" s="77"/>
    </row>
    <row r="412" spans="1:13" ht="12.75">
      <c r="A412" s="77"/>
      <c r="B412" s="77"/>
      <c r="C412" s="77"/>
      <c r="D412" s="78" t="s">
        <v>691</v>
      </c>
      <c r="E412" s="77"/>
      <c r="F412" s="79">
        <v>624.4</v>
      </c>
      <c r="G412" s="77"/>
      <c r="H412" s="77"/>
      <c r="I412" s="77"/>
      <c r="J412" s="77"/>
      <c r="K412" s="77"/>
      <c r="L412" s="77"/>
      <c r="M412" s="77"/>
    </row>
    <row r="413" spans="1:43" ht="12.75">
      <c r="A413" s="74" t="s">
        <v>189</v>
      </c>
      <c r="B413" s="74" t="s">
        <v>210</v>
      </c>
      <c r="C413" s="74" t="s">
        <v>393</v>
      </c>
      <c r="D413" s="74" t="s">
        <v>692</v>
      </c>
      <c r="E413" s="74" t="s">
        <v>730</v>
      </c>
      <c r="F413" s="75">
        <v>1248.8</v>
      </c>
      <c r="G413" s="75"/>
      <c r="H413" s="75">
        <f>F413*AE413</f>
        <v>0</v>
      </c>
      <c r="I413" s="75">
        <f>J413-H413</f>
        <v>0</v>
      </c>
      <c r="J413" s="75">
        <f>F413*G413</f>
        <v>0</v>
      </c>
      <c r="K413" s="75">
        <v>0.006</v>
      </c>
      <c r="L413" s="75">
        <f>F413*K413</f>
        <v>7.4928</v>
      </c>
      <c r="M413" s="76" t="s">
        <v>758</v>
      </c>
      <c r="N413" s="12" t="s">
        <v>7</v>
      </c>
      <c r="O413" s="6">
        <f>IF(N413="5",I413,0)</f>
        <v>0</v>
      </c>
      <c r="Z413" s="6">
        <f>IF(AD413=0,J413,0)</f>
        <v>0</v>
      </c>
      <c r="AA413" s="6">
        <f>IF(AD413=15,J413,0)</f>
        <v>0</v>
      </c>
      <c r="AB413" s="6">
        <f>IF(AD413=21,J413,0)</f>
        <v>0</v>
      </c>
      <c r="AD413" s="16">
        <v>21</v>
      </c>
      <c r="AE413" s="16">
        <f>G413*0</f>
        <v>0</v>
      </c>
      <c r="AF413" s="16">
        <f>G413*(1-0)</f>
        <v>0</v>
      </c>
      <c r="AM413" s="16">
        <f>F413*AE413</f>
        <v>0</v>
      </c>
      <c r="AN413" s="16">
        <f>F413*AF413</f>
        <v>0</v>
      </c>
      <c r="AO413" s="17" t="s">
        <v>793</v>
      </c>
      <c r="AP413" s="17" t="s">
        <v>804</v>
      </c>
      <c r="AQ413" s="11" t="s">
        <v>812</v>
      </c>
    </row>
    <row r="414" spans="1:13" ht="12.75">
      <c r="A414" s="77"/>
      <c r="B414" s="77"/>
      <c r="C414" s="77"/>
      <c r="D414" s="78" t="s">
        <v>693</v>
      </c>
      <c r="E414" s="77"/>
      <c r="F414" s="79">
        <v>1248.8</v>
      </c>
      <c r="G414" s="77"/>
      <c r="H414" s="77"/>
      <c r="I414" s="77"/>
      <c r="J414" s="77"/>
      <c r="K414" s="77"/>
      <c r="L414" s="77"/>
      <c r="M414" s="77"/>
    </row>
    <row r="415" spans="1:43" ht="12.75">
      <c r="A415" s="74" t="s">
        <v>190</v>
      </c>
      <c r="B415" s="74" t="s">
        <v>210</v>
      </c>
      <c r="C415" s="74" t="s">
        <v>394</v>
      </c>
      <c r="D415" s="74" t="s">
        <v>694</v>
      </c>
      <c r="E415" s="74" t="s">
        <v>732</v>
      </c>
      <c r="F415" s="75">
        <v>16.2344</v>
      </c>
      <c r="G415" s="75"/>
      <c r="H415" s="75">
        <f>F415*AE415</f>
        <v>0</v>
      </c>
      <c r="I415" s="75">
        <f>J415-H415</f>
        <v>0</v>
      </c>
      <c r="J415" s="75">
        <f>F415*G415</f>
        <v>0</v>
      </c>
      <c r="K415" s="75">
        <v>0</v>
      </c>
      <c r="L415" s="75">
        <f>F415*K415</f>
        <v>0</v>
      </c>
      <c r="M415" s="76" t="s">
        <v>758</v>
      </c>
      <c r="N415" s="12" t="s">
        <v>11</v>
      </c>
      <c r="O415" s="6">
        <f>IF(N415="5",I415,0)</f>
        <v>0</v>
      </c>
      <c r="Z415" s="6">
        <f>IF(AD415=0,J415,0)</f>
        <v>0</v>
      </c>
      <c r="AA415" s="6">
        <f>IF(AD415=15,J415,0)</f>
        <v>0</v>
      </c>
      <c r="AB415" s="6">
        <f>IF(AD415=21,J415,0)</f>
        <v>0</v>
      </c>
      <c r="AD415" s="16">
        <v>21</v>
      </c>
      <c r="AE415" s="16">
        <f>G415*0</f>
        <v>0</v>
      </c>
      <c r="AF415" s="16">
        <f>G415*(1-0)</f>
        <v>0</v>
      </c>
      <c r="AM415" s="16">
        <f>F415*AE415</f>
        <v>0</v>
      </c>
      <c r="AN415" s="16">
        <f>F415*AF415</f>
        <v>0</v>
      </c>
      <c r="AO415" s="17" t="s">
        <v>793</v>
      </c>
      <c r="AP415" s="17" t="s">
        <v>804</v>
      </c>
      <c r="AQ415" s="11" t="s">
        <v>812</v>
      </c>
    </row>
    <row r="416" spans="1:37" ht="12.75">
      <c r="A416" s="70"/>
      <c r="B416" s="71" t="s">
        <v>210</v>
      </c>
      <c r="C416" s="71" t="s">
        <v>395</v>
      </c>
      <c r="D416" s="225" t="s">
        <v>695</v>
      </c>
      <c r="E416" s="226"/>
      <c r="F416" s="226"/>
      <c r="G416" s="226"/>
      <c r="H416" s="72">
        <f>SUM(H417:H423)</f>
        <v>0</v>
      </c>
      <c r="I416" s="72">
        <f>SUM(I417:I423)</f>
        <v>0</v>
      </c>
      <c r="J416" s="72">
        <f>H416+I416</f>
        <v>0</v>
      </c>
      <c r="K416" s="73"/>
      <c r="L416" s="72">
        <f>SUM(L417:L423)</f>
        <v>10.44692</v>
      </c>
      <c r="M416" s="73"/>
      <c r="P416" s="18">
        <f>IF(Q416="PR",J416,SUM(O417:O423))</f>
        <v>0</v>
      </c>
      <c r="Q416" s="11" t="s">
        <v>765</v>
      </c>
      <c r="R416" s="18">
        <f>IF(Q416="HS",H416,0)</f>
        <v>0</v>
      </c>
      <c r="S416" s="18">
        <f>IF(Q416="HS",I416-P416,0)</f>
        <v>0</v>
      </c>
      <c r="T416" s="18">
        <f>IF(Q416="PS",H416,0)</f>
        <v>0</v>
      </c>
      <c r="U416" s="18">
        <f>IF(Q416="PS",I416-P416,0)</f>
        <v>0</v>
      </c>
      <c r="V416" s="18">
        <f>IF(Q416="MP",H416,0)</f>
        <v>0</v>
      </c>
      <c r="W416" s="18">
        <f>IF(Q416="MP",I416-P416,0)</f>
        <v>0</v>
      </c>
      <c r="X416" s="18">
        <f>IF(Q416="OM",H416,0)</f>
        <v>0</v>
      </c>
      <c r="Y416" s="11" t="s">
        <v>210</v>
      </c>
      <c r="AI416" s="18">
        <f>SUM(Z417:Z423)</f>
        <v>0</v>
      </c>
      <c r="AJ416" s="18">
        <f>SUM(AA417:AA423)</f>
        <v>0</v>
      </c>
      <c r="AK416" s="18">
        <f>SUM(AB417:AB423)</f>
        <v>0</v>
      </c>
    </row>
    <row r="417" spans="1:43" ht="12.75">
      <c r="A417" s="74" t="s">
        <v>191</v>
      </c>
      <c r="B417" s="74" t="s">
        <v>210</v>
      </c>
      <c r="C417" s="74" t="s">
        <v>396</v>
      </c>
      <c r="D417" s="74" t="s">
        <v>696</v>
      </c>
      <c r="E417" s="74" t="s">
        <v>730</v>
      </c>
      <c r="F417" s="75">
        <v>474.86</v>
      </c>
      <c r="G417" s="75"/>
      <c r="H417" s="75">
        <f>F417*AE417</f>
        <v>0</v>
      </c>
      <c r="I417" s="75">
        <f>J417-H417</f>
        <v>0</v>
      </c>
      <c r="J417" s="75">
        <f>F417*G417</f>
        <v>0</v>
      </c>
      <c r="K417" s="75">
        <v>0.022</v>
      </c>
      <c r="L417" s="75">
        <f>F417*K417</f>
        <v>10.44692</v>
      </c>
      <c r="M417" s="76" t="s">
        <v>758</v>
      </c>
      <c r="N417" s="12" t="s">
        <v>7</v>
      </c>
      <c r="O417" s="6">
        <f>IF(N417="5",I417,0)</f>
        <v>0</v>
      </c>
      <c r="Z417" s="6">
        <f>IF(AD417=0,J417,0)</f>
        <v>0</v>
      </c>
      <c r="AA417" s="6">
        <f>IF(AD417=15,J417,0)</f>
        <v>0</v>
      </c>
      <c r="AB417" s="6">
        <f>IF(AD417=21,J417,0)</f>
        <v>0</v>
      </c>
      <c r="AD417" s="16">
        <v>21</v>
      </c>
      <c r="AE417" s="16">
        <f>G417*0</f>
        <v>0</v>
      </c>
      <c r="AF417" s="16">
        <f>G417*(1-0)</f>
        <v>0</v>
      </c>
      <c r="AM417" s="16">
        <f>F417*AE417</f>
        <v>0</v>
      </c>
      <c r="AN417" s="16">
        <f>F417*AF417</f>
        <v>0</v>
      </c>
      <c r="AO417" s="17" t="s">
        <v>794</v>
      </c>
      <c r="AP417" s="17" t="s">
        <v>807</v>
      </c>
      <c r="AQ417" s="11" t="s">
        <v>812</v>
      </c>
    </row>
    <row r="418" spans="1:13" ht="12.75">
      <c r="A418" s="77"/>
      <c r="B418" s="77"/>
      <c r="C418" s="77"/>
      <c r="D418" s="78" t="s">
        <v>697</v>
      </c>
      <c r="E418" s="77"/>
      <c r="F418" s="79">
        <v>443.36</v>
      </c>
      <c r="G418" s="77"/>
      <c r="H418" s="77"/>
      <c r="I418" s="77"/>
      <c r="J418" s="77"/>
      <c r="K418" s="77"/>
      <c r="L418" s="77"/>
      <c r="M418" s="77"/>
    </row>
    <row r="419" spans="1:13" ht="12.75">
      <c r="A419" s="77"/>
      <c r="B419" s="77"/>
      <c r="C419" s="77"/>
      <c r="D419" s="78" t="s">
        <v>698</v>
      </c>
      <c r="E419" s="77"/>
      <c r="F419" s="79">
        <v>31.5</v>
      </c>
      <c r="G419" s="77"/>
      <c r="H419" s="77"/>
      <c r="I419" s="77"/>
      <c r="J419" s="77"/>
      <c r="K419" s="77"/>
      <c r="L419" s="77"/>
      <c r="M419" s="77"/>
    </row>
    <row r="420" spans="1:43" ht="12.75">
      <c r="A420" s="74" t="s">
        <v>192</v>
      </c>
      <c r="B420" s="74" t="s">
        <v>210</v>
      </c>
      <c r="C420" s="74" t="s">
        <v>397</v>
      </c>
      <c r="D420" s="74" t="s">
        <v>699</v>
      </c>
      <c r="E420" s="74" t="s">
        <v>732</v>
      </c>
      <c r="F420" s="75">
        <v>10.44692</v>
      </c>
      <c r="G420" s="75"/>
      <c r="H420" s="75">
        <f>F420*AE420</f>
        <v>0</v>
      </c>
      <c r="I420" s="75">
        <f>J420-H420</f>
        <v>0</v>
      </c>
      <c r="J420" s="75">
        <f>F420*G420</f>
        <v>0</v>
      </c>
      <c r="K420" s="75">
        <v>0</v>
      </c>
      <c r="L420" s="75">
        <f>F420*K420</f>
        <v>0</v>
      </c>
      <c r="M420" s="76" t="s">
        <v>758</v>
      </c>
      <c r="N420" s="12" t="s">
        <v>11</v>
      </c>
      <c r="O420" s="6">
        <f>IF(N420="5",I420,0)</f>
        <v>0</v>
      </c>
      <c r="Z420" s="6">
        <f>IF(AD420=0,J420,0)</f>
        <v>0</v>
      </c>
      <c r="AA420" s="6">
        <f>IF(AD420=15,J420,0)</f>
        <v>0</v>
      </c>
      <c r="AB420" s="6">
        <f>IF(AD420=21,J420,0)</f>
        <v>0</v>
      </c>
      <c r="AD420" s="16">
        <v>21</v>
      </c>
      <c r="AE420" s="16">
        <f>G420*0</f>
        <v>0</v>
      </c>
      <c r="AF420" s="16">
        <f>G420*(1-0)</f>
        <v>0</v>
      </c>
      <c r="AM420" s="16">
        <f>F420*AE420</f>
        <v>0</v>
      </c>
      <c r="AN420" s="16">
        <f>F420*AF420</f>
        <v>0</v>
      </c>
      <c r="AO420" s="17" t="s">
        <v>794</v>
      </c>
      <c r="AP420" s="17" t="s">
        <v>807</v>
      </c>
      <c r="AQ420" s="11" t="s">
        <v>812</v>
      </c>
    </row>
    <row r="421" spans="1:43" ht="12.75">
      <c r="A421" s="74" t="s">
        <v>193</v>
      </c>
      <c r="B421" s="74" t="s">
        <v>210</v>
      </c>
      <c r="C421" s="74" t="s">
        <v>398</v>
      </c>
      <c r="D421" s="74" t="s">
        <v>700</v>
      </c>
      <c r="E421" s="74" t="s">
        <v>732</v>
      </c>
      <c r="F421" s="75">
        <v>26.68132</v>
      </c>
      <c r="G421" s="75"/>
      <c r="H421" s="75">
        <f>F421*AE421</f>
        <v>0</v>
      </c>
      <c r="I421" s="75">
        <f>J421-H421</f>
        <v>0</v>
      </c>
      <c r="J421" s="75">
        <f>F421*G421</f>
        <v>0</v>
      </c>
      <c r="K421" s="75">
        <v>0</v>
      </c>
      <c r="L421" s="75">
        <f>F421*K421</f>
        <v>0</v>
      </c>
      <c r="M421" s="76" t="s">
        <v>758</v>
      </c>
      <c r="N421" s="12" t="s">
        <v>11</v>
      </c>
      <c r="O421" s="6">
        <f>IF(N421="5",I421,0)</f>
        <v>0</v>
      </c>
      <c r="Z421" s="6">
        <f>IF(AD421=0,J421,0)</f>
        <v>0</v>
      </c>
      <c r="AA421" s="6">
        <f>IF(AD421=15,J421,0)</f>
        <v>0</v>
      </c>
      <c r="AB421" s="6">
        <f>IF(AD421=21,J421,0)</f>
        <v>0</v>
      </c>
      <c r="AD421" s="16">
        <v>21</v>
      </c>
      <c r="AE421" s="16">
        <f>G421*0</f>
        <v>0</v>
      </c>
      <c r="AF421" s="16">
        <f>G421*(1-0)</f>
        <v>0</v>
      </c>
      <c r="AM421" s="16">
        <f>F421*AE421</f>
        <v>0</v>
      </c>
      <c r="AN421" s="16">
        <f>F421*AF421</f>
        <v>0</v>
      </c>
      <c r="AO421" s="17" t="s">
        <v>794</v>
      </c>
      <c r="AP421" s="17" t="s">
        <v>807</v>
      </c>
      <c r="AQ421" s="11" t="s">
        <v>812</v>
      </c>
    </row>
    <row r="422" spans="1:13" ht="12.75">
      <c r="A422" s="77"/>
      <c r="B422" s="77"/>
      <c r="C422" s="87" t="s">
        <v>204</v>
      </c>
      <c r="D422" s="227" t="s">
        <v>701</v>
      </c>
      <c r="E422" s="228"/>
      <c r="F422" s="228"/>
      <c r="G422" s="228"/>
      <c r="H422" s="228"/>
      <c r="I422" s="228"/>
      <c r="J422" s="228"/>
      <c r="K422" s="228"/>
      <c r="L422" s="228"/>
      <c r="M422" s="228"/>
    </row>
    <row r="423" spans="1:43" ht="12.75">
      <c r="A423" s="74" t="s">
        <v>194</v>
      </c>
      <c r="B423" s="74" t="s">
        <v>210</v>
      </c>
      <c r="C423" s="74" t="s">
        <v>399</v>
      </c>
      <c r="D423" s="74" t="s">
        <v>702</v>
      </c>
      <c r="E423" s="74" t="s">
        <v>732</v>
      </c>
      <c r="F423" s="75">
        <v>266.81</v>
      </c>
      <c r="G423" s="75"/>
      <c r="H423" s="75">
        <f>F423*AE423</f>
        <v>0</v>
      </c>
      <c r="I423" s="75">
        <f>J423-H423</f>
        <v>0</v>
      </c>
      <c r="J423" s="75">
        <f>F423*G423</f>
        <v>0</v>
      </c>
      <c r="K423" s="75">
        <v>0</v>
      </c>
      <c r="L423" s="75">
        <f>F423*K423</f>
        <v>0</v>
      </c>
      <c r="M423" s="76" t="s">
        <v>758</v>
      </c>
      <c r="N423" s="12" t="s">
        <v>11</v>
      </c>
      <c r="O423" s="6">
        <f>IF(N423="5",I423,0)</f>
        <v>0</v>
      </c>
      <c r="Z423" s="6">
        <f>IF(AD423=0,J423,0)</f>
        <v>0</v>
      </c>
      <c r="AA423" s="6">
        <f>IF(AD423=15,J423,0)</f>
        <v>0</v>
      </c>
      <c r="AB423" s="6">
        <f>IF(AD423=21,J423,0)</f>
        <v>0</v>
      </c>
      <c r="AD423" s="16">
        <v>21</v>
      </c>
      <c r="AE423" s="16">
        <f>G423*0</f>
        <v>0</v>
      </c>
      <c r="AF423" s="16">
        <f>G423*(1-0)</f>
        <v>0</v>
      </c>
      <c r="AM423" s="16">
        <f>F423*AE423</f>
        <v>0</v>
      </c>
      <c r="AN423" s="16">
        <f>F423*AF423</f>
        <v>0</v>
      </c>
      <c r="AO423" s="17" t="s">
        <v>794</v>
      </c>
      <c r="AP423" s="17" t="s">
        <v>807</v>
      </c>
      <c r="AQ423" s="11" t="s">
        <v>812</v>
      </c>
    </row>
    <row r="424" spans="1:13" ht="12.75">
      <c r="A424" s="77"/>
      <c r="B424" s="77"/>
      <c r="C424" s="87" t="s">
        <v>204</v>
      </c>
      <c r="D424" s="227" t="s">
        <v>703</v>
      </c>
      <c r="E424" s="228"/>
      <c r="F424" s="228"/>
      <c r="G424" s="228"/>
      <c r="H424" s="228"/>
      <c r="I424" s="228"/>
      <c r="J424" s="228"/>
      <c r="K424" s="228"/>
      <c r="L424" s="228"/>
      <c r="M424" s="228"/>
    </row>
    <row r="425" spans="1:37" ht="12.75">
      <c r="A425" s="70"/>
      <c r="B425" s="71" t="s">
        <v>210</v>
      </c>
      <c r="C425" s="71" t="s">
        <v>400</v>
      </c>
      <c r="D425" s="225" t="s">
        <v>704</v>
      </c>
      <c r="E425" s="226"/>
      <c r="F425" s="226"/>
      <c r="G425" s="226"/>
      <c r="H425" s="72">
        <f>SUM(H426:H426)</f>
        <v>0</v>
      </c>
      <c r="I425" s="72">
        <f>SUM(I426:I426)</f>
        <v>0</v>
      </c>
      <c r="J425" s="72">
        <f>H425+I425</f>
        <v>0</v>
      </c>
      <c r="K425" s="73"/>
      <c r="L425" s="72">
        <f>SUM(L426:L426)</f>
        <v>10.618963399999998</v>
      </c>
      <c r="M425" s="73"/>
      <c r="P425" s="18">
        <f>IF(Q425="PR",J425,SUM(O426:O426))</f>
        <v>0</v>
      </c>
      <c r="Q425" s="11" t="s">
        <v>765</v>
      </c>
      <c r="R425" s="18">
        <f>IF(Q425="HS",H425,0)</f>
        <v>0</v>
      </c>
      <c r="S425" s="18">
        <f>IF(Q425="HS",I425-P425,0)</f>
        <v>0</v>
      </c>
      <c r="T425" s="18">
        <f>IF(Q425="PS",H425,0)</f>
        <v>0</v>
      </c>
      <c r="U425" s="18">
        <f>IF(Q425="PS",I425-P425,0)</f>
        <v>0</v>
      </c>
      <c r="V425" s="18">
        <f>IF(Q425="MP",H425,0)</f>
        <v>0</v>
      </c>
      <c r="W425" s="18">
        <f>IF(Q425="MP",I425-P425,0)</f>
        <v>0</v>
      </c>
      <c r="X425" s="18">
        <f>IF(Q425="OM",H425,0)</f>
        <v>0</v>
      </c>
      <c r="Y425" s="11" t="s">
        <v>210</v>
      </c>
      <c r="AI425" s="18">
        <f>SUM(Z426:Z426)</f>
        <v>0</v>
      </c>
      <c r="AJ425" s="18">
        <f>SUM(AA426:AA426)</f>
        <v>0</v>
      </c>
      <c r="AK425" s="18">
        <f>SUM(AB426:AB426)</f>
        <v>0</v>
      </c>
    </row>
    <row r="426" spans="1:43" ht="12.75">
      <c r="A426" s="74" t="s">
        <v>195</v>
      </c>
      <c r="B426" s="74" t="s">
        <v>210</v>
      </c>
      <c r="C426" s="74" t="s">
        <v>401</v>
      </c>
      <c r="D426" s="74" t="s">
        <v>705</v>
      </c>
      <c r="E426" s="74" t="s">
        <v>734</v>
      </c>
      <c r="F426" s="75">
        <v>10017.89</v>
      </c>
      <c r="G426" s="75"/>
      <c r="H426" s="75">
        <f>F426*AE426</f>
        <v>0</v>
      </c>
      <c r="I426" s="75">
        <f>J426-H426</f>
        <v>0</v>
      </c>
      <c r="J426" s="75">
        <f>F426*G426</f>
        <v>0</v>
      </c>
      <c r="K426" s="75">
        <v>0.00106</v>
      </c>
      <c r="L426" s="75">
        <f>F426*K426</f>
        <v>10.618963399999998</v>
      </c>
      <c r="M426" s="76" t="s">
        <v>758</v>
      </c>
      <c r="N426" s="12" t="s">
        <v>9</v>
      </c>
      <c r="O426" s="6">
        <f>IF(N426="5",I426,0)</f>
        <v>0</v>
      </c>
      <c r="Z426" s="6">
        <f>IF(AD426=0,J426,0)</f>
        <v>0</v>
      </c>
      <c r="AA426" s="6">
        <f>IF(AD426=15,J426,0)</f>
        <v>0</v>
      </c>
      <c r="AB426" s="6">
        <f>IF(AD426=21,J426,0)</f>
        <v>0</v>
      </c>
      <c r="AD426" s="16">
        <v>21</v>
      </c>
      <c r="AE426" s="16">
        <f>G426*0</f>
        <v>0</v>
      </c>
      <c r="AF426" s="16">
        <f>G426*(1-0)</f>
        <v>0</v>
      </c>
      <c r="AM426" s="16">
        <f>F426*AE426</f>
        <v>0</v>
      </c>
      <c r="AN426" s="16">
        <f>F426*AF426</f>
        <v>0</v>
      </c>
      <c r="AO426" s="17" t="s">
        <v>795</v>
      </c>
      <c r="AP426" s="17" t="s">
        <v>807</v>
      </c>
      <c r="AQ426" s="11" t="s">
        <v>812</v>
      </c>
    </row>
    <row r="427" spans="1:13" ht="12.75">
      <c r="A427" s="77"/>
      <c r="B427" s="77"/>
      <c r="C427" s="77"/>
      <c r="D427" s="78" t="s">
        <v>706</v>
      </c>
      <c r="E427" s="77"/>
      <c r="F427" s="79">
        <v>5628.48</v>
      </c>
      <c r="G427" s="77"/>
      <c r="H427" s="77"/>
      <c r="I427" s="77"/>
      <c r="J427" s="77"/>
      <c r="K427" s="77"/>
      <c r="L427" s="77"/>
      <c r="M427" s="77"/>
    </row>
    <row r="428" spans="1:13" ht="12.75">
      <c r="A428" s="77"/>
      <c r="B428" s="77"/>
      <c r="C428" s="77"/>
      <c r="D428" s="78" t="s">
        <v>707</v>
      </c>
      <c r="E428" s="77"/>
      <c r="F428" s="79">
        <v>4389.41</v>
      </c>
      <c r="G428" s="77"/>
      <c r="H428" s="77"/>
      <c r="I428" s="77"/>
      <c r="J428" s="77"/>
      <c r="K428" s="77"/>
      <c r="L428" s="77"/>
      <c r="M428" s="77"/>
    </row>
    <row r="429" spans="1:37" ht="12.75">
      <c r="A429" s="70"/>
      <c r="B429" s="71" t="s">
        <v>210</v>
      </c>
      <c r="C429" s="71" t="s">
        <v>96</v>
      </c>
      <c r="D429" s="225" t="s">
        <v>708</v>
      </c>
      <c r="E429" s="226"/>
      <c r="F429" s="226"/>
      <c r="G429" s="226"/>
      <c r="H429" s="72">
        <f>SUM(H430:H430)</f>
        <v>0</v>
      </c>
      <c r="I429" s="72">
        <f>SUM(I430:I430)</f>
        <v>0</v>
      </c>
      <c r="J429" s="72">
        <f>H429+I429</f>
        <v>0</v>
      </c>
      <c r="K429" s="73"/>
      <c r="L429" s="72">
        <f>SUM(L430:L430)</f>
        <v>0</v>
      </c>
      <c r="M429" s="73"/>
      <c r="P429" s="18">
        <f>IF(Q429="PR",J429,SUM(O430:O430))</f>
        <v>0</v>
      </c>
      <c r="Q429" s="11" t="s">
        <v>764</v>
      </c>
      <c r="R429" s="18">
        <f>IF(Q429="HS",H429,0)</f>
        <v>0</v>
      </c>
      <c r="S429" s="18">
        <f>IF(Q429="HS",I429-P429,0)</f>
        <v>0</v>
      </c>
      <c r="T429" s="18">
        <f>IF(Q429="PS",H429,0)</f>
        <v>0</v>
      </c>
      <c r="U429" s="18">
        <f>IF(Q429="PS",I429-P429,0)</f>
        <v>0</v>
      </c>
      <c r="V429" s="18">
        <f>IF(Q429="MP",H429,0)</f>
        <v>0</v>
      </c>
      <c r="W429" s="18">
        <f>IF(Q429="MP",I429-P429,0)</f>
        <v>0</v>
      </c>
      <c r="X429" s="18">
        <f>IF(Q429="OM",H429,0)</f>
        <v>0</v>
      </c>
      <c r="Y429" s="11" t="s">
        <v>210</v>
      </c>
      <c r="AI429" s="18">
        <f>SUM(Z430:Z430)</f>
        <v>0</v>
      </c>
      <c r="AJ429" s="18">
        <f>SUM(AA430:AA430)</f>
        <v>0</v>
      </c>
      <c r="AK429" s="18">
        <f>SUM(AB430:AB430)</f>
        <v>0</v>
      </c>
    </row>
    <row r="430" spans="1:43" ht="12.75">
      <c r="A430" s="74" t="s">
        <v>196</v>
      </c>
      <c r="B430" s="74" t="s">
        <v>210</v>
      </c>
      <c r="C430" s="74" t="s">
        <v>402</v>
      </c>
      <c r="D430" s="74" t="s">
        <v>709</v>
      </c>
      <c r="E430" s="74" t="s">
        <v>738</v>
      </c>
      <c r="F430" s="75">
        <v>5</v>
      </c>
      <c r="G430" s="75"/>
      <c r="H430" s="75">
        <f>F430*AE430</f>
        <v>0</v>
      </c>
      <c r="I430" s="75">
        <f>J430-H430</f>
        <v>0</v>
      </c>
      <c r="J430" s="75">
        <f>F430*G430</f>
        <v>0</v>
      </c>
      <c r="K430" s="75">
        <v>0</v>
      </c>
      <c r="L430" s="75">
        <f>F430*K430</f>
        <v>0</v>
      </c>
      <c r="M430" s="76" t="s">
        <v>758</v>
      </c>
      <c r="N430" s="12" t="s">
        <v>7</v>
      </c>
      <c r="O430" s="6">
        <f>IF(N430="5",I430,0)</f>
        <v>0</v>
      </c>
      <c r="Z430" s="6">
        <f>IF(AD430=0,J430,0)</f>
        <v>0</v>
      </c>
      <c r="AA430" s="6">
        <f>IF(AD430=15,J430,0)</f>
        <v>0</v>
      </c>
      <c r="AB430" s="6">
        <f>IF(AD430=21,J430,0)</f>
        <v>0</v>
      </c>
      <c r="AD430" s="16">
        <v>21</v>
      </c>
      <c r="AE430" s="16">
        <f>G430*0</f>
        <v>0</v>
      </c>
      <c r="AF430" s="16">
        <f>G430*(1-0)</f>
        <v>0</v>
      </c>
      <c r="AM430" s="16">
        <f>F430*AE430</f>
        <v>0</v>
      </c>
      <c r="AN430" s="16">
        <f>F430*AF430</f>
        <v>0</v>
      </c>
      <c r="AO430" s="17" t="s">
        <v>796</v>
      </c>
      <c r="AP430" s="17" t="s">
        <v>802</v>
      </c>
      <c r="AQ430" s="11" t="s">
        <v>812</v>
      </c>
    </row>
    <row r="431" spans="1:13" ht="12.75">
      <c r="A431" s="77"/>
      <c r="B431" s="77"/>
      <c r="C431" s="77"/>
      <c r="D431" s="78" t="s">
        <v>710</v>
      </c>
      <c r="E431" s="77"/>
      <c r="F431" s="79">
        <v>5</v>
      </c>
      <c r="G431" s="77"/>
      <c r="H431" s="77"/>
      <c r="I431" s="77"/>
      <c r="J431" s="77"/>
      <c r="K431" s="77"/>
      <c r="L431" s="77"/>
      <c r="M431" s="77"/>
    </row>
    <row r="432" spans="1:37" ht="12.75">
      <c r="A432" s="70"/>
      <c r="B432" s="71" t="s">
        <v>210</v>
      </c>
      <c r="C432" s="71" t="s">
        <v>102</v>
      </c>
      <c r="D432" s="225" t="s">
        <v>711</v>
      </c>
      <c r="E432" s="226"/>
      <c r="F432" s="226"/>
      <c r="G432" s="226"/>
      <c r="H432" s="72">
        <f>SUM(H433:H442)</f>
        <v>0</v>
      </c>
      <c r="I432" s="72">
        <f>SUM(I433:I442)</f>
        <v>0</v>
      </c>
      <c r="J432" s="72">
        <f>H432+I432</f>
        <v>0</v>
      </c>
      <c r="K432" s="73"/>
      <c r="L432" s="72">
        <f>SUM(L433:L442)</f>
        <v>744.5383655</v>
      </c>
      <c r="M432" s="73"/>
      <c r="P432" s="18">
        <f>IF(Q432="PR",J432,SUM(O433:O442))</f>
        <v>0</v>
      </c>
      <c r="Q432" s="11" t="s">
        <v>764</v>
      </c>
      <c r="R432" s="18">
        <f>IF(Q432="HS",H432,0)</f>
        <v>0</v>
      </c>
      <c r="S432" s="18">
        <f>IF(Q432="HS",I432-P432,0)</f>
        <v>0</v>
      </c>
      <c r="T432" s="18">
        <f>IF(Q432="PS",H432,0)</f>
        <v>0</v>
      </c>
      <c r="U432" s="18">
        <f>IF(Q432="PS",I432-P432,0)</f>
        <v>0</v>
      </c>
      <c r="V432" s="18">
        <f>IF(Q432="MP",H432,0)</f>
        <v>0</v>
      </c>
      <c r="W432" s="18">
        <f>IF(Q432="MP",I432-P432,0)</f>
        <v>0</v>
      </c>
      <c r="X432" s="18">
        <f>IF(Q432="OM",H432,0)</f>
        <v>0</v>
      </c>
      <c r="Y432" s="11" t="s">
        <v>210</v>
      </c>
      <c r="AI432" s="18">
        <f>SUM(Z433:Z442)</f>
        <v>0</v>
      </c>
      <c r="AJ432" s="18">
        <f>SUM(AA433:AA442)</f>
        <v>0</v>
      </c>
      <c r="AK432" s="18">
        <f>SUM(AB433:AB442)</f>
        <v>0</v>
      </c>
    </row>
    <row r="433" spans="1:43" ht="12.75">
      <c r="A433" s="74" t="s">
        <v>197</v>
      </c>
      <c r="B433" s="74" t="s">
        <v>210</v>
      </c>
      <c r="C433" s="74" t="s">
        <v>403</v>
      </c>
      <c r="D433" s="255" t="s">
        <v>712</v>
      </c>
      <c r="E433" s="255" t="s">
        <v>730</v>
      </c>
      <c r="F433" s="256">
        <v>532.65</v>
      </c>
      <c r="G433" s="75"/>
      <c r="H433" s="75">
        <f>F433*AE433</f>
        <v>0</v>
      </c>
      <c r="I433" s="75">
        <f>J433-H433</f>
        <v>0</v>
      </c>
      <c r="J433" s="75">
        <f>F433*G433</f>
        <v>0</v>
      </c>
      <c r="K433" s="75">
        <v>0.26167</v>
      </c>
      <c r="L433" s="75">
        <f>F433*K433</f>
        <v>139.3785255</v>
      </c>
      <c r="M433" s="76" t="s">
        <v>758</v>
      </c>
      <c r="N433" s="12" t="s">
        <v>7</v>
      </c>
      <c r="O433" s="6">
        <f>IF(N433="5",I433,0)</f>
        <v>0</v>
      </c>
      <c r="Z433" s="6">
        <f>IF(AD433=0,J433,0)</f>
        <v>0</v>
      </c>
      <c r="AA433" s="6">
        <f>IF(AD433=15,J433,0)</f>
        <v>0</v>
      </c>
      <c r="AB433" s="6">
        <f>IF(AD433=21,J433,0)</f>
        <v>0</v>
      </c>
      <c r="AD433" s="16">
        <v>21</v>
      </c>
      <c r="AE433" s="16">
        <f>G433*0</f>
        <v>0</v>
      </c>
      <c r="AF433" s="16">
        <f>G433*(1-0)</f>
        <v>0</v>
      </c>
      <c r="AM433" s="16">
        <f>F433*AE433</f>
        <v>0</v>
      </c>
      <c r="AN433" s="16">
        <f>F433*AF433</f>
        <v>0</v>
      </c>
      <c r="AO433" s="17" t="s">
        <v>797</v>
      </c>
      <c r="AP433" s="17" t="s">
        <v>802</v>
      </c>
      <c r="AQ433" s="11" t="s">
        <v>812</v>
      </c>
    </row>
    <row r="434" spans="1:13" ht="12.75">
      <c r="A434" s="77"/>
      <c r="B434" s="77"/>
      <c r="C434" s="77"/>
      <c r="D434" s="257" t="s">
        <v>941</v>
      </c>
      <c r="E434" s="258"/>
      <c r="F434" s="259">
        <v>532.65</v>
      </c>
      <c r="G434" s="77"/>
      <c r="H434" s="77"/>
      <c r="I434" s="77"/>
      <c r="J434" s="77"/>
      <c r="K434" s="77"/>
      <c r="L434" s="77"/>
      <c r="M434" s="77"/>
    </row>
    <row r="435" spans="1:43" ht="12.75">
      <c r="A435" s="74" t="s">
        <v>198</v>
      </c>
      <c r="B435" s="74" t="s">
        <v>210</v>
      </c>
      <c r="C435" s="74" t="s">
        <v>404</v>
      </c>
      <c r="D435" s="74" t="s">
        <v>713</v>
      </c>
      <c r="E435" s="74" t="s">
        <v>730</v>
      </c>
      <c r="F435" s="75">
        <v>20.25</v>
      </c>
      <c r="G435" s="75"/>
      <c r="H435" s="75">
        <f>F435*AE435</f>
        <v>0</v>
      </c>
      <c r="I435" s="75">
        <f>J435-H435</f>
        <v>0</v>
      </c>
      <c r="J435" s="75">
        <f>F435*G435</f>
        <v>0</v>
      </c>
      <c r="K435" s="75">
        <v>0.06656</v>
      </c>
      <c r="L435" s="75">
        <f>F435*K435</f>
        <v>1.34784</v>
      </c>
      <c r="M435" s="76" t="s">
        <v>758</v>
      </c>
      <c r="N435" s="12" t="s">
        <v>7</v>
      </c>
      <c r="O435" s="6">
        <f>IF(N435="5",I435,0)</f>
        <v>0</v>
      </c>
      <c r="Z435" s="6">
        <f>IF(AD435=0,J435,0)</f>
        <v>0</v>
      </c>
      <c r="AA435" s="6">
        <f>IF(AD435=15,J435,0)</f>
        <v>0</v>
      </c>
      <c r="AB435" s="6">
        <f>IF(AD435=21,J435,0)</f>
        <v>0</v>
      </c>
      <c r="AD435" s="16">
        <v>21</v>
      </c>
      <c r="AE435" s="16">
        <f>G435*0</f>
        <v>0</v>
      </c>
      <c r="AF435" s="16">
        <f>G435*(1-0)</f>
        <v>0</v>
      </c>
      <c r="AM435" s="16">
        <f>F435*AE435</f>
        <v>0</v>
      </c>
      <c r="AN435" s="16">
        <f>F435*AF435</f>
        <v>0</v>
      </c>
      <c r="AO435" s="17" t="s">
        <v>797</v>
      </c>
      <c r="AP435" s="17" t="s">
        <v>802</v>
      </c>
      <c r="AQ435" s="11" t="s">
        <v>812</v>
      </c>
    </row>
    <row r="436" spans="1:13" ht="12.75">
      <c r="A436" s="77"/>
      <c r="B436" s="77"/>
      <c r="C436" s="77"/>
      <c r="D436" s="78" t="s">
        <v>714</v>
      </c>
      <c r="E436" s="77"/>
      <c r="F436" s="79">
        <v>20.25</v>
      </c>
      <c r="G436" s="77"/>
      <c r="H436" s="77"/>
      <c r="I436" s="77"/>
      <c r="J436" s="77"/>
      <c r="K436" s="77"/>
      <c r="L436" s="77"/>
      <c r="M436" s="77"/>
    </row>
    <row r="437" spans="1:43" ht="12.75">
      <c r="A437" s="74" t="s">
        <v>199</v>
      </c>
      <c r="B437" s="74" t="s">
        <v>210</v>
      </c>
      <c r="C437" s="74" t="s">
        <v>405</v>
      </c>
      <c r="D437" s="255" t="s">
        <v>715</v>
      </c>
      <c r="E437" s="255" t="s">
        <v>731</v>
      </c>
      <c r="F437" s="256">
        <v>274.46</v>
      </c>
      <c r="G437" s="75"/>
      <c r="H437" s="75">
        <f>F437*AE437</f>
        <v>0</v>
      </c>
      <c r="I437" s="75">
        <f>J437-H437</f>
        <v>0</v>
      </c>
      <c r="J437" s="75">
        <f>F437*G437</f>
        <v>0</v>
      </c>
      <c r="K437" s="75">
        <v>2.2</v>
      </c>
      <c r="L437" s="75">
        <f>F437*K437</f>
        <v>603.812</v>
      </c>
      <c r="M437" s="76" t="s">
        <v>758</v>
      </c>
      <c r="N437" s="12" t="s">
        <v>7</v>
      </c>
      <c r="O437" s="6">
        <f>IF(N437="5",I437,0)</f>
        <v>0</v>
      </c>
      <c r="Z437" s="6">
        <f>IF(AD437=0,J437,0)</f>
        <v>0</v>
      </c>
      <c r="AA437" s="6">
        <f>IF(AD437=15,J437,0)</f>
        <v>0</v>
      </c>
      <c r="AB437" s="6">
        <f>IF(AD437=21,J437,0)</f>
        <v>0</v>
      </c>
      <c r="AD437" s="16">
        <v>21</v>
      </c>
      <c r="AE437" s="16">
        <f>G437*0</f>
        <v>0</v>
      </c>
      <c r="AF437" s="16">
        <f>G437*(1-0)</f>
        <v>0</v>
      </c>
      <c r="AM437" s="16">
        <f>F437*AE437</f>
        <v>0</v>
      </c>
      <c r="AN437" s="16">
        <f>F437*AF437</f>
        <v>0</v>
      </c>
      <c r="AO437" s="17" t="s">
        <v>797</v>
      </c>
      <c r="AP437" s="17" t="s">
        <v>802</v>
      </c>
      <c r="AQ437" s="11" t="s">
        <v>812</v>
      </c>
    </row>
    <row r="438" spans="1:13" ht="12.75">
      <c r="A438" s="77"/>
      <c r="B438" s="77"/>
      <c r="C438" s="77"/>
      <c r="D438" s="257" t="s">
        <v>942</v>
      </c>
      <c r="E438" s="258"/>
      <c r="F438" s="259">
        <v>104.5</v>
      </c>
      <c r="G438" s="77"/>
      <c r="H438" s="77"/>
      <c r="I438" s="77"/>
      <c r="J438" s="77"/>
      <c r="K438" s="77"/>
      <c r="L438" s="77"/>
      <c r="M438" s="77"/>
    </row>
    <row r="439" spans="1:13" ht="12.75">
      <c r="A439" s="77"/>
      <c r="B439" s="77"/>
      <c r="C439" s="77"/>
      <c r="D439" s="78" t="s">
        <v>716</v>
      </c>
      <c r="E439" s="77"/>
      <c r="F439" s="79">
        <v>169.96</v>
      </c>
      <c r="G439" s="77"/>
      <c r="H439" s="77"/>
      <c r="I439" s="77"/>
      <c r="J439" s="77"/>
      <c r="K439" s="77"/>
      <c r="L439" s="77"/>
      <c r="M439" s="77"/>
    </row>
    <row r="440" spans="1:43" ht="12.75">
      <c r="A440" s="74" t="s">
        <v>200</v>
      </c>
      <c r="B440" s="74" t="s">
        <v>210</v>
      </c>
      <c r="C440" s="74" t="s">
        <v>406</v>
      </c>
      <c r="D440" s="74" t="s">
        <v>717</v>
      </c>
      <c r="E440" s="74" t="s">
        <v>733</v>
      </c>
      <c r="F440" s="75">
        <v>2</v>
      </c>
      <c r="G440" s="75"/>
      <c r="H440" s="75">
        <f>F440*AE440</f>
        <v>0</v>
      </c>
      <c r="I440" s="75">
        <f>J440-H440</f>
        <v>0</v>
      </c>
      <c r="J440" s="75">
        <f>F440*G440</f>
        <v>0</v>
      </c>
      <c r="K440" s="75">
        <v>0</v>
      </c>
      <c r="L440" s="75">
        <f>F440*K440</f>
        <v>0</v>
      </c>
      <c r="M440" s="76" t="s">
        <v>758</v>
      </c>
      <c r="N440" s="12" t="s">
        <v>7</v>
      </c>
      <c r="O440" s="6">
        <f>IF(N440="5",I440,0)</f>
        <v>0</v>
      </c>
      <c r="Z440" s="6">
        <f>IF(AD440=0,J440,0)</f>
        <v>0</v>
      </c>
      <c r="AA440" s="6">
        <f>IF(AD440=15,J440,0)</f>
        <v>0</v>
      </c>
      <c r="AB440" s="6">
        <f>IF(AD440=21,J440,0)</f>
        <v>0</v>
      </c>
      <c r="AD440" s="16">
        <v>21</v>
      </c>
      <c r="AE440" s="16">
        <f>G440*0</f>
        <v>0</v>
      </c>
      <c r="AF440" s="16">
        <f>G440*(1-0)</f>
        <v>0</v>
      </c>
      <c r="AM440" s="16">
        <f>F440*AE440</f>
        <v>0</v>
      </c>
      <c r="AN440" s="16">
        <f>F440*AF440</f>
        <v>0</v>
      </c>
      <c r="AO440" s="17" t="s">
        <v>797</v>
      </c>
      <c r="AP440" s="17" t="s">
        <v>802</v>
      </c>
      <c r="AQ440" s="11" t="s">
        <v>812</v>
      </c>
    </row>
    <row r="441" spans="1:13" ht="12.75">
      <c r="A441" s="77"/>
      <c r="B441" s="77"/>
      <c r="C441" s="77"/>
      <c r="D441" s="78" t="s">
        <v>8</v>
      </c>
      <c r="E441" s="77"/>
      <c r="F441" s="79">
        <v>2</v>
      </c>
      <c r="G441" s="77"/>
      <c r="H441" s="77"/>
      <c r="I441" s="77"/>
      <c r="J441" s="77"/>
      <c r="K441" s="77"/>
      <c r="L441" s="77"/>
      <c r="M441" s="77"/>
    </row>
    <row r="442" spans="1:43" ht="12.75">
      <c r="A442" s="74" t="s">
        <v>201</v>
      </c>
      <c r="B442" s="74" t="s">
        <v>210</v>
      </c>
      <c r="C442" s="74" t="s">
        <v>407</v>
      </c>
      <c r="D442" s="74" t="s">
        <v>718</v>
      </c>
      <c r="E442" s="74" t="s">
        <v>731</v>
      </c>
      <c r="F442" s="75">
        <v>15.18</v>
      </c>
      <c r="G442" s="75"/>
      <c r="H442" s="75">
        <f>F442*AE442</f>
        <v>0</v>
      </c>
      <c r="I442" s="75">
        <f>J442-H442</f>
        <v>0</v>
      </c>
      <c r="J442" s="75">
        <f>F442*G442</f>
        <v>0</v>
      </c>
      <c r="K442" s="75">
        <v>0</v>
      </c>
      <c r="L442" s="75">
        <f>F442*K442</f>
        <v>0</v>
      </c>
      <c r="M442" s="76" t="s">
        <v>758</v>
      </c>
      <c r="N442" s="12" t="s">
        <v>7</v>
      </c>
      <c r="O442" s="6">
        <f>IF(N442="5",I442,0)</f>
        <v>0</v>
      </c>
      <c r="Z442" s="6">
        <f>IF(AD442=0,J442,0)</f>
        <v>0</v>
      </c>
      <c r="AA442" s="6">
        <f>IF(AD442=15,J442,0)</f>
        <v>0</v>
      </c>
      <c r="AB442" s="6">
        <f>IF(AD442=21,J442,0)</f>
        <v>0</v>
      </c>
      <c r="AD442" s="16">
        <v>21</v>
      </c>
      <c r="AE442" s="16">
        <f>G442*0</f>
        <v>0</v>
      </c>
      <c r="AF442" s="16">
        <f>G442*(1-0)</f>
        <v>0</v>
      </c>
      <c r="AM442" s="16">
        <f>F442*AE442</f>
        <v>0</v>
      </c>
      <c r="AN442" s="16">
        <f>F442*AF442</f>
        <v>0</v>
      </c>
      <c r="AO442" s="17" t="s">
        <v>797</v>
      </c>
      <c r="AP442" s="17" t="s">
        <v>802</v>
      </c>
      <c r="AQ442" s="11" t="s">
        <v>812</v>
      </c>
    </row>
    <row r="443" spans="1:13" ht="12.75">
      <c r="A443" s="77"/>
      <c r="B443" s="77"/>
      <c r="C443" s="77"/>
      <c r="D443" s="78" t="s">
        <v>719</v>
      </c>
      <c r="E443" s="77"/>
      <c r="F443" s="79">
        <v>3.52</v>
      </c>
      <c r="G443" s="77"/>
      <c r="H443" s="77"/>
      <c r="I443" s="77"/>
      <c r="J443" s="77"/>
      <c r="K443" s="77"/>
      <c r="L443" s="77"/>
      <c r="M443" s="77"/>
    </row>
    <row r="444" spans="1:13" ht="12.75">
      <c r="A444" s="77"/>
      <c r="B444" s="77"/>
      <c r="C444" s="77"/>
      <c r="D444" s="78" t="s">
        <v>720</v>
      </c>
      <c r="E444" s="77"/>
      <c r="F444" s="79">
        <v>11.66</v>
      </c>
      <c r="G444" s="77"/>
      <c r="H444" s="77"/>
      <c r="I444" s="77"/>
      <c r="J444" s="77"/>
      <c r="K444" s="77"/>
      <c r="L444" s="77"/>
      <c r="M444" s="77"/>
    </row>
    <row r="445" spans="1:37" ht="12.75">
      <c r="A445" s="70"/>
      <c r="B445" s="71" t="s">
        <v>210</v>
      </c>
      <c r="C445" s="71" t="s">
        <v>104</v>
      </c>
      <c r="D445" s="225" t="s">
        <v>721</v>
      </c>
      <c r="E445" s="226"/>
      <c r="F445" s="226"/>
      <c r="G445" s="226"/>
      <c r="H445" s="72">
        <f>SUM(H446:H449)</f>
        <v>0</v>
      </c>
      <c r="I445" s="72">
        <f>SUM(I446:I449)</f>
        <v>0</v>
      </c>
      <c r="J445" s="72">
        <f>H445+I445</f>
        <v>0</v>
      </c>
      <c r="K445" s="73"/>
      <c r="L445" s="72">
        <f>SUM(L446:L449)</f>
        <v>503.1732233</v>
      </c>
      <c r="M445" s="73"/>
      <c r="P445" s="18">
        <f>IF(Q445="PR",J445,SUM(O446:O449))</f>
        <v>0</v>
      </c>
      <c r="Q445" s="11" t="s">
        <v>764</v>
      </c>
      <c r="R445" s="18">
        <f>IF(Q445="HS",H445,0)</f>
        <v>0</v>
      </c>
      <c r="S445" s="18">
        <f>IF(Q445="HS",I445-P445,0)</f>
        <v>0</v>
      </c>
      <c r="T445" s="18">
        <f>IF(Q445="PS",H445,0)</f>
        <v>0</v>
      </c>
      <c r="U445" s="18">
        <f>IF(Q445="PS",I445-P445,0)</f>
        <v>0</v>
      </c>
      <c r="V445" s="18">
        <f>IF(Q445="MP",H445,0)</f>
        <v>0</v>
      </c>
      <c r="W445" s="18">
        <f>IF(Q445="MP",I445-P445,0)</f>
        <v>0</v>
      </c>
      <c r="X445" s="18">
        <f>IF(Q445="OM",H445,0)</f>
        <v>0</v>
      </c>
      <c r="Y445" s="11" t="s">
        <v>210</v>
      </c>
      <c r="AI445" s="18">
        <f>SUM(Z446:Z449)</f>
        <v>0</v>
      </c>
      <c r="AJ445" s="18">
        <f>SUM(AA446:AA449)</f>
        <v>0</v>
      </c>
      <c r="AK445" s="18">
        <f>SUM(AB446:AB449)</f>
        <v>0</v>
      </c>
    </row>
    <row r="446" spans="1:43" ht="12.75">
      <c r="A446" s="74" t="s">
        <v>202</v>
      </c>
      <c r="B446" s="74" t="s">
        <v>210</v>
      </c>
      <c r="C446" s="74" t="s">
        <v>408</v>
      </c>
      <c r="D446" s="74" t="s">
        <v>722</v>
      </c>
      <c r="E446" s="74" t="s">
        <v>731</v>
      </c>
      <c r="F446" s="75">
        <v>3352.03</v>
      </c>
      <c r="G446" s="75"/>
      <c r="H446" s="75">
        <f>F446*AE446</f>
        <v>0</v>
      </c>
      <c r="I446" s="75">
        <f>J446-H446</f>
        <v>0</v>
      </c>
      <c r="J446" s="75">
        <f>F446*G446</f>
        <v>0</v>
      </c>
      <c r="K446" s="75">
        <v>0.15011</v>
      </c>
      <c r="L446" s="75">
        <f>F446*K446</f>
        <v>503.1732233</v>
      </c>
      <c r="M446" s="76" t="s">
        <v>758</v>
      </c>
      <c r="N446" s="12" t="s">
        <v>7</v>
      </c>
      <c r="O446" s="6">
        <f>IF(N446="5",I446,0)</f>
        <v>0</v>
      </c>
      <c r="Z446" s="6">
        <f>IF(AD446=0,J446,0)</f>
        <v>0</v>
      </c>
      <c r="AA446" s="6">
        <f>IF(AD446=15,J446,0)</f>
        <v>0</v>
      </c>
      <c r="AB446" s="6">
        <f>IF(AD446=21,J446,0)</f>
        <v>0</v>
      </c>
      <c r="AD446" s="16">
        <v>21</v>
      </c>
      <c r="AE446" s="16">
        <f>G446*0</f>
        <v>0</v>
      </c>
      <c r="AF446" s="16">
        <f>G446*(1-0)</f>
        <v>0</v>
      </c>
      <c r="AM446" s="16">
        <f>F446*AE446</f>
        <v>0</v>
      </c>
      <c r="AN446" s="16">
        <f>F446*AF446</f>
        <v>0</v>
      </c>
      <c r="AO446" s="17" t="s">
        <v>798</v>
      </c>
      <c r="AP446" s="17" t="s">
        <v>802</v>
      </c>
      <c r="AQ446" s="11" t="s">
        <v>812</v>
      </c>
    </row>
    <row r="447" spans="1:13" ht="12.75">
      <c r="A447" s="77"/>
      <c r="B447" s="77"/>
      <c r="C447" s="77"/>
      <c r="D447" s="78" t="s">
        <v>723</v>
      </c>
      <c r="E447" s="77"/>
      <c r="F447" s="79">
        <v>3352.03</v>
      </c>
      <c r="G447" s="77"/>
      <c r="H447" s="77"/>
      <c r="I447" s="77"/>
      <c r="J447" s="77"/>
      <c r="K447" s="77"/>
      <c r="L447" s="77"/>
      <c r="M447" s="77"/>
    </row>
    <row r="448" spans="1:13" ht="12.75">
      <c r="A448" s="77"/>
      <c r="B448" s="77"/>
      <c r="C448" s="87" t="s">
        <v>204</v>
      </c>
      <c r="D448" s="227" t="s">
        <v>724</v>
      </c>
      <c r="E448" s="228"/>
      <c r="F448" s="228"/>
      <c r="G448" s="228"/>
      <c r="H448" s="228"/>
      <c r="I448" s="228"/>
      <c r="J448" s="228"/>
      <c r="K448" s="228"/>
      <c r="L448" s="228"/>
      <c r="M448" s="228"/>
    </row>
    <row r="449" spans="1:43" ht="12.75">
      <c r="A449" s="88" t="s">
        <v>203</v>
      </c>
      <c r="B449" s="88" t="s">
        <v>210</v>
      </c>
      <c r="C449" s="88" t="s">
        <v>409</v>
      </c>
      <c r="D449" s="260" t="s">
        <v>725</v>
      </c>
      <c r="E449" s="260" t="s">
        <v>732</v>
      </c>
      <c r="F449" s="261">
        <v>1268.77747</v>
      </c>
      <c r="G449" s="89"/>
      <c r="H449" s="89">
        <f>F449*AE449</f>
        <v>0</v>
      </c>
      <c r="I449" s="89">
        <f>J449-H449</f>
        <v>0</v>
      </c>
      <c r="J449" s="89">
        <f>F449*G449</f>
        <v>0</v>
      </c>
      <c r="K449" s="89">
        <v>0</v>
      </c>
      <c r="L449" s="89">
        <f>F449*K449</f>
        <v>0</v>
      </c>
      <c r="M449" s="90" t="s">
        <v>758</v>
      </c>
      <c r="N449" s="12" t="s">
        <v>11</v>
      </c>
      <c r="O449" s="6">
        <f>IF(N449="5",I449,0)</f>
        <v>0</v>
      </c>
      <c r="Z449" s="6">
        <f>IF(AD449=0,J449,0)</f>
        <v>0</v>
      </c>
      <c r="AA449" s="6">
        <f>IF(AD449=15,J449,0)</f>
        <v>0</v>
      </c>
      <c r="AB449" s="6">
        <f>IF(AD449=21,J449,0)</f>
        <v>0</v>
      </c>
      <c r="AD449" s="16">
        <v>21</v>
      </c>
      <c r="AE449" s="16">
        <f>G449*0</f>
        <v>0</v>
      </c>
      <c r="AF449" s="16">
        <f>G449*(1-0)</f>
        <v>0</v>
      </c>
      <c r="AM449" s="16">
        <f>F449*AE449</f>
        <v>0</v>
      </c>
      <c r="AN449" s="16">
        <f>F449*AF449</f>
        <v>0</v>
      </c>
      <c r="AO449" s="17" t="s">
        <v>798</v>
      </c>
      <c r="AP449" s="17" t="s">
        <v>802</v>
      </c>
      <c r="AQ449" s="11" t="s">
        <v>812</v>
      </c>
    </row>
    <row r="450" spans="1:28" ht="12.75">
      <c r="A450" s="2"/>
      <c r="B450" s="2"/>
      <c r="C450" s="2"/>
      <c r="D450" s="2"/>
      <c r="E450" s="2"/>
      <c r="F450" s="2"/>
      <c r="G450" s="2"/>
      <c r="H450" s="206" t="s">
        <v>744</v>
      </c>
      <c r="I450" s="183"/>
      <c r="J450" s="19">
        <f>J13+J30+J33+J36+J39+J42+J47+J55+J62+J67+J80+J89+J94+J115+J127+J156+J174+J341+J344+J348+J359+J362+J367+J372+J379+J386+J395+J406+J409+J416+J425+J429+J432+J445</f>
        <v>0</v>
      </c>
      <c r="K450" s="2"/>
      <c r="L450" s="2"/>
      <c r="M450" s="2"/>
      <c r="Z450" s="20">
        <f>SUM(Z13:Z449)</f>
        <v>0</v>
      </c>
      <c r="AA450" s="20">
        <f>SUM(AA13:AA449)</f>
        <v>0</v>
      </c>
      <c r="AB450" s="20">
        <f>SUM(AB13:AB449)</f>
        <v>0</v>
      </c>
    </row>
    <row r="451" ht="11.25" customHeight="1">
      <c r="A451" s="3" t="s">
        <v>204</v>
      </c>
    </row>
    <row r="452" spans="1:13" ht="409.5" customHeight="1" hidden="1">
      <c r="A452" s="147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</row>
  </sheetData>
  <mergeCells count="71">
    <mergeCell ref="G4:H5"/>
    <mergeCell ref="A1:M1"/>
    <mergeCell ref="A2:C3"/>
    <mergeCell ref="D2:D3"/>
    <mergeCell ref="E2:F3"/>
    <mergeCell ref="G2:H3"/>
    <mergeCell ref="I2:I3"/>
    <mergeCell ref="J2:M3"/>
    <mergeCell ref="I4:I5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30:G30"/>
    <mergeCell ref="D33:G33"/>
    <mergeCell ref="D36:G36"/>
    <mergeCell ref="D39:G39"/>
    <mergeCell ref="D42:G42"/>
    <mergeCell ref="D46:G46"/>
    <mergeCell ref="D47:G47"/>
    <mergeCell ref="D55:G55"/>
    <mergeCell ref="D62:G62"/>
    <mergeCell ref="D67:G67"/>
    <mergeCell ref="D80:G80"/>
    <mergeCell ref="D89:G89"/>
    <mergeCell ref="D94:G94"/>
    <mergeCell ref="D115:G115"/>
    <mergeCell ref="D127:G127"/>
    <mergeCell ref="D156:G156"/>
    <mergeCell ref="D174:G174"/>
    <mergeCell ref="D341:G341"/>
    <mergeCell ref="D344:G344"/>
    <mergeCell ref="D347:G347"/>
    <mergeCell ref="D348:G348"/>
    <mergeCell ref="D359:G359"/>
    <mergeCell ref="D362:G362"/>
    <mergeCell ref="D366:G366"/>
    <mergeCell ref="D367:G367"/>
    <mergeCell ref="D372:G372"/>
    <mergeCell ref="D379:G379"/>
    <mergeCell ref="D386:G386"/>
    <mergeCell ref="D394:G394"/>
    <mergeCell ref="D395:G395"/>
    <mergeCell ref="D406:G406"/>
    <mergeCell ref="D409:G409"/>
    <mergeCell ref="D416:G416"/>
    <mergeCell ref="D422:M422"/>
    <mergeCell ref="D424:M424"/>
    <mergeCell ref="D425:G425"/>
    <mergeCell ref="D429:G429"/>
    <mergeCell ref="D432:G432"/>
    <mergeCell ref="D445:G445"/>
    <mergeCell ref="D448:M448"/>
    <mergeCell ref="H450:I450"/>
    <mergeCell ref="A452:M452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F21" sqref="F21"/>
    </sheetView>
  </sheetViews>
  <sheetFormatPr defaultColWidth="8.00390625" defaultRowHeight="12" customHeight="1"/>
  <cols>
    <col min="1" max="1" width="3.28125" style="93" customWidth="1"/>
    <col min="2" max="2" width="10.28125" style="93" customWidth="1"/>
    <col min="3" max="3" width="42.7109375" style="93" customWidth="1"/>
    <col min="4" max="4" width="4.7109375" style="93" customWidth="1"/>
    <col min="5" max="5" width="9.7109375" style="93" customWidth="1"/>
    <col min="6" max="6" width="9.8515625" style="93" customWidth="1"/>
    <col min="7" max="7" width="11.8515625" style="93" customWidth="1"/>
    <col min="8" max="16384" width="8.00390625" style="115" customWidth="1"/>
  </cols>
  <sheetData>
    <row r="1" spans="1:7" s="93" customFormat="1" ht="17.25" customHeight="1">
      <c r="A1" s="91" t="s">
        <v>869</v>
      </c>
      <c r="B1" s="92"/>
      <c r="C1" s="92"/>
      <c r="D1" s="92"/>
      <c r="E1" s="92"/>
      <c r="F1" s="92"/>
      <c r="G1" s="92"/>
    </row>
    <row r="2" spans="1:7" s="93" customFormat="1" ht="12.75" customHeight="1">
      <c r="A2" s="94" t="s">
        <v>870</v>
      </c>
      <c r="B2" s="92"/>
      <c r="C2" s="92"/>
      <c r="D2" s="92"/>
      <c r="E2" s="92"/>
      <c r="F2" s="92"/>
      <c r="G2" s="92"/>
    </row>
    <row r="3" spans="1:7" s="93" customFormat="1" ht="12.75" customHeight="1">
      <c r="A3" s="94" t="s">
        <v>871</v>
      </c>
      <c r="B3" s="92"/>
      <c r="C3" s="92"/>
      <c r="D3" s="92"/>
      <c r="E3" s="95"/>
      <c r="F3" s="92"/>
      <c r="G3" s="92"/>
    </row>
    <row r="4" spans="1:7" s="93" customFormat="1" ht="12.75" customHeight="1">
      <c r="A4" s="94"/>
      <c r="B4" s="92"/>
      <c r="C4" s="92"/>
      <c r="D4" s="92"/>
      <c r="E4" s="95"/>
      <c r="F4" s="92"/>
      <c r="G4" s="92"/>
    </row>
    <row r="5" spans="1:7" s="93" customFormat="1" ht="12.75" customHeight="1">
      <c r="A5" s="95" t="s">
        <v>872</v>
      </c>
      <c r="B5" s="92"/>
      <c r="C5" s="92"/>
      <c r="D5" s="92"/>
      <c r="E5" s="95" t="s">
        <v>873</v>
      </c>
      <c r="F5" s="92"/>
      <c r="G5" s="92"/>
    </row>
    <row r="6" spans="1:7" s="93" customFormat="1" ht="12.75" customHeight="1">
      <c r="A6" s="95" t="s">
        <v>874</v>
      </c>
      <c r="B6" s="92"/>
      <c r="C6" s="92"/>
      <c r="D6" s="92"/>
      <c r="E6" s="95" t="s">
        <v>875</v>
      </c>
      <c r="F6" s="92"/>
      <c r="G6" s="92"/>
    </row>
    <row r="7" spans="1:7" s="93" customFormat="1" ht="6" customHeight="1" thickBot="1">
      <c r="A7" s="92"/>
      <c r="B7" s="92"/>
      <c r="C7" s="92"/>
      <c r="D7" s="92"/>
      <c r="E7" s="92"/>
      <c r="F7" s="92"/>
      <c r="G7" s="92"/>
    </row>
    <row r="8" spans="1:7" s="93" customFormat="1" ht="28.5" customHeight="1" thickBot="1">
      <c r="A8" s="96" t="s">
        <v>876</v>
      </c>
      <c r="B8" s="96" t="s">
        <v>877</v>
      </c>
      <c r="C8" s="96" t="s">
        <v>878</v>
      </c>
      <c r="D8" s="96" t="s">
        <v>879</v>
      </c>
      <c r="E8" s="96" t="s">
        <v>880</v>
      </c>
      <c r="F8" s="96" t="s">
        <v>881</v>
      </c>
      <c r="G8" s="96" t="s">
        <v>882</v>
      </c>
    </row>
    <row r="9" spans="1:7" s="93" customFormat="1" ht="12.75" customHeight="1" thickBot="1">
      <c r="A9" s="96" t="s">
        <v>7</v>
      </c>
      <c r="B9" s="96" t="s">
        <v>8</v>
      </c>
      <c r="C9" s="96" t="s">
        <v>9</v>
      </c>
      <c r="D9" s="96" t="s">
        <v>10</v>
      </c>
      <c r="E9" s="96" t="s">
        <v>11</v>
      </c>
      <c r="F9" s="96" t="s">
        <v>12</v>
      </c>
      <c r="G9" s="96" t="s">
        <v>13</v>
      </c>
    </row>
    <row r="10" spans="1:7" s="93" customFormat="1" ht="9.75" customHeight="1">
      <c r="A10" s="97"/>
      <c r="B10" s="97"/>
      <c r="C10" s="97"/>
      <c r="D10" s="97"/>
      <c r="E10" s="97"/>
      <c r="F10" s="97"/>
      <c r="G10" s="97"/>
    </row>
    <row r="11" spans="1:7" s="93" customFormat="1" ht="21" customHeight="1" thickBot="1">
      <c r="A11" s="98"/>
      <c r="B11" s="99" t="s">
        <v>883</v>
      </c>
      <c r="C11" s="99" t="s">
        <v>845</v>
      </c>
      <c r="D11" s="99"/>
      <c r="E11" s="100"/>
      <c r="F11" s="101"/>
      <c r="G11" s="101">
        <v>413000</v>
      </c>
    </row>
    <row r="12" spans="1:7" s="93" customFormat="1" ht="24" customHeight="1" thickBot="1">
      <c r="A12" s="102">
        <v>1</v>
      </c>
      <c r="B12" s="103" t="s">
        <v>884</v>
      </c>
      <c r="C12" s="103" t="s">
        <v>885</v>
      </c>
      <c r="D12" s="103" t="s">
        <v>886</v>
      </c>
      <c r="E12" s="104">
        <v>1</v>
      </c>
      <c r="F12" s="105"/>
      <c r="G12" s="105">
        <f>F12*E12</f>
        <v>0</v>
      </c>
    </row>
    <row r="13" spans="1:7" s="93" customFormat="1" ht="13.5" customHeight="1" thickBot="1">
      <c r="A13" s="106">
        <v>2</v>
      </c>
      <c r="B13" s="107" t="s">
        <v>887</v>
      </c>
      <c r="C13" s="107" t="s">
        <v>888</v>
      </c>
      <c r="D13" s="107" t="s">
        <v>886</v>
      </c>
      <c r="E13" s="108">
        <v>1</v>
      </c>
      <c r="F13" s="109"/>
      <c r="G13" s="105">
        <f>F13*E13</f>
        <v>0</v>
      </c>
    </row>
    <row r="14" spans="1:7" s="93" customFormat="1" ht="13.5" customHeight="1">
      <c r="A14" s="106">
        <v>3</v>
      </c>
      <c r="B14" s="107" t="s">
        <v>889</v>
      </c>
      <c r="C14" s="107" t="s">
        <v>890</v>
      </c>
      <c r="D14" s="107" t="s">
        <v>886</v>
      </c>
      <c r="E14" s="108">
        <v>1</v>
      </c>
      <c r="F14" s="109"/>
      <c r="G14" s="105">
        <f>F14*E14</f>
        <v>0</v>
      </c>
    </row>
    <row r="15" spans="1:7" s="93" customFormat="1" ht="21" customHeight="1">
      <c r="A15" s="110"/>
      <c r="B15" s="111"/>
      <c r="C15" s="111" t="s">
        <v>754</v>
      </c>
      <c r="D15" s="111"/>
      <c r="E15" s="112"/>
      <c r="F15" s="113"/>
      <c r="G15" s="114">
        <f>SUM(G12:G14)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7">
      <selection activeCell="F13" sqref="F13:F33"/>
    </sheetView>
  </sheetViews>
  <sheetFormatPr defaultColWidth="8.00390625" defaultRowHeight="12" customHeight="1"/>
  <cols>
    <col min="1" max="1" width="3.28125" style="143" customWidth="1"/>
    <col min="2" max="2" width="10.28125" style="143" customWidth="1"/>
    <col min="3" max="3" width="42.7109375" style="143" customWidth="1"/>
    <col min="4" max="4" width="4.7109375" style="143" customWidth="1"/>
    <col min="5" max="5" width="9.7109375" style="143" customWidth="1"/>
    <col min="6" max="6" width="9.8515625" style="143" customWidth="1"/>
    <col min="7" max="7" width="11.8515625" style="143" customWidth="1"/>
    <col min="8" max="8" width="11.140625" style="143" customWidth="1"/>
    <col min="9" max="16384" width="8.00390625" style="143" customWidth="1"/>
  </cols>
  <sheetData>
    <row r="1" spans="1:8" s="118" customFormat="1" ht="17.25" customHeight="1">
      <c r="A1" s="116" t="s">
        <v>869</v>
      </c>
      <c r="B1" s="117"/>
      <c r="C1" s="117"/>
      <c r="D1" s="117"/>
      <c r="E1" s="117"/>
      <c r="F1" s="117"/>
      <c r="G1" s="117"/>
      <c r="H1" s="117"/>
    </row>
    <row r="2" spans="1:8" s="118" customFormat="1" ht="12" customHeight="1">
      <c r="A2" s="119" t="s">
        <v>891</v>
      </c>
      <c r="B2" s="117"/>
      <c r="C2" s="117"/>
      <c r="D2" s="117"/>
      <c r="E2" s="117"/>
      <c r="F2" s="117"/>
      <c r="G2" s="117"/>
      <c r="H2" s="117"/>
    </row>
    <row r="3" spans="1:8" s="118" customFormat="1" ht="12" customHeight="1">
      <c r="A3" s="120" t="s">
        <v>892</v>
      </c>
      <c r="B3" s="117"/>
      <c r="C3" s="117"/>
      <c r="D3" s="117"/>
      <c r="E3" s="121"/>
      <c r="F3" s="117"/>
      <c r="G3" s="117"/>
      <c r="H3" s="117"/>
    </row>
    <row r="4" spans="1:8" s="118" customFormat="1" ht="12" customHeight="1">
      <c r="A4" s="120"/>
      <c r="B4" s="117"/>
      <c r="C4" s="117"/>
      <c r="D4" s="117"/>
      <c r="E4" s="121"/>
      <c r="F4" s="117"/>
      <c r="G4" s="117"/>
      <c r="H4" s="117"/>
    </row>
    <row r="5" spans="1:8" s="118" customFormat="1" ht="12" customHeight="1">
      <c r="A5" s="121" t="s">
        <v>872</v>
      </c>
      <c r="B5" s="117"/>
      <c r="C5" s="117"/>
      <c r="D5" s="117"/>
      <c r="E5" s="121" t="s">
        <v>873</v>
      </c>
      <c r="F5" s="117"/>
      <c r="G5" s="117"/>
      <c r="H5" s="117"/>
    </row>
    <row r="6" spans="1:8" s="118" customFormat="1" ht="12" customHeight="1">
      <c r="A6" s="121" t="s">
        <v>874</v>
      </c>
      <c r="B6" s="117"/>
      <c r="C6" s="117"/>
      <c r="D6" s="117"/>
      <c r="E6" s="121" t="s">
        <v>875</v>
      </c>
      <c r="F6" s="117"/>
      <c r="G6" s="117"/>
      <c r="H6" s="117"/>
    </row>
    <row r="7" spans="1:8" s="118" customFormat="1" ht="6" customHeight="1">
      <c r="A7" s="117"/>
      <c r="B7" s="117"/>
      <c r="C7" s="117"/>
      <c r="D7" s="117"/>
      <c r="E7" s="117"/>
      <c r="F7" s="117"/>
      <c r="G7" s="117"/>
      <c r="H7" s="117"/>
    </row>
    <row r="8" spans="1:8" s="118" customFormat="1" ht="27" customHeight="1">
      <c r="A8" s="122" t="s">
        <v>876</v>
      </c>
      <c r="B8" s="122" t="s">
        <v>877</v>
      </c>
      <c r="C8" s="122" t="s">
        <v>878</v>
      </c>
      <c r="D8" s="122" t="s">
        <v>879</v>
      </c>
      <c r="E8" s="122" t="s">
        <v>880</v>
      </c>
      <c r="F8" s="122" t="s">
        <v>881</v>
      </c>
      <c r="G8" s="122" t="s">
        <v>882</v>
      </c>
      <c r="H8" s="122" t="s">
        <v>893</v>
      </c>
    </row>
    <row r="9" spans="1:8" s="118" customFormat="1" ht="12" customHeight="1">
      <c r="A9" s="122" t="s">
        <v>7</v>
      </c>
      <c r="B9" s="122" t="s">
        <v>8</v>
      </c>
      <c r="C9" s="122" t="s">
        <v>9</v>
      </c>
      <c r="D9" s="122" t="s">
        <v>10</v>
      </c>
      <c r="E9" s="122" t="s">
        <v>11</v>
      </c>
      <c r="F9" s="122" t="s">
        <v>12</v>
      </c>
      <c r="G9" s="122" t="s">
        <v>13</v>
      </c>
      <c r="H9" s="122" t="s">
        <v>14</v>
      </c>
    </row>
    <row r="10" spans="1:8" s="118" customFormat="1" ht="9" customHeight="1">
      <c r="A10" s="123"/>
      <c r="B10" s="123"/>
      <c r="C10" s="123"/>
      <c r="D10" s="123"/>
      <c r="E10" s="123"/>
      <c r="F10" s="123"/>
      <c r="G10" s="123"/>
      <c r="H10" s="123"/>
    </row>
    <row r="11" spans="1:8" s="118" customFormat="1" ht="21" customHeight="1">
      <c r="A11" s="124"/>
      <c r="B11" s="125" t="s">
        <v>894</v>
      </c>
      <c r="C11" s="125" t="s">
        <v>895</v>
      </c>
      <c r="D11" s="125"/>
      <c r="E11" s="126"/>
      <c r="F11" s="127"/>
      <c r="G11" s="127">
        <f>G12</f>
        <v>0</v>
      </c>
      <c r="H11" s="126">
        <v>0</v>
      </c>
    </row>
    <row r="12" spans="1:8" s="118" customFormat="1" ht="21" customHeight="1">
      <c r="A12" s="124"/>
      <c r="B12" s="125" t="s">
        <v>896</v>
      </c>
      <c r="C12" s="125" t="s">
        <v>897</v>
      </c>
      <c r="D12" s="125"/>
      <c r="E12" s="126"/>
      <c r="F12" s="127"/>
      <c r="G12" s="127">
        <f>G34</f>
        <v>0</v>
      </c>
      <c r="H12" s="126">
        <v>0</v>
      </c>
    </row>
    <row r="13" spans="1:8" s="118" customFormat="1" ht="24" customHeight="1" thickBot="1">
      <c r="A13" s="128">
        <v>0</v>
      </c>
      <c r="B13" s="129" t="s">
        <v>898</v>
      </c>
      <c r="C13" s="129" t="s">
        <v>899</v>
      </c>
      <c r="D13" s="129" t="s">
        <v>734</v>
      </c>
      <c r="E13" s="130">
        <v>59940</v>
      </c>
      <c r="F13" s="131"/>
      <c r="G13" s="131">
        <f>F13*E13</f>
        <v>0</v>
      </c>
      <c r="H13" s="132">
        <v>0</v>
      </c>
    </row>
    <row r="14" spans="1:8" s="118" customFormat="1" ht="12" customHeight="1" thickBot="1">
      <c r="A14" s="133">
        <v>0</v>
      </c>
      <c r="B14" s="134" t="s">
        <v>900</v>
      </c>
      <c r="C14" s="134" t="s">
        <v>901</v>
      </c>
      <c r="D14" s="134" t="s">
        <v>734</v>
      </c>
      <c r="E14" s="135">
        <v>59940</v>
      </c>
      <c r="F14" s="136"/>
      <c r="G14" s="131">
        <f aca="true" t="shared" si="0" ref="G14:G33">F14*E14</f>
        <v>0</v>
      </c>
      <c r="H14" s="137">
        <v>0</v>
      </c>
    </row>
    <row r="15" spans="1:8" s="118" customFormat="1" ht="24" customHeight="1" thickBot="1">
      <c r="A15" s="133">
        <v>0</v>
      </c>
      <c r="B15" s="134" t="s">
        <v>902</v>
      </c>
      <c r="C15" s="134" t="s">
        <v>903</v>
      </c>
      <c r="D15" s="134" t="s">
        <v>734</v>
      </c>
      <c r="E15" s="135">
        <v>8115</v>
      </c>
      <c r="F15" s="136"/>
      <c r="G15" s="131">
        <f t="shared" si="0"/>
        <v>0</v>
      </c>
      <c r="H15" s="137">
        <v>0</v>
      </c>
    </row>
    <row r="16" spans="1:8" s="118" customFormat="1" ht="24" customHeight="1" thickBot="1">
      <c r="A16" s="133">
        <v>0</v>
      </c>
      <c r="B16" s="134" t="s">
        <v>904</v>
      </c>
      <c r="C16" s="134" t="s">
        <v>905</v>
      </c>
      <c r="D16" s="134" t="s">
        <v>730</v>
      </c>
      <c r="E16" s="135">
        <v>989</v>
      </c>
      <c r="F16" s="136"/>
      <c r="G16" s="131">
        <f t="shared" si="0"/>
        <v>0</v>
      </c>
      <c r="H16" s="137">
        <v>0</v>
      </c>
    </row>
    <row r="17" spans="1:8" s="118" customFormat="1" ht="12" customHeight="1" thickBot="1">
      <c r="A17" s="133">
        <v>0</v>
      </c>
      <c r="B17" s="134" t="s">
        <v>906</v>
      </c>
      <c r="C17" s="134" t="s">
        <v>907</v>
      </c>
      <c r="D17" s="134" t="s">
        <v>729</v>
      </c>
      <c r="E17" s="135">
        <v>685</v>
      </c>
      <c r="F17" s="136"/>
      <c r="G17" s="131">
        <f t="shared" si="0"/>
        <v>0</v>
      </c>
      <c r="H17" s="137">
        <v>0</v>
      </c>
    </row>
    <row r="18" spans="1:8" s="118" customFormat="1" ht="24" customHeight="1" thickBot="1">
      <c r="A18" s="133">
        <v>0</v>
      </c>
      <c r="B18" s="134" t="s">
        <v>908</v>
      </c>
      <c r="C18" s="134" t="s">
        <v>909</v>
      </c>
      <c r="D18" s="134" t="s">
        <v>730</v>
      </c>
      <c r="E18" s="135">
        <v>983</v>
      </c>
      <c r="F18" s="136"/>
      <c r="G18" s="131">
        <f t="shared" si="0"/>
        <v>0</v>
      </c>
      <c r="H18" s="137">
        <v>0</v>
      </c>
    </row>
    <row r="19" spans="1:8" s="118" customFormat="1" ht="12" customHeight="1" thickBot="1">
      <c r="A19" s="133">
        <v>0</v>
      </c>
      <c r="B19" s="134" t="s">
        <v>908</v>
      </c>
      <c r="C19" s="134" t="s">
        <v>910</v>
      </c>
      <c r="D19" s="134" t="s">
        <v>729</v>
      </c>
      <c r="E19" s="135">
        <v>779</v>
      </c>
      <c r="F19" s="136"/>
      <c r="G19" s="131">
        <f t="shared" si="0"/>
        <v>0</v>
      </c>
      <c r="H19" s="137">
        <v>0</v>
      </c>
    </row>
    <row r="20" spans="1:8" s="118" customFormat="1" ht="12" customHeight="1" thickBot="1">
      <c r="A20" s="133">
        <v>0</v>
      </c>
      <c r="B20" s="134" t="s">
        <v>911</v>
      </c>
      <c r="C20" s="134" t="s">
        <v>912</v>
      </c>
      <c r="D20" s="134" t="s">
        <v>730</v>
      </c>
      <c r="E20" s="135">
        <v>214</v>
      </c>
      <c r="F20" s="136"/>
      <c r="G20" s="131">
        <f t="shared" si="0"/>
        <v>0</v>
      </c>
      <c r="H20" s="137">
        <v>0</v>
      </c>
    </row>
    <row r="21" spans="1:8" s="118" customFormat="1" ht="12" customHeight="1" thickBot="1">
      <c r="A21" s="133">
        <v>0</v>
      </c>
      <c r="B21" s="134" t="s">
        <v>913</v>
      </c>
      <c r="C21" s="134" t="s">
        <v>914</v>
      </c>
      <c r="D21" s="134" t="s">
        <v>886</v>
      </c>
      <c r="E21" s="135">
        <v>1</v>
      </c>
      <c r="F21" s="136"/>
      <c r="G21" s="131">
        <f t="shared" si="0"/>
        <v>0</v>
      </c>
      <c r="H21" s="137">
        <v>0</v>
      </c>
    </row>
    <row r="22" spans="1:8" s="118" customFormat="1" ht="24" customHeight="1" thickBot="1">
      <c r="A22" s="133">
        <v>0</v>
      </c>
      <c r="B22" s="134" t="s">
        <v>915</v>
      </c>
      <c r="C22" s="134" t="s">
        <v>916</v>
      </c>
      <c r="D22" s="134" t="s">
        <v>886</v>
      </c>
      <c r="E22" s="135">
        <v>1</v>
      </c>
      <c r="F22" s="136"/>
      <c r="G22" s="131">
        <f t="shared" si="0"/>
        <v>0</v>
      </c>
      <c r="H22" s="137">
        <v>0</v>
      </c>
    </row>
    <row r="23" spans="1:8" s="118" customFormat="1" ht="12" customHeight="1" thickBot="1">
      <c r="A23" s="133">
        <v>0</v>
      </c>
      <c r="B23" s="134" t="s">
        <v>917</v>
      </c>
      <c r="C23" s="134" t="s">
        <v>918</v>
      </c>
      <c r="D23" s="134" t="s">
        <v>729</v>
      </c>
      <c r="E23" s="135">
        <v>120</v>
      </c>
      <c r="F23" s="136"/>
      <c r="G23" s="131">
        <f t="shared" si="0"/>
        <v>0</v>
      </c>
      <c r="H23" s="137">
        <v>0</v>
      </c>
    </row>
    <row r="24" spans="1:8" s="118" customFormat="1" ht="12" customHeight="1" thickBot="1">
      <c r="A24" s="133">
        <v>0</v>
      </c>
      <c r="B24" s="134" t="s">
        <v>919</v>
      </c>
      <c r="C24" s="134" t="s">
        <v>920</v>
      </c>
      <c r="D24" s="134" t="s">
        <v>921</v>
      </c>
      <c r="E24" s="135">
        <v>1</v>
      </c>
      <c r="F24" s="136"/>
      <c r="G24" s="131">
        <f t="shared" si="0"/>
        <v>0</v>
      </c>
      <c r="H24" s="137">
        <v>0</v>
      </c>
    </row>
    <row r="25" spans="1:8" s="118" customFormat="1" ht="33" customHeight="1" thickBot="1">
      <c r="A25" s="133">
        <v>0</v>
      </c>
      <c r="B25" s="134" t="s">
        <v>922</v>
      </c>
      <c r="C25" s="134" t="s">
        <v>923</v>
      </c>
      <c r="D25" s="134" t="s">
        <v>921</v>
      </c>
      <c r="E25" s="135">
        <v>2</v>
      </c>
      <c r="F25" s="136"/>
      <c r="G25" s="131">
        <f t="shared" si="0"/>
        <v>0</v>
      </c>
      <c r="H25" s="137">
        <v>0</v>
      </c>
    </row>
    <row r="26" spans="1:8" s="118" customFormat="1" ht="24" customHeight="1" thickBot="1">
      <c r="A26" s="133">
        <v>0</v>
      </c>
      <c r="B26" s="134" t="s">
        <v>924</v>
      </c>
      <c r="C26" s="134" t="s">
        <v>925</v>
      </c>
      <c r="D26" s="134" t="s">
        <v>921</v>
      </c>
      <c r="E26" s="135">
        <v>2</v>
      </c>
      <c r="F26" s="136"/>
      <c r="G26" s="131">
        <f t="shared" si="0"/>
        <v>0</v>
      </c>
      <c r="H26" s="137">
        <v>0</v>
      </c>
    </row>
    <row r="27" spans="1:8" s="118" customFormat="1" ht="24" customHeight="1" thickBot="1">
      <c r="A27" s="133">
        <v>0</v>
      </c>
      <c r="B27" s="134" t="s">
        <v>926</v>
      </c>
      <c r="C27" s="134" t="s">
        <v>927</v>
      </c>
      <c r="D27" s="134" t="s">
        <v>730</v>
      </c>
      <c r="E27" s="135">
        <v>77</v>
      </c>
      <c r="F27" s="136"/>
      <c r="G27" s="131">
        <f t="shared" si="0"/>
        <v>0</v>
      </c>
      <c r="H27" s="137">
        <v>0</v>
      </c>
    </row>
    <row r="28" spans="1:8" s="118" customFormat="1" ht="24" customHeight="1" thickBot="1">
      <c r="A28" s="133">
        <v>0</v>
      </c>
      <c r="B28" s="134" t="s">
        <v>928</v>
      </c>
      <c r="C28" s="134" t="s">
        <v>929</v>
      </c>
      <c r="D28" s="134" t="s">
        <v>921</v>
      </c>
      <c r="E28" s="135">
        <v>2</v>
      </c>
      <c r="F28" s="136"/>
      <c r="G28" s="131">
        <f t="shared" si="0"/>
        <v>0</v>
      </c>
      <c r="H28" s="137">
        <v>0</v>
      </c>
    </row>
    <row r="29" spans="1:8" s="118" customFormat="1" ht="45" customHeight="1" thickBot="1">
      <c r="A29" s="133">
        <v>0</v>
      </c>
      <c r="B29" s="134" t="s">
        <v>930</v>
      </c>
      <c r="C29" s="134" t="s">
        <v>931</v>
      </c>
      <c r="D29" s="134" t="s">
        <v>921</v>
      </c>
      <c r="E29" s="135">
        <v>1</v>
      </c>
      <c r="F29" s="136"/>
      <c r="G29" s="131">
        <f t="shared" si="0"/>
        <v>0</v>
      </c>
      <c r="H29" s="137">
        <v>0</v>
      </c>
    </row>
    <row r="30" spans="1:8" s="118" customFormat="1" ht="12" customHeight="1" thickBot="1">
      <c r="A30" s="133">
        <v>0</v>
      </c>
      <c r="B30" s="134" t="s">
        <v>932</v>
      </c>
      <c r="C30" s="134" t="s">
        <v>933</v>
      </c>
      <c r="D30" s="134" t="s">
        <v>886</v>
      </c>
      <c r="E30" s="135">
        <v>1</v>
      </c>
      <c r="F30" s="136"/>
      <c r="G30" s="131">
        <f t="shared" si="0"/>
        <v>0</v>
      </c>
      <c r="H30" s="137">
        <v>0</v>
      </c>
    </row>
    <row r="31" spans="1:8" s="118" customFormat="1" ht="12" customHeight="1" thickBot="1">
      <c r="A31" s="133">
        <v>0</v>
      </c>
      <c r="B31" s="134" t="s">
        <v>934</v>
      </c>
      <c r="C31" s="134" t="s">
        <v>935</v>
      </c>
      <c r="D31" s="134" t="s">
        <v>886</v>
      </c>
      <c r="E31" s="135">
        <v>1</v>
      </c>
      <c r="F31" s="136"/>
      <c r="G31" s="131">
        <f t="shared" si="0"/>
        <v>0</v>
      </c>
      <c r="H31" s="137">
        <v>0</v>
      </c>
    </row>
    <row r="32" spans="1:8" s="118" customFormat="1" ht="12" customHeight="1" thickBot="1">
      <c r="A32" s="133">
        <v>0</v>
      </c>
      <c r="B32" s="134" t="s">
        <v>936</v>
      </c>
      <c r="C32" s="134" t="s">
        <v>937</v>
      </c>
      <c r="D32" s="134" t="s">
        <v>921</v>
      </c>
      <c r="E32" s="135">
        <v>1</v>
      </c>
      <c r="F32" s="136"/>
      <c r="G32" s="131">
        <f t="shared" si="0"/>
        <v>0</v>
      </c>
      <c r="H32" s="137">
        <v>0</v>
      </c>
    </row>
    <row r="33" spans="1:8" s="118" customFormat="1" ht="24" customHeight="1" thickBot="1">
      <c r="A33" s="138">
        <v>0</v>
      </c>
      <c r="B33" s="139" t="s">
        <v>938</v>
      </c>
      <c r="C33" s="139" t="s">
        <v>939</v>
      </c>
      <c r="D33" s="139" t="s">
        <v>921</v>
      </c>
      <c r="E33" s="140">
        <v>6</v>
      </c>
      <c r="F33" s="141"/>
      <c r="G33" s="131">
        <f t="shared" si="0"/>
        <v>0</v>
      </c>
      <c r="H33" s="142">
        <v>0</v>
      </c>
    </row>
    <row r="34" ht="12" customHeight="1">
      <c r="G34" s="144">
        <f>SUM(G13:G33)</f>
        <v>0</v>
      </c>
    </row>
  </sheetData>
  <sheetProtection/>
  <printOptions/>
  <pageMargins left="0.39375001192092896" right="0.39375001192092896" top="0.7875000238418579" bottom="0.7875000238418579" header="0" footer="0"/>
  <pageSetup fitToHeight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dcterms:created xsi:type="dcterms:W3CDTF">2016-03-07T16:26:37Z</dcterms:created>
  <dcterms:modified xsi:type="dcterms:W3CDTF">2016-05-04T08:08:40Z</dcterms:modified>
  <cp:category/>
  <cp:version/>
  <cp:contentType/>
  <cp:contentStatus/>
</cp:coreProperties>
</file>