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 rozpočtu" sheetId="1" r:id="rId1"/>
    <sheet name="VORN" sheetId="2" r:id="rId2"/>
    <sheet name="Objekty celkem" sheetId="3" r:id="rId3"/>
    <sheet name="Stavební rozpočet" sheetId="4" r:id="rId4"/>
    <sheet name="Skladová tech" sheetId="5" r:id="rId5"/>
    <sheet name="OK 1.et" sheetId="6" r:id="rId6"/>
  </sheets>
  <externalReferences>
    <externalReference r:id="rId9"/>
  </externalReference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<sst xmlns="http://schemas.openxmlformats.org/spreadsheetml/2006/main" count="3595" uniqueCount="1185">
  <si>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</si>
  <si>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</si>
  <si>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</si>
  <si>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</si>
  <si>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</si>
  <si>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</si>
  <si>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</si>
  <si>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</si>
  <si>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</si>
  <si>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</si>
  <si>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</si>
  <si>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</si>
  <si>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</si>
  <si>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</si>
  <si>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</si>
  <si>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</si>
  <si>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</si>
  <si>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</si>
  <si>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</si>
  <si>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</si>
  <si>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</si>
  <si>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</si>
  <si>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</si>
  <si>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</si>
  <si>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</si>
  <si>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</si>
  <si>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</si>
  <si>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</si>
  <si>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</si>
  <si>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</si>
  <si>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</si>
  <si>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</si>
  <si>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</si>
  <si>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</si>
  <si>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</si>
  <si>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</si>
  <si>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</si>
  <si>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</si>
  <si>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</si>
  <si>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</si>
  <si>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</si>
  <si>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</si>
  <si>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</si>
  <si>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</si>
  <si>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</si>
  <si>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</si>
  <si>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</si>
  <si>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</si>
  <si>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</si>
  <si>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</si>
  <si>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</si>
  <si>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</si>
  <si>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</si>
  <si>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</si>
  <si>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</si>
  <si>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</si>
  <si>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</si>
  <si>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</si>
  <si>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</si>
  <si>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</si>
  <si>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</si>
  <si>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</si>
  <si>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</si>
  <si>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</si>
  <si>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</si>
  <si>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</si>
  <si>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</si>
  <si>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</si>
  <si>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</si>
  <si>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</si>
  <si>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</si>
  <si>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</si>
  <si>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</si>
  <si>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</si>
  <si>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</si>
  <si>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</si>
  <si>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</si>
  <si>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</si>
  <si>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</si>
  <si>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</si>
  <si>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</si>
  <si>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</si>
  <si>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</si>
  <si>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</si>
  <si>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</si>
  <si>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</si>
  <si>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</si>
  <si>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</si>
  <si>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</si>
  <si>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</si>
  <si>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</si>
  <si>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</si>
  <si>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</si>
  <si>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</si>
  <si>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</si>
  <si>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</si>
  <si>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</si>
  <si>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</si>
  <si>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</si>
  <si>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</si>
  <si>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</si>
  <si>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</si>
  <si>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</si>
  <si>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</si>
  <si>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</si>
  <si>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</si>
  <si>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</si>
  <si>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</si>
  <si>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</si>
  <si>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</si>
  <si>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</si>
  <si>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</si>
  <si>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</si>
  <si>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</si>
  <si>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</si>
  <si>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</si>
  <si>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</si>
  <si>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</si>
  <si>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</si>
  <si>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</si>
  <si>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</si>
  <si>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</si>
  <si>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</si>
  <si>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</si>
  <si>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</si>
  <si>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</si>
  <si>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</si>
  <si>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</si>
  <si>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</si>
  <si>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</si>
  <si>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</si>
  <si>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</si>
  <si>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</si>
  <si>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</si>
  <si>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</si>
  <si>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</si>
  <si>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</si>
  <si>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</si>
  <si>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</si>
  <si>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</si>
  <si>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</si>
  <si>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</si>
  <si>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</si>
  <si>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</si>
  <si>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</si>
  <si>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</si>
  <si>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</si>
  <si>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</si>
  <si>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</si>
  <si>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</si>
  <si>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</si>
  <si>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</si>
  <si>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</si>
  <si>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</si>
  <si>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</si>
  <si>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</si>
  <si>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</si>
  <si>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</si>
  <si>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</si>
  <si>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</si>
  <si>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</si>
  <si>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</si>
  <si>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</si>
  <si>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</si>
  <si>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</si>
  <si>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</si>
  <si>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</si>
  <si>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</si>
  <si>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</si>
  <si>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</si>
  <si>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</si>
  <si>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</si>
  <si>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</si>
  <si>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</si>
  <si>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</si>
  <si>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</si>
  <si>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</si>
  <si>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</si>
  <si>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</si>
  <si>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</si>
  <si>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</si>
  <si>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</si>
  <si>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</si>
  <si>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</si>
  <si>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</si>
  <si>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</si>
  <si>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</si>
  <si>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</si>
  <si>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</si>
  <si>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</si>
  <si>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</si>
  <si>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</si>
  <si>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</si>
  <si>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</si>
  <si>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</si>
  <si>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</si>
  <si>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</si>
  <si>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</si>
  <si>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</si>
  <si>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</si>
  <si>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</si>
  <si>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</si>
  <si>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</si>
  <si>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</si>
  <si>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</si>
  <si>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</si>
  <si>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</si>
  <si>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</si>
  <si>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</si>
  <si>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</si>
  <si>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</si>
  <si>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</si>
  <si>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</si>
  <si>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</si>
  <si>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</si>
  <si>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</si>
  <si>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</si>
  <si>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</si>
  <si>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</si>
  <si>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</si>
  <si>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</si>
  <si>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</si>
  <si>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</si>
  <si>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</si>
  <si>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</si>
  <si>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</si>
  <si>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</si>
  <si>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</si>
  <si>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</si>
  <si>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</si>
  <si>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</si>
  <si>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</si>
  <si>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</si>
  <si>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</si>
  <si>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</si>
  <si>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</si>
  <si>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</si>
  <si>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</si>
  <si>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</si>
  <si>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</si>
  <si>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</si>
  <si>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</si>
  <si>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</si>
  <si>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</si>
  <si>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</si>
  <si>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</si>
  <si>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</si>
  <si>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</si>
  <si>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</si>
  <si>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</si>
  <si>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</si>
  <si>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</si>
  <si>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</si>
  <si>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</si>
  <si>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</si>
  <si>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</si>
  <si>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</si>
  <si>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</si>
  <si>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</si>
  <si>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</si>
  <si>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</si>
  <si>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</si>
  <si>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</si>
  <si>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</si>
  <si>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</si>
  <si>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</si>
  <si>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</si>
  <si>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</si>
  <si>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</si>
  <si>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</si>
  <si>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</si>
  <si>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</si>
  <si>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</si>
  <si>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</si>
  <si>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</si>
  <si>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</si>
  <si>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</si>
  <si>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</si>
  <si>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</si>
  <si>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Poznámka:</t>
  </si>
  <si>
    <t>Objekt</t>
  </si>
  <si>
    <t>SO100-1</t>
  </si>
  <si>
    <t>SO101-1</t>
  </si>
  <si>
    <t>SO102-1</t>
  </si>
  <si>
    <t>SO103</t>
  </si>
  <si>
    <t>SO104</t>
  </si>
  <si>
    <t>SO105</t>
  </si>
  <si>
    <t>SO106</t>
  </si>
  <si>
    <t>SO107</t>
  </si>
  <si>
    <t>Kód</t>
  </si>
  <si>
    <t>111201102R00</t>
  </si>
  <si>
    <t>121101103R00</t>
  </si>
  <si>
    <t>122101103R00</t>
  </si>
  <si>
    <t>162301102R14</t>
  </si>
  <si>
    <t>167101102R00</t>
  </si>
  <si>
    <t>171101104R00</t>
  </si>
  <si>
    <t>122401103R00</t>
  </si>
  <si>
    <t>132303303R00</t>
  </si>
  <si>
    <t>174203301R00</t>
  </si>
  <si>
    <t>138601201R00</t>
  </si>
  <si>
    <t>119009102</t>
  </si>
  <si>
    <t>113107222RAC</t>
  </si>
  <si>
    <t>113107620R00</t>
  </si>
  <si>
    <t>113108406R00</t>
  </si>
  <si>
    <t>979095312R00</t>
  </si>
  <si>
    <t>979082219R00</t>
  </si>
  <si>
    <t>979990112R00</t>
  </si>
  <si>
    <t>979082213R00</t>
  </si>
  <si>
    <t>212810010RAC</t>
  </si>
  <si>
    <t>132101212R00</t>
  </si>
  <si>
    <t>132601201R00</t>
  </si>
  <si>
    <t>162301152RT3</t>
  </si>
  <si>
    <t>174101101R00</t>
  </si>
  <si>
    <t>181101102R00</t>
  </si>
  <si>
    <t>224311211R00</t>
  </si>
  <si>
    <t>224361114R00</t>
  </si>
  <si>
    <t>224380110R00</t>
  </si>
  <si>
    <t>264412212R00</t>
  </si>
  <si>
    <t>264412112R00</t>
  </si>
  <si>
    <t>264411512R00</t>
  </si>
  <si>
    <t>274313311R00</t>
  </si>
  <si>
    <t>274321411R00</t>
  </si>
  <si>
    <t>274351215R00</t>
  </si>
  <si>
    <t>274351216R00</t>
  </si>
  <si>
    <t>274361821R00</t>
  </si>
  <si>
    <t>274361921R00</t>
  </si>
  <si>
    <t>327321825R00</t>
  </si>
  <si>
    <t>327351010R00</t>
  </si>
  <si>
    <t>327352010R00</t>
  </si>
  <si>
    <t>327366111R00</t>
  </si>
  <si>
    <t>434200001RA0</t>
  </si>
  <si>
    <t>564772111R00</t>
  </si>
  <si>
    <t>564952111R00</t>
  </si>
  <si>
    <t>631571004R00</t>
  </si>
  <si>
    <t>631571002R00</t>
  </si>
  <si>
    <t>631315711R00</t>
  </si>
  <si>
    <t>631319175R00</t>
  </si>
  <si>
    <t>631361921RT5</t>
  </si>
  <si>
    <t>631315711RT7</t>
  </si>
  <si>
    <t>631316211R00</t>
  </si>
  <si>
    <t>634601121R00</t>
  </si>
  <si>
    <t>639570010RA0</t>
  </si>
  <si>
    <t>639571311R00</t>
  </si>
  <si>
    <t>639561121R00</t>
  </si>
  <si>
    <t>711</t>
  </si>
  <si>
    <t>711471051R00</t>
  </si>
  <si>
    <t>28325001</t>
  </si>
  <si>
    <t>711491171R00</t>
  </si>
  <si>
    <t>69366198</t>
  </si>
  <si>
    <t>998711102R00</t>
  </si>
  <si>
    <t>722</t>
  </si>
  <si>
    <t>722130236R00</t>
  </si>
  <si>
    <t>722223182R00</t>
  </si>
  <si>
    <t>722237226R00</t>
  </si>
  <si>
    <t>722174218R00</t>
  </si>
  <si>
    <t>28613784</t>
  </si>
  <si>
    <t>722175138R00</t>
  </si>
  <si>
    <t>28613125.A</t>
  </si>
  <si>
    <t>722181215RW6</t>
  </si>
  <si>
    <t>722181214RY5</t>
  </si>
  <si>
    <t>722254201RT3</t>
  </si>
  <si>
    <t>767990010RAC</t>
  </si>
  <si>
    <t>722290229R00</t>
  </si>
  <si>
    <t>722290226R00</t>
  </si>
  <si>
    <t>998722102R00</t>
  </si>
  <si>
    <t>915711121R00</t>
  </si>
  <si>
    <t>917862111RT8</t>
  </si>
  <si>
    <t>954115102R00</t>
  </si>
  <si>
    <t>951-001</t>
  </si>
  <si>
    <t>952901221R00</t>
  </si>
  <si>
    <t>899712111R00</t>
  </si>
  <si>
    <t>54823022.A</t>
  </si>
  <si>
    <t>953942121R00</t>
  </si>
  <si>
    <t>13331710</t>
  </si>
  <si>
    <t>250040101R00</t>
  </si>
  <si>
    <t>998014011R00</t>
  </si>
  <si>
    <t>M21</t>
  </si>
  <si>
    <t>210172207R00</t>
  </si>
  <si>
    <t>35712269</t>
  </si>
  <si>
    <t>210172208R00</t>
  </si>
  <si>
    <t>34531525</t>
  </si>
  <si>
    <t>34531530</t>
  </si>
  <si>
    <t>210290811R00</t>
  </si>
  <si>
    <t>210110021RT1</t>
  </si>
  <si>
    <t>210110025RT1</t>
  </si>
  <si>
    <t>210110023RT2</t>
  </si>
  <si>
    <t>210140431RT3</t>
  </si>
  <si>
    <t>210111031R00</t>
  </si>
  <si>
    <t>210111136R00</t>
  </si>
  <si>
    <t>35811071</t>
  </si>
  <si>
    <t>210192561R00</t>
  </si>
  <si>
    <t>210010351RT1</t>
  </si>
  <si>
    <t>210800625RT1</t>
  </si>
  <si>
    <t>210800626RT1</t>
  </si>
  <si>
    <t>210220321RT1</t>
  </si>
  <si>
    <t>210010105R00</t>
  </si>
  <si>
    <t>34572125</t>
  </si>
  <si>
    <t>210010106R00</t>
  </si>
  <si>
    <t>34572130</t>
  </si>
  <si>
    <t>210020305R00</t>
  </si>
  <si>
    <t>55347492</t>
  </si>
  <si>
    <t>55347511</t>
  </si>
  <si>
    <t>210020309R00</t>
  </si>
  <si>
    <t>55347512</t>
  </si>
  <si>
    <t>55347494</t>
  </si>
  <si>
    <t>210020302RT1</t>
  </si>
  <si>
    <t>210010123R00</t>
  </si>
  <si>
    <t>3457115964</t>
  </si>
  <si>
    <t>210010134R00</t>
  </si>
  <si>
    <t>345710965</t>
  </si>
  <si>
    <t>210010084RT1</t>
  </si>
  <si>
    <t>210020652RT1</t>
  </si>
  <si>
    <t>210810001RT1</t>
  </si>
  <si>
    <t>210810005RT1</t>
  </si>
  <si>
    <t>210810006RT1</t>
  </si>
  <si>
    <t>210810015RT1</t>
  </si>
  <si>
    <t>210810016RT1</t>
  </si>
  <si>
    <t>210810017RT1</t>
  </si>
  <si>
    <t>210810053RT1</t>
  </si>
  <si>
    <t>211800713R00</t>
  </si>
  <si>
    <t>34121556</t>
  </si>
  <si>
    <t>210803062R00</t>
  </si>
  <si>
    <t>34111715101</t>
  </si>
  <si>
    <t>210220021RT1</t>
  </si>
  <si>
    <t>210220002RT2</t>
  </si>
  <si>
    <t>210220002RT3</t>
  </si>
  <si>
    <t>210220301RT3</t>
  </si>
  <si>
    <t>210220301RT2</t>
  </si>
  <si>
    <t>210220301RT1</t>
  </si>
  <si>
    <t>210220302RT3</t>
  </si>
  <si>
    <t>210220302RT6</t>
  </si>
  <si>
    <t>210220302RT1</t>
  </si>
  <si>
    <t>210220302RT2</t>
  </si>
  <si>
    <t>210220302RT5</t>
  </si>
  <si>
    <t>210220221R00</t>
  </si>
  <si>
    <t>35441035</t>
  </si>
  <si>
    <t>210220372RT1</t>
  </si>
  <si>
    <t>35441242</t>
  </si>
  <si>
    <t>210220401RT1</t>
  </si>
  <si>
    <t>210100259R00</t>
  </si>
  <si>
    <t>210100003R00</t>
  </si>
  <si>
    <t>210220801R00</t>
  </si>
  <si>
    <t>905      R01</t>
  </si>
  <si>
    <t>210201068R00</t>
  </si>
  <si>
    <t>34814105</t>
  </si>
  <si>
    <t>210200043R00</t>
  </si>
  <si>
    <t>34828410</t>
  </si>
  <si>
    <t>210200044R00</t>
  </si>
  <si>
    <t>210203611R00</t>
  </si>
  <si>
    <t>34841208</t>
  </si>
  <si>
    <t>210201054R00</t>
  </si>
  <si>
    <t>34851330</t>
  </si>
  <si>
    <t>210020922R00</t>
  </si>
  <si>
    <t>141      R00</t>
  </si>
  <si>
    <t>142      R00</t>
  </si>
  <si>
    <t>205      R00</t>
  </si>
  <si>
    <t>M33</t>
  </si>
  <si>
    <t>330000001</t>
  </si>
  <si>
    <t>M43</t>
  </si>
  <si>
    <t>439 SUB</t>
  </si>
  <si>
    <t>451572111R00</t>
  </si>
  <si>
    <t>175101101RT2</t>
  </si>
  <si>
    <t>721</t>
  </si>
  <si>
    <t>721242110RT1</t>
  </si>
  <si>
    <t>871313121RT2</t>
  </si>
  <si>
    <t>871373121R00</t>
  </si>
  <si>
    <t>28611162.A</t>
  </si>
  <si>
    <t>894410020RAB</t>
  </si>
  <si>
    <t>998276101R00</t>
  </si>
  <si>
    <t>211190001R00</t>
  </si>
  <si>
    <t>357116541</t>
  </si>
  <si>
    <t>210190013R00</t>
  </si>
  <si>
    <t>35713852</t>
  </si>
  <si>
    <t>210010066R00</t>
  </si>
  <si>
    <t>34571128</t>
  </si>
  <si>
    <t>34571165</t>
  </si>
  <si>
    <t>210010136R00</t>
  </si>
  <si>
    <t>3457114704</t>
  </si>
  <si>
    <t>210020651RT5</t>
  </si>
  <si>
    <t>210810056R00</t>
  </si>
  <si>
    <t>34111094</t>
  </si>
  <si>
    <t>210810057RT1</t>
  </si>
  <si>
    <t>210810290R00</t>
  </si>
  <si>
    <t>34111678</t>
  </si>
  <si>
    <t>210901072RT1</t>
  </si>
  <si>
    <t>210100006R00</t>
  </si>
  <si>
    <t>905      R02</t>
  </si>
  <si>
    <t>M46</t>
  </si>
  <si>
    <t>460010024RT2</t>
  </si>
  <si>
    <t>460200634RT1</t>
  </si>
  <si>
    <t>460200664RT1</t>
  </si>
  <si>
    <t>460420022RT1</t>
  </si>
  <si>
    <t>460490012RT1</t>
  </si>
  <si>
    <t>460560634R00</t>
  </si>
  <si>
    <t>460560664R00</t>
  </si>
  <si>
    <t>131101112R00</t>
  </si>
  <si>
    <t>175101201R00</t>
  </si>
  <si>
    <t>451315111R00</t>
  </si>
  <si>
    <t>722225115R00</t>
  </si>
  <si>
    <t>722130237R00</t>
  </si>
  <si>
    <t>998722101R00</t>
  </si>
  <si>
    <t>724</t>
  </si>
  <si>
    <t>724149101R00</t>
  </si>
  <si>
    <t>42611782</t>
  </si>
  <si>
    <t>998724101R00</t>
  </si>
  <si>
    <t>871231121R00</t>
  </si>
  <si>
    <t>877232121R00</t>
  </si>
  <si>
    <t>28653334.A</t>
  </si>
  <si>
    <t>28653325.A</t>
  </si>
  <si>
    <t>899000002RA0</t>
  </si>
  <si>
    <t>892233111R00</t>
  </si>
  <si>
    <t>892241111R00</t>
  </si>
  <si>
    <t>899721112R00</t>
  </si>
  <si>
    <t>338171112R00</t>
  </si>
  <si>
    <t>55342305</t>
  </si>
  <si>
    <t>899713111R00</t>
  </si>
  <si>
    <t>54823021</t>
  </si>
  <si>
    <t>M32</t>
  </si>
  <si>
    <t>320054058R00</t>
  </si>
  <si>
    <t>358 PC 09-</t>
  </si>
  <si>
    <t>181101123R00</t>
  </si>
  <si>
    <t>564762111R00</t>
  </si>
  <si>
    <t>564113515R00</t>
  </si>
  <si>
    <t>561291111R00</t>
  </si>
  <si>
    <t>565171211RT2</t>
  </si>
  <si>
    <t>573191111R00</t>
  </si>
  <si>
    <t>577112125RT2</t>
  </si>
  <si>
    <t>576111323R00</t>
  </si>
  <si>
    <t>915491211R00</t>
  </si>
  <si>
    <t>592162117.A</t>
  </si>
  <si>
    <t>915711122R00</t>
  </si>
  <si>
    <t>998225111R00</t>
  </si>
  <si>
    <t>181006112R00</t>
  </si>
  <si>
    <t>181201101R00</t>
  </si>
  <si>
    <t>182001122R00</t>
  </si>
  <si>
    <t>181300010RAB</t>
  </si>
  <si>
    <t>184802311R00</t>
  </si>
  <si>
    <t>25234010.A</t>
  </si>
  <si>
    <t>184903122R00</t>
  </si>
  <si>
    <t>02660514</t>
  </si>
  <si>
    <t>851631107R00</t>
  </si>
  <si>
    <t>5525117426</t>
  </si>
  <si>
    <t>893205120</t>
  </si>
  <si>
    <t>998273101R00</t>
  </si>
  <si>
    <t>Revitalizace areálu Panlux</t>
  </si>
  <si>
    <t>Kladruby u Teplic</t>
  </si>
  <si>
    <t>Zkrácený popis</t>
  </si>
  <si>
    <t>Rozměry</t>
  </si>
  <si>
    <t>Hrubé terenní úpravy 1.etapa</t>
  </si>
  <si>
    <t>Zemní práce</t>
  </si>
  <si>
    <t>Odstranění křovin i s kořeny na ploše do 10000 m2</t>
  </si>
  <si>
    <t>2730</t>
  </si>
  <si>
    <t>Sejmutí ornice s přemístěním přes 100 do 250 m</t>
  </si>
  <si>
    <t>2730*0,1</t>
  </si>
  <si>
    <t>Odkopávky nezapažené v hor. 2 do 10000 m3</t>
  </si>
  <si>
    <t>2211*2,65</t>
  </si>
  <si>
    <t>Vodorovné přemístění výkopku z hor.1-4 do 1000 m</t>
  </si>
  <si>
    <t>5859,15</t>
  </si>
  <si>
    <t>Nakládání výkopku z hor.1-4 v množství nad 100 m3</t>
  </si>
  <si>
    <t>Uložení sypaniny do násypů zhutněných na 102% PS</t>
  </si>
  <si>
    <t>729*2</t>
  </si>
  <si>
    <t>Odkopávky nezapažené v hor. 5 do 10000 m3</t>
  </si>
  <si>
    <t>853*4,5</t>
  </si>
  <si>
    <t>Hloubení rýh pro drény, hloubky do 1,1 m, v hor.4</t>
  </si>
  <si>
    <t>Zásyp rýh pro drény bez zhutnění, hl.do 1,10 m</t>
  </si>
  <si>
    <t>Dolamovaní rýh ve vrstvě do 0,5 m v hor.7</t>
  </si>
  <si>
    <t>30*0,4*0,4   v rýze pro drény</t>
  </si>
  <si>
    <t>Drcení a třídění kamene</t>
  </si>
  <si>
    <t>4691,9142</t>
  </si>
  <si>
    <t>Přípravné a přidružené práce</t>
  </si>
  <si>
    <t>Odstranění asfaltobet.krytu tl. do 5 cm nad 50 m2</t>
  </si>
  <si>
    <t>14*11</t>
  </si>
  <si>
    <t>Odstranění podkladu nad 50 m2,kam.drcené tl.20 cm</t>
  </si>
  <si>
    <t>Odstranění podkladu pl. nad 50 m2, živice tl.6 cm</t>
  </si>
  <si>
    <t>Naložení a složení suti</t>
  </si>
  <si>
    <t>Příplatek za dopravu suti po suchu za další 1 km</t>
  </si>
  <si>
    <t>Poplatek za skládku suti - obalované kam. - asfalt</t>
  </si>
  <si>
    <t>Vodorovná doprava suti po suchu do 1 km</t>
  </si>
  <si>
    <t>179,102*10</t>
  </si>
  <si>
    <t>Úprava podloží a základové spáry</t>
  </si>
  <si>
    <t>Trativody z PVC drenážních flexibilních trubek lože a obsyp štěrkopískem, trubky d 100 mm</t>
  </si>
  <si>
    <t>Hala 1.et</t>
  </si>
  <si>
    <t>Hloubení rýh š.do 200 cm hor.2 do 1000 m3,STROJNĚ</t>
  </si>
  <si>
    <t>(46,31+25,1+15,8+23,45+9,725)*1,5*1,6   základové prahy</t>
  </si>
  <si>
    <t>13*1,35*1,8   OS1</t>
  </si>
  <si>
    <t>Hloubení rýh šířky do 200 cm v hor.7</t>
  </si>
  <si>
    <t>(11,855+9,725)*1,5*1,6   základové prahy</t>
  </si>
  <si>
    <t>320,51-355,61</t>
  </si>
  <si>
    <t>Vodorovné přemístění výkopku z hor.5-7 do 1000 m</t>
  </si>
  <si>
    <t>51,79</t>
  </si>
  <si>
    <t>Zásyp jam, rýh, šachet se zhutněním</t>
  </si>
  <si>
    <t>(46,31*2+25,1*2+9,725)*1,5*1,6-(22,37+7,63)   zásyp rýh pro základy</t>
  </si>
  <si>
    <t>13*0,8*1,5+13*0,25*1,2   OS1</t>
  </si>
  <si>
    <t>Povrchové úpravy terénu</t>
  </si>
  <si>
    <t>Úprava pláně v zářezech v hor. 1-4, se zhutněním</t>
  </si>
  <si>
    <t>240,55   štěrková plocha</t>
  </si>
  <si>
    <t>Piloty</t>
  </si>
  <si>
    <t>Výplň pilot z C 25/30 portladského, bez suspenze</t>
  </si>
  <si>
    <t>57,29+27,08+25,74</t>
  </si>
  <si>
    <t>Výztuž pilot betonovaných do země z oceli 10505</t>
  </si>
  <si>
    <t>2,397+1,386+2,198</t>
  </si>
  <si>
    <t>Zříizení výplně hlavice pilot VÚIS z bet.železov.</t>
  </si>
  <si>
    <t>(pi*0,6^2*0,8)*12+(pi*0,5^2*0,8)*10+(pi*0,4^2*0,8)*13</t>
  </si>
  <si>
    <t>Vrty</t>
  </si>
  <si>
    <t>Vrty pro piloty nezap.do 1250 mm hl.nad 5 m hor.4</t>
  </si>
  <si>
    <t>60,7</t>
  </si>
  <si>
    <t>Vrty pro piloty nezap.do 1050 mm hl.nad 5 m hor.4</t>
  </si>
  <si>
    <t>38,9</t>
  </si>
  <si>
    <t>Vrty pro piloty nezap.do 850 mm hl.nad 5 m hor.4</t>
  </si>
  <si>
    <t>55,35</t>
  </si>
  <si>
    <t>Základy</t>
  </si>
  <si>
    <t>Beton základových pasů prostý C 8/10</t>
  </si>
  <si>
    <t>(46,31*2+25,1*2+9,725)*0,05*0,1   podkladní</t>
  </si>
  <si>
    <t>Železobeton základových pasů C 25/30</t>
  </si>
  <si>
    <t>(5,2*1,75*2+(6,06+5,825*2)*1,2+(5,825*2+6,06+3,85+6)*1,85+(6*2+3,85+6,06*2+5,825*4)*1,65)*0,3</t>
  </si>
  <si>
    <t>((3,275*2+3,5*2+2,5*2+6)*1,65+(35,25+10,4+3,775+6+0,25*4)*1,2)*0,3</t>
  </si>
  <si>
    <t>Bednění stěn základových pasů - zřízení</t>
  </si>
  <si>
    <t>(5,2*1,75*2+(6,06+5,825*2)*1,2+(5,825*2+6,06+3,85+6)*1,85+(6*2+3,85+6,06*2+5,825*4)*1,65)*2</t>
  </si>
  <si>
    <t>((3,275*2+3,5*2+2,5*2+6)*1,65+(35,25+10,4+3,775+6+0,25*4)*1,2)*2</t>
  </si>
  <si>
    <t>Bednění stěn základových pasů - odstranění</t>
  </si>
  <si>
    <t>566,51</t>
  </si>
  <si>
    <t>Výztuž základových pasů z betonářské oceli 10 505</t>
  </si>
  <si>
    <t>5,93</t>
  </si>
  <si>
    <t>Výztuž základových pasů ze svařovaných sítí</t>
  </si>
  <si>
    <t>1,2</t>
  </si>
  <si>
    <t>Zdi přehradní a opěrné</t>
  </si>
  <si>
    <t>Zdi a valy ze železobetonu pohled. pevnost C 25/30</t>
  </si>
  <si>
    <t>13*(1,35*0,3+1,65*0,3)</t>
  </si>
  <si>
    <t>Obednění opěrných zdí ploch rovinných</t>
  </si>
  <si>
    <t>13*1,65*2</t>
  </si>
  <si>
    <t>Odbednění opěrných zdí ploch rovinných</t>
  </si>
  <si>
    <t>42,9</t>
  </si>
  <si>
    <t>Výztuž opěrných zdí, ocel 10 505, D do 12 mm</t>
  </si>
  <si>
    <t>11,7*0,09</t>
  </si>
  <si>
    <t>Schodiště</t>
  </si>
  <si>
    <t>Schodiště z oceli včetně zábradlí a nátěrů nebo zinkování</t>
  </si>
  <si>
    <t>2,6   venkovní schodiště</t>
  </si>
  <si>
    <t>Podkladní vrstvy komunikací a zpevněných ploch</t>
  </si>
  <si>
    <t>Podklad z kam.drceného 32-63 s výplň.kamen. 25 cm</t>
  </si>
  <si>
    <t>Podklad z mechanicky zpevněného kameniva tl. 15 cm</t>
  </si>
  <si>
    <t>Podlahy a podlahové konstrukce</t>
  </si>
  <si>
    <t>Násyp ze štěrkopísku 0 - 32, tř. I</t>
  </si>
  <si>
    <t>35,65*25,69*0,15+(11*35,475-2,5*3,65*2)*0,2</t>
  </si>
  <si>
    <t>Násyp z kameniva těženého 0 - 4, tř. I</t>
  </si>
  <si>
    <t>35,65*25,69*0,05+(11*35,475-2,5*3,65*2)*0,05</t>
  </si>
  <si>
    <t>Mazanina betonová tl. 12 - 24 cm C 25/30</t>
  </si>
  <si>
    <t>35,65*25,69*0,125</t>
  </si>
  <si>
    <t>Příplatek za stržení povrchu mazaniny tl. 24 cm</t>
  </si>
  <si>
    <t>114,48</t>
  </si>
  <si>
    <t>Výztuž mazanin svařovanou sítí průměr drátu  6,0, oka 150/150 mm</t>
  </si>
  <si>
    <t>35,65*25,69*0,003301</t>
  </si>
  <si>
    <t>Mazanina betonová tl. 12 - 24 cm C 25/30 s rozptýlenou výztuží 20 kg/m3, Floorcrete P V položce jsou zakalkulovány i náklady na vytvoření dilatačních</t>
  </si>
  <si>
    <t>35,65*25,69*0,175+(11*35,475-2,5*3,65*2)*0,15</t>
  </si>
  <si>
    <t>Povrchový vsyp na betonové podlahy strojně hlazený</t>
  </si>
  <si>
    <t>35,65*25,69+(11*35,475-2,5*3,65*2)</t>
  </si>
  <si>
    <t>Zaplnění dilatačních spár mazanin, šířka 20 mm</t>
  </si>
  <si>
    <t>35,65*13+25,69*18</t>
  </si>
  <si>
    <t>11*18+35,475*5</t>
  </si>
  <si>
    <t>Okapový chodník kolem budovy z kačírku šířky 0,5 m</t>
  </si>
  <si>
    <t>60,25+27,6+58</t>
  </si>
  <si>
    <t>Okapový chodník - textilie proti prorůstání 45g/m2</t>
  </si>
  <si>
    <t>6,5+9,5+20,5</t>
  </si>
  <si>
    <t>Obrubník zahradní výšky 250 mm, šedý</t>
  </si>
  <si>
    <t>Izolace proti vodě</t>
  </si>
  <si>
    <t>Izolace, tlak. voda, vodorovná fólií PVC, volně</t>
  </si>
  <si>
    <t>JUNIFOL tl. 0.6 mm, š.5,1m</t>
  </si>
  <si>
    <t>1287,82</t>
  </si>
  <si>
    <t>;ztratné 15%; 193,173</t>
  </si>
  <si>
    <t>Izolace tlaková, podkladní textilie, vodorovná</t>
  </si>
  <si>
    <t>35,65*25,69*2+(11*35,475-2,5*3,65*2)</t>
  </si>
  <si>
    <t>Geotextilie FILTEK 300 g/m2 š. 200cm 100% PP</t>
  </si>
  <si>
    <t>2203,67</t>
  </si>
  <si>
    <t>;ztratné 15%; 330,5505</t>
  </si>
  <si>
    <t>Přesun hmot pro izolace proti vodě, výšky do 12 m</t>
  </si>
  <si>
    <t>Vnitřní vodovod</t>
  </si>
  <si>
    <t>Potrubí z trub.závit.pozink.svařovan. 11343,DN 50</t>
  </si>
  <si>
    <t>1,5</t>
  </si>
  <si>
    <t>Kohout kulový výtokový, GIACOMINI R621 DN 20</t>
  </si>
  <si>
    <t>Kohout kulový, 2xvnitřní záv. GIACOMINI R910 DN 50</t>
  </si>
  <si>
    <t>Montáž potrubí z plastů rovné polyf. svař. D 75 mm</t>
  </si>
  <si>
    <t>Trubka tlaková PE HD (PE100) d 75 x 6,8 mm PN 16</t>
  </si>
  <si>
    <t>;ztratné 3%; 0,84</t>
  </si>
  <si>
    <t>Montáž tvarovek plast polyf.svař. tři spoje D 75mm</t>
  </si>
  <si>
    <t>Elektro T-kus KIT d  75mm rovnoramenný PE100 SDR11</t>
  </si>
  <si>
    <t>Izolace návleková  MIRELON PRO tl. stěny 25 mm vnitřní průměr 50 mm</t>
  </si>
  <si>
    <t>Izolace návleková MIRELON PRO tl. stěny 20 mm vnitřní průměr 76 mm</t>
  </si>
  <si>
    <t>Hydrantový systém D25, box s plnými dveřmi průměr 25/30, stálotvará hadice</t>
  </si>
  <si>
    <t>Atypické ocelové konstrukce 10 - 50 kg/kus</t>
  </si>
  <si>
    <t>25   konstrukce pro uchycení hydrantu</t>
  </si>
  <si>
    <t>Zkouška tlaku potrubí závitového DN 100</t>
  </si>
  <si>
    <t>Zkouška tlaku potrubí závitového DN 50</t>
  </si>
  <si>
    <t>Přesun hmot pro vnitřní vodovod, výšky do 12 m</t>
  </si>
  <si>
    <t>Doplňující konstrukce a práce na pozemních komunikacích a zpevněných plochách</t>
  </si>
  <si>
    <t>Vodor.značení dělicích čar 12 cm plastem,nehlučné</t>
  </si>
  <si>
    <t>Osazení stojat. obrub. bet. s opěrou,lože z B 12,5 včetně obrubníku ABO 1 - 15 100/15/30</t>
  </si>
  <si>
    <t>85,4</t>
  </si>
  <si>
    <t>Různé dokončovací konstrukce a práce na pozemních stavbách</t>
  </si>
  <si>
    <t>SDK obkl.ocel.sloupů 4str.spec.držák,2xRF tl.12,5 (EI60)</t>
  </si>
  <si>
    <t>D+M hasících přístrojů</t>
  </si>
  <si>
    <t>Vyčištění průmyslových budov a objektů výrobních</t>
  </si>
  <si>
    <t>35,65*25,69</t>
  </si>
  <si>
    <t>Orientační tabulky na zdivu</t>
  </si>
  <si>
    <t>Tabulka výstražná 149x210 A5 dvoubarevná</t>
  </si>
  <si>
    <t>Osazení ochranných úhelníků (za každé zalití)</t>
  </si>
  <si>
    <t>67,8;m;*3;ks/m;</t>
  </si>
  <si>
    <t>Úhelník rovnoramenný L jakost 11375   50x 50x 4 mm</t>
  </si>
  <si>
    <t>67,8*0,00306</t>
  </si>
  <si>
    <t>;ztratné 8%; 0,0168</t>
  </si>
  <si>
    <t>Metalizace zinkem 100 mikrom. tř. I, v. do 1,9 m</t>
  </si>
  <si>
    <t>67,8*0,05*2</t>
  </si>
  <si>
    <t>Přesun hmot, budovy mont. jednopodl. s pláštěm</t>
  </si>
  <si>
    <t>Elektromontáže</t>
  </si>
  <si>
    <t>Montáž skříně se zabudovaným rozvaděčem na konstr. vč.dodávky</t>
  </si>
  <si>
    <t>Zásuvková skříň (1x400V/32A, 1x400V/16A, 2x230V/16A, proudový chránič)</t>
  </si>
  <si>
    <t>Připojení ovládací skříně pohonu světlíků</t>
  </si>
  <si>
    <t>Čidlo větru</t>
  </si>
  <si>
    <t>Čidlo deště</t>
  </si>
  <si>
    <t>Připojení motorových spotřebičů do 5 kW</t>
  </si>
  <si>
    <t>4   Připojení pohonu světlíku</t>
  </si>
  <si>
    <t>Spínač nástěnný jednopól.- řaz. 1, venkovní včetně dodávky spínače 3558-01750</t>
  </si>
  <si>
    <t>Spínač nástěnný křížový - řaz. 7, venkovní včetně dodávky spínače 3558-07750</t>
  </si>
  <si>
    <t>Spínač nástěnný seriový - řaz. 52, venkovní včetně dodávky spínače 3558-05750</t>
  </si>
  <si>
    <t>Ovladač pomocných obvodů-1 tlačítkový v Al skříni včetně dodávky T6 S1h červená CENTRAL STOP</t>
  </si>
  <si>
    <t>Zásuvka domovní v krabici - 2P+PE, venkovní</t>
  </si>
  <si>
    <t>Zásuvka průmyslová IP 44  3P+N+PE  16 A</t>
  </si>
  <si>
    <t>Zásuvka nástěnná IZG 1643 16 A 380 V horní přívod</t>
  </si>
  <si>
    <t>Svorkovnice ochranného pospojování v krabici vč.dodávky</t>
  </si>
  <si>
    <t>Rozvodka krabicová z lis. izol. 6455-11 do 4 mm2 včetně dodávky krabice 6455-11</t>
  </si>
  <si>
    <t>Vodič nn a vn CYA 4 mm2 uložený volně včetně dodávky vodiče CYA 4 (HO7V-K 4ZZ)</t>
  </si>
  <si>
    <t>Vodič nn a vn CYA 6 mm2 uložený volně včetně dodávky vodiče CYA 6</t>
  </si>
  <si>
    <t>Svorka na potrubí Bernard, včetně Cu pásku včetně dodávky svorky + Cu pásku</t>
  </si>
  <si>
    <t>Lišta elektroinstalační PVC š.do 40 mm,šroubováním</t>
  </si>
  <si>
    <t>Lišta vkládací z PVC délka 3 m  LV 40x40</t>
  </si>
  <si>
    <t>;ztratné 7%; 1,75</t>
  </si>
  <si>
    <t>Lišta elektroinstalační PVC š.do 80 mm,šroubováním</t>
  </si>
  <si>
    <t>Lišta vkládací z PVC délka 3 m  LV 70x40</t>
  </si>
  <si>
    <t>;ztratné 7%; 0,84</t>
  </si>
  <si>
    <t>Žlab kabelový s příslušenstvím, 125/50 mm s víkem</t>
  </si>
  <si>
    <t>MARS žlab kabelový NKZ 50X125, l=2 m 0,7 mm S</t>
  </si>
  <si>
    <t>67,5</t>
  </si>
  <si>
    <t>MARS víko žlabu V 125, l=2 m 0,6 mm S</t>
  </si>
  <si>
    <t>Žlab kabelový s přísluš., 250/50 mm s víkem</t>
  </si>
  <si>
    <t>MARS víko žlabu V 250, l=2 m 0,8 mm S</t>
  </si>
  <si>
    <t>MARS žlab kabelový NKZ 50X250, l=2 m 1,0 mm S</t>
  </si>
  <si>
    <t>Žlab kabelový Mars s přísluš., 62/50 mm bez víka včetně dodávky žlabu 50/50  PH-30R</t>
  </si>
  <si>
    <t>Trubka ochranná z PE, uložená volně, DN do 47 mm</t>
  </si>
  <si>
    <t>Trubka elektroinst. ohebná Super Monoflex 1240</t>
  </si>
  <si>
    <t>;ztratné 7%; 2,45</t>
  </si>
  <si>
    <t>Trubka ochranná z PE, uložená pevně, DN do 47 mm</t>
  </si>
  <si>
    <t>360</t>
  </si>
  <si>
    <t>Trubka elektroinstalační tuhá z PVC 4040</t>
  </si>
  <si>
    <t>;ztratné 7%; 25,2</t>
  </si>
  <si>
    <t>Trubka pancéřová z PH, uložená pevně, 29 mm včetně dodávky trubky PH 8029 + kolena PH 8229</t>
  </si>
  <si>
    <t>Konstrukce ocelová nosná pro zařízení do 10 kg včetně dodávky L 25x25x3</t>
  </si>
  <si>
    <t>Kabel CYKY-m 750 V 2 x 1,5 mm2 volně uložený včetně dodávky kabelu</t>
  </si>
  <si>
    <t>Kabel CYKY-m 750 V 3 x 1,5 mm2 volně uložený včetně dodávky kabelu</t>
  </si>
  <si>
    <t>65   3A</t>
  </si>
  <si>
    <t>1220   3C</t>
  </si>
  <si>
    <t>Kabel CYKY-m 750 V 3 x 2,5 mm2 volně uložený včetně dodávky kabelu</t>
  </si>
  <si>
    <t>Kabel CYKY-m 750 V 5 x 1,5 mm2 volně uložený včetně dodávky kabelu</t>
  </si>
  <si>
    <t>Kabel CYKY-m 750 V 5 x 2,5 mm2 volně uložený včetně dodávky kabelu</t>
  </si>
  <si>
    <t>Kabel CYKY-m 750 V 5 žil 4 až 16 mm, volně uložený včetně dodávky kabelu 5x4 mm2</t>
  </si>
  <si>
    <t>Kabel CYKY-m 750 V 4 x 10 mm2 pevně uložený včetně dodávky kabelu</t>
  </si>
  <si>
    <t>Kabel JYTY-Cu folie pevně uložený, 7x1 mm</t>
  </si>
  <si>
    <t>Kabel sdělovací s Cu jádrem JYTY 7 x 1 mm</t>
  </si>
  <si>
    <t>;ztratné 7%; 1,26</t>
  </si>
  <si>
    <t>Vodič COAF tepluvzdorný 2 x 1,5 mm2 volně uložený</t>
  </si>
  <si>
    <t>Kabel silový s Cu jádrem 1kV 1-CHKE-V  2x1,5mm2</t>
  </si>
  <si>
    <t>Vedení uzemňovací v zemi FeZn do 120 mm2 včetně pásku FeZn 30 x 4 mm</t>
  </si>
  <si>
    <t>Vedení uzemňovací na povrchu FeZn D 10 mm včetně drátu FeZn 10 mm</t>
  </si>
  <si>
    <t>Vedení uzemňovací na povrchu FeZn D 10 mm včetně dodávky FeZn 10mm + PV 23</t>
  </si>
  <si>
    <t>310</t>
  </si>
  <si>
    <t>Svorka hromosvodová do 2 šroubů včetně dodávky svorky SZ</t>
  </si>
  <si>
    <t>Svorka hromosvodová do 2 šroubů včetně dodávky svorky SS</t>
  </si>
  <si>
    <t>Svorka hromosvodová do 2 šroubů /SS, SZ, SO/ včetně dodávky svorky SO</t>
  </si>
  <si>
    <t>Svorka hromosvodová nad 2 šrouby /ST, SJ, atd/ včetně dodávky svorky SK</t>
  </si>
  <si>
    <t>Svorka hromosvodová nad 2 šrouby včetně dodávky svorky SP1</t>
  </si>
  <si>
    <t>Svorka hromosvodová nad 2 šrouby /ST, SJ, atd/ včetně dodávky svorky SR 02</t>
  </si>
  <si>
    <t>Svorka hromosvodová nad 2 šrouby včetně dodávky svorky SR 03</t>
  </si>
  <si>
    <t>Svorka hromosvodová nad 2 šrouby /ST, SJ, atd/ včetně dodávky svorky SJ 01</t>
  </si>
  <si>
    <t>Tyč jímací s upev. na stř.hřeben do 3 m, na konstr</t>
  </si>
  <si>
    <t>Tyč jímací JR 1,5 1500 mm bez osazení</t>
  </si>
  <si>
    <t>Úhelník ochranný nebo trubka s držáky do zdiva včetně ochran.úhelníku + 2 držáky do zdi</t>
  </si>
  <si>
    <t>Podpěra jímací tyče PJT15a FeZn</t>
  </si>
  <si>
    <t>Označení svodu štítky, smaltované, umělá hmota</t>
  </si>
  <si>
    <t>Ukončení celoplast. kabelů zákl./pás.do 5x10 mm2</t>
  </si>
  <si>
    <t>Ukončení vodičů v rozvaděči + zapojení do 16 mm2</t>
  </si>
  <si>
    <t>Změření zemního odporu, vč. měřicího protokolu</t>
  </si>
  <si>
    <t>Hzs-revize provoz.souboru a st.obj.</t>
  </si>
  <si>
    <t>Svítidlo zářivkové 3310760 2x65 W prům.stropní</t>
  </si>
  <si>
    <t>113+41</t>
  </si>
  <si>
    <t>Svítidlo stropní ORAVA LED -258-2x58W</t>
  </si>
  <si>
    <t>Svítidlo stropní ORAVA LED -258-2x58W s inverterem</t>
  </si>
  <si>
    <t>Svítidlo žárovkové 2132001, 25+25 W, nouzové</t>
  </si>
  <si>
    <t>Svítidlo nouzové FENIX LED</t>
  </si>
  <si>
    <t>Svítidlo žárovkové 2132002,25+25W,nouz.,zel.pruh</t>
  </si>
  <si>
    <t>Svítidlo nouzové FENIX LED EXIT</t>
  </si>
  <si>
    <t>Reflektor Halospot 50 W</t>
  </si>
  <si>
    <t>Svítidlo venkovní MERANO světlomet asym.  70w</t>
  </si>
  <si>
    <t>Svítidlo zářivkové 2330302  20 W nástěnné</t>
  </si>
  <si>
    <t>Svítidlo pro nároč.prostředí vestavné INCAST 27LED</t>
  </si>
  <si>
    <t>Ucpávka protipožární, průchod stěnou, tl. 30 cm</t>
  </si>
  <si>
    <t>Přirážka za podružný materiál  M 21, M 22</t>
  </si>
  <si>
    <t>Přirážka za prořez kabelů</t>
  </si>
  <si>
    <t>Zednické výpomoci M 21 podle čl.13-5c</t>
  </si>
  <si>
    <t>Montáže dopravních zařízení a vah</t>
  </si>
  <si>
    <t>Skladová technologie 1.etapa dle samostatné nabídky</t>
  </si>
  <si>
    <t>Montáže ocelových konstrukcí</t>
  </si>
  <si>
    <t>Dodávka a montáž OK dle samostatného rozpočtu</t>
  </si>
  <si>
    <t>Dešťová kanalizace</t>
  </si>
  <si>
    <t>Hloubení rýh š.do 200 cm hor.2 do 1000 m3,STROJNĚ rýha společná pro všechna souběžná vedení</t>
  </si>
  <si>
    <t>(75+164,6)*0,8*1,25</t>
  </si>
  <si>
    <t>Lože pod potrubí z kameniva těženého 0 - 4 mm</t>
  </si>
  <si>
    <t>(75+164,6)*0,8*0,1</t>
  </si>
  <si>
    <t>(75+164,6)*0,8*0,85</t>
  </si>
  <si>
    <t>Obsyp potrubí bez prohození sypaniny Včetně dodávky kameniva.</t>
  </si>
  <si>
    <t>(75+164,6)*0,8*0,3</t>
  </si>
  <si>
    <t>239,6-162,93</t>
  </si>
  <si>
    <t>Vnitřní kanalizace</t>
  </si>
  <si>
    <t>Lapač střešních splavenin PP HL600 D 110 mm, kloub zápachová klapka, koš na listí</t>
  </si>
  <si>
    <t>Potrubí z trub plastických, skleněných a čedičových</t>
  </si>
  <si>
    <t>Montáž trub z tvrdého PVC, gumový kroužek, DN 150 včetně dodávky trub PVC hrdlových 160x4,0x5000</t>
  </si>
  <si>
    <t>45   větev 1</t>
  </si>
  <si>
    <t>30   přepad</t>
  </si>
  <si>
    <t>Montáž trub z plastu, gumový kroužek, DN 300</t>
  </si>
  <si>
    <t>28,4+136,2</t>
  </si>
  <si>
    <t>Trubka kanalizační KGEM SN 4 PVC 250x6,2x5000</t>
  </si>
  <si>
    <t>;ztratné 9,3%; 3,069</t>
  </si>
  <si>
    <t>Ostatní konstrukce a práce na trubním vedení</t>
  </si>
  <si>
    <t>Šachta z betonových dílců pro DN 300</t>
  </si>
  <si>
    <t>Přesun hmot, trubní vedení plastová, otevř. výkop</t>
  </si>
  <si>
    <t>Vnější rozvod elektro</t>
  </si>
  <si>
    <t>Pilíř polypropylenový PPSR 4 bez základu</t>
  </si>
  <si>
    <t>Skříně rozpojovací jistící kompaktní pilíř SR400/NKV1</t>
  </si>
  <si>
    <t>Osazení plastových rozvodnic SS do výklenku</t>
  </si>
  <si>
    <t>Rozvodnice elektroměrové RE 2</t>
  </si>
  <si>
    <t>Trubka ocelová závitová uložená pevně, 42 mm</t>
  </si>
  <si>
    <t>Trubka elektro.ocelová závitová 6042 závit d 42 mm</t>
  </si>
  <si>
    <t>;ztratné 9,3%; 0,465</t>
  </si>
  <si>
    <t>Koleno ocel.závitové pro inst.trubky 6142 r 400 mm</t>
  </si>
  <si>
    <t>Trubka ochranná z PE, uložená pevně, DN do 100 mm</t>
  </si>
  <si>
    <t>Trubka kabelová chránička KOPOFLEX KF 09090</t>
  </si>
  <si>
    <t>;ztratné 7%; 3,15</t>
  </si>
  <si>
    <t>Konstrukce ocelová nosná pro zařízení do 5 kg včetně dodávky L 45/45/5</t>
  </si>
  <si>
    <t>Kabel CYKY-m 750 V 5 x 2,5 mm2 pevně uložený</t>
  </si>
  <si>
    <t>Kabel silový s Cu jádrem 750 V CYKY 5 x 2,5 mm2</t>
  </si>
  <si>
    <t>;ztratné 7%; 8,75</t>
  </si>
  <si>
    <t>Kabel CYKY-m 750 V 5 žil 4 až 16 mm pevně uložený včetně dodávky kabelu 5x4 mm2</t>
  </si>
  <si>
    <t>Kabel silový CYKYDV 1 kV 4 x 25 mm2 volně ulož.</t>
  </si>
  <si>
    <t>Kabel silový s Cu jádrem 1 kV 1-CYKYDY 4 x 25 mm2</t>
  </si>
  <si>
    <t>;ztratné 7%; 2,8</t>
  </si>
  <si>
    <t>Kabel silový AYKY 1kV 4 x 50 mm2 volně uložený včetně dodávky kabelu AYKY 4bx50</t>
  </si>
  <si>
    <t>Ukončení vodičů v rozvaděči + zapojení do 50 mm2</t>
  </si>
  <si>
    <t>Hzs-revize provoz.souboru a st.obj. Uprava stavajiciho rozvadece</t>
  </si>
  <si>
    <t>Hzs-revize provoz.souboru a st.obj. Revize</t>
  </si>
  <si>
    <t>Zemní práce při montážích</t>
  </si>
  <si>
    <t>Vytýčení kabelové trasy v zastavěném prostoru délka trasy do 500 m</t>
  </si>
  <si>
    <t>0,115+0,039</t>
  </si>
  <si>
    <t>Výkop kabelové rýhy 65/70 cm  hor.4 strojní výkop rýhy</t>
  </si>
  <si>
    <t>Výkop kabelové rýhy 65/100 cm hor.4 strojní výkop rýhy</t>
  </si>
  <si>
    <t>Zřízení kab.lože v rýze do 65 cm z písku lože tloušťky 10 cm</t>
  </si>
  <si>
    <t>115+39</t>
  </si>
  <si>
    <t>Fólie výstražná z PVC, šířka 33 cm fólie PVC šířka 33 cm</t>
  </si>
  <si>
    <t>Zához rýhy 65/70 cm, hornina třídy 4</t>
  </si>
  <si>
    <t>Zához rýhy 65/100 cm, hornina třídy 4</t>
  </si>
  <si>
    <t>Požární nádrž</t>
  </si>
  <si>
    <t>Hloubení nezapaž. jam hor.2 do 1000 m3, STROJNĚ</t>
  </si>
  <si>
    <t>11,2*8*3,5</t>
  </si>
  <si>
    <t>Obsyp objektu bez prohození sypaniny</t>
  </si>
  <si>
    <t>313,6-(22,9*3,6)+12,5*9,6*0,15</t>
  </si>
  <si>
    <t>313,6-249,16</t>
  </si>
  <si>
    <t>Podkladní a vedlejší konstrukce (kromě vozovek a železničního svršku)</t>
  </si>
  <si>
    <t>Podkladní vrstva z betonu prostého C 25/30 do 10cm</t>
  </si>
  <si>
    <t>36,2*3,6*0,1</t>
  </si>
  <si>
    <t>Armatura s 1závitem - sací koš SK 321, G 6/4</t>
  </si>
  <si>
    <t>Potrubí z trub.závit.pozink.svařovan. 11343,DN 65</t>
  </si>
  <si>
    <t>5+3,5</t>
  </si>
  <si>
    <t>Přesun hmot pro vnitřní vodovod, výšky do 6 m</t>
  </si>
  <si>
    <t>Strojní vybavení</t>
  </si>
  <si>
    <t>Montáž čerpadel stroj.ponorných do 40 l, bez potr.</t>
  </si>
  <si>
    <t>Čerpadlo vodárenské Amarex N F 50-220/042 ULG160 komplet pro požární nádrž</t>
  </si>
  <si>
    <t>Přesun hmot pro strojní vybavení, výšky do 6 m</t>
  </si>
  <si>
    <t>Montáž trubek polyetylenových ve výkopu d 75 mm</t>
  </si>
  <si>
    <t>;ztratné 9,3%; 10,23</t>
  </si>
  <si>
    <t>Přirážka za 1 spoj elektrotvarovky d 75 mm</t>
  </si>
  <si>
    <t>Koleno 45° elektrosvařovací ELGEF Plus d  63 mm</t>
  </si>
  <si>
    <t>Koleno 90° elektrosvařovací ELGEF Plus d 63 mm</t>
  </si>
  <si>
    <t>Jímka dešťová</t>
  </si>
  <si>
    <t>Desinfekce vodovodního potrubí DN 70</t>
  </si>
  <si>
    <t>Tlaková zkouška vodovodního potrubí DN 80</t>
  </si>
  <si>
    <t>Fólie výstražná z PVC, šířka 30 cm</t>
  </si>
  <si>
    <t>Osazení sloupků plot.ocelových do 2 m,zabet.C25/30</t>
  </si>
  <si>
    <t>Sloupek plotový průběžný zákl náť 2500/38x1,5 mm</t>
  </si>
  <si>
    <t>Orientační tabulky na sloupku ocelovém, betonovém</t>
  </si>
  <si>
    <t>Tabulka výstražná smaltovaná 297x210 A4</t>
  </si>
  <si>
    <t>Montáže elektropohonů a dieslagregátů</t>
  </si>
  <si>
    <t>Mtz  altern  s motorem  Motorgenerátor KJ-Power</t>
  </si>
  <si>
    <t>Hladinový snímač MAVE</t>
  </si>
  <si>
    <t>Komunikace a ZP</t>
  </si>
  <si>
    <t>Úprava pozemku s rozpoj. a přehrn. hor.1,2 do 60 m</t>
  </si>
  <si>
    <t>288*0,25</t>
  </si>
  <si>
    <t>346*0,25</t>
  </si>
  <si>
    <t>288+346</t>
  </si>
  <si>
    <t>288   komunikace štěrková</t>
  </si>
  <si>
    <t>Podklad z kam.drceného 32-63 s výplň.kamen. 20 cm</t>
  </si>
  <si>
    <t>346</t>
  </si>
  <si>
    <t>Podklad z asf.recyklátu fr. 0-32 po zhutn.tl.15 cm</t>
  </si>
  <si>
    <t>Zpevnění ploch štěrkopísk.stab. cem. CEM II/B-S 3</t>
  </si>
  <si>
    <t>346*0,15</t>
  </si>
  <si>
    <t>Podklad z obal kamen.ACP 22+, š.nad 3 m, tl. 10 cm</t>
  </si>
  <si>
    <t>Kryty štěrkových a živičných pozemních komunikací a zpevněných ploch</t>
  </si>
  <si>
    <t>Nátěr infiltrační kationaktivní emulzí 1kg/m2</t>
  </si>
  <si>
    <t>346*2</t>
  </si>
  <si>
    <t>Beton asfalt. ACO 11 S modifik. š.nad 3 m, tl.6 cm</t>
  </si>
  <si>
    <t>Koberec asfalt.mastix SMA 16 S (AKMH) nad 3 m,4 cm</t>
  </si>
  <si>
    <t>40,58+10</t>
  </si>
  <si>
    <t>Osazení vodícího proužku do MC,podkl.C12/15, 25 cm</t>
  </si>
  <si>
    <t>12,75+9</t>
  </si>
  <si>
    <t>Přídlažba silniční vysoká  ABK 50/25/10 bílá</t>
  </si>
  <si>
    <t>21,75*4</t>
  </si>
  <si>
    <t>;ztratné 1%; 0,87</t>
  </si>
  <si>
    <t>Vodor.značení dělicích čar 12 cm plastem,zvučící</t>
  </si>
  <si>
    <t>11,95*3   naváděcí pruhy</t>
  </si>
  <si>
    <t>Přesun hmot, pozemní komunikace, kryt živičný</t>
  </si>
  <si>
    <t>KTÚ</t>
  </si>
  <si>
    <t>Rozprostření zemin v rov./sklonu 1:5, tl. do 15 cm</t>
  </si>
  <si>
    <t>2018</t>
  </si>
  <si>
    <t>Úprava pláně v násypech v hor. 1-4, bez zhutnění</t>
  </si>
  <si>
    <t>Plošná úprava terénu, nerovnosti do 15 cm svah 1:2</t>
  </si>
  <si>
    <t>Rozprostření ornice v rovině tloušťka 15 cm dovoz ornice ze vzdálenosti 1km, osetí trávou</t>
  </si>
  <si>
    <t>Chem. odplevelení před založ. postřikem, svah 1:1</t>
  </si>
  <si>
    <t>ROUNDUP KLASIK herbicid totální po 20 litrech</t>
  </si>
  <si>
    <t>2018/140</t>
  </si>
  <si>
    <t>Výsadba obalených sazenic, sklon do 1:1,5 zem. 4</t>
  </si>
  <si>
    <t>Jalovec - Juniperus sabina Glauca  40-60 cm</t>
  </si>
  <si>
    <t>Přeložka odkal.potrubí</t>
  </si>
  <si>
    <t>112,7*0,8*1,4</t>
  </si>
  <si>
    <t>112,7*0,8*0,1</t>
  </si>
  <si>
    <t>112,7*0,8*1</t>
  </si>
  <si>
    <t>112,7*0,8*0,3</t>
  </si>
  <si>
    <t>126,22-90,16</t>
  </si>
  <si>
    <t>Potrubí z trub litinových</t>
  </si>
  <si>
    <t>Montáž potrubí litinového,jištěný spoj BRS, DN 300</t>
  </si>
  <si>
    <t>Trouba kanal.lit. Duktus DN300mm spoj BRS</t>
  </si>
  <si>
    <t>Šachta z betonových dílců pro DN 300 výška vstupu 1,6 m</t>
  </si>
  <si>
    <t>Napojení do stávající šachty - průraz, montáž, začištění</t>
  </si>
  <si>
    <t>Přesun hmot, trubní vedení litinové, otevř. výkop</t>
  </si>
  <si>
    <t>Doba výstavby:</t>
  </si>
  <si>
    <t>Začátek výstavby:</t>
  </si>
  <si>
    <t>Konec výstavby:</t>
  </si>
  <si>
    <t>Zpracováno dne:</t>
  </si>
  <si>
    <t>M.j.</t>
  </si>
  <si>
    <t>m2</t>
  </si>
  <si>
    <t>m3</t>
  </si>
  <si>
    <t>m</t>
  </si>
  <si>
    <t>t</t>
  </si>
  <si>
    <t>m DVČ</t>
  </si>
  <si>
    <t>kus</t>
  </si>
  <si>
    <t>kg</t>
  </si>
  <si>
    <t>h</t>
  </si>
  <si>
    <t>%</t>
  </si>
  <si>
    <t>soubor</t>
  </si>
  <si>
    <t>hod</t>
  </si>
  <si>
    <t>km</t>
  </si>
  <si>
    <t>m3 OP</t>
  </si>
  <si>
    <t>l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</si>
  <si>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</si>
  <si>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</si>
  <si>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</si>
  <si>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</si>
  <si>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</si>
  <si>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</si>
  <si>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</si>
  <si>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</si>
  <si>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</si>
  <si>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</si>
  <si>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</si>
  <si>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Panlux s.r.o., Kladruby 108, Teplice</t>
  </si>
  <si>
    <t>Harpro František Harmach</t>
  </si>
  <si>
    <t>Dle výběru investora</t>
  </si>
  <si>
    <t>František Polan</t>
  </si>
  <si>
    <t>Celkem</t>
  </si>
  <si>
    <t>Hmotnost (t)</t>
  </si>
  <si>
    <t>Cenová</t>
  </si>
  <si>
    <t>soustava</t>
  </si>
  <si>
    <t>RTS II / 2015</t>
  </si>
  <si>
    <t>RTS I / 2014</t>
  </si>
  <si>
    <t>RTS II / 2014</t>
  </si>
  <si>
    <t>RTS I / 2015</t>
  </si>
  <si>
    <t>0</t>
  </si>
  <si>
    <t>Přesuny</t>
  </si>
  <si>
    <t>Typ skupiny</t>
  </si>
  <si>
    <t>HS</t>
  </si>
  <si>
    <t>PS</t>
  </si>
  <si>
    <t>MP</t>
  </si>
  <si>
    <t>HSV mat</t>
  </si>
  <si>
    <t>HSV prac</t>
  </si>
  <si>
    <t>PSV mat</t>
  </si>
  <si>
    <t>PSV prac</t>
  </si>
  <si>
    <t>Mont mat</t>
  </si>
  <si>
    <t>Mont prac</t>
  </si>
  <si>
    <t>Ostatní mat.</t>
  </si>
  <si>
    <t>1_</t>
  </si>
  <si>
    <t>11_</t>
  </si>
  <si>
    <t>21_</t>
  </si>
  <si>
    <t>18_</t>
  </si>
  <si>
    <t>22_</t>
  </si>
  <si>
    <t>26_</t>
  </si>
  <si>
    <t>27_</t>
  </si>
  <si>
    <t>32_</t>
  </si>
  <si>
    <t>43_</t>
  </si>
  <si>
    <t>56_</t>
  </si>
  <si>
    <t>63_</t>
  </si>
  <si>
    <t>711_</t>
  </si>
  <si>
    <t>722_</t>
  </si>
  <si>
    <t>91_</t>
  </si>
  <si>
    <t>95_</t>
  </si>
  <si>
    <t>M21_</t>
  </si>
  <si>
    <t>M33_</t>
  </si>
  <si>
    <t>M43_</t>
  </si>
  <si>
    <t>721_</t>
  </si>
  <si>
    <t>87_</t>
  </si>
  <si>
    <t>89_</t>
  </si>
  <si>
    <t>M46_</t>
  </si>
  <si>
    <t>45_</t>
  </si>
  <si>
    <t>724_</t>
  </si>
  <si>
    <t>M32_</t>
  </si>
  <si>
    <t>57_</t>
  </si>
  <si>
    <t>85_</t>
  </si>
  <si>
    <t>2_</t>
  </si>
  <si>
    <t>3_</t>
  </si>
  <si>
    <t>4_</t>
  </si>
  <si>
    <t>5_</t>
  </si>
  <si>
    <t>6_</t>
  </si>
  <si>
    <t>71_</t>
  </si>
  <si>
    <t>72_</t>
  </si>
  <si>
    <t>9_</t>
  </si>
  <si>
    <t>8_</t>
  </si>
  <si>
    <t>SO100-1_</t>
  </si>
  <si>
    <t>SO101-1_</t>
  </si>
  <si>
    <t>SO102-1_</t>
  </si>
  <si>
    <t>SO103_</t>
  </si>
  <si>
    <t>SO104_</t>
  </si>
  <si>
    <t>SO105_</t>
  </si>
  <si>
    <t>SO106_</t>
  </si>
  <si>
    <t>SO107_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</si>
  <si>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</si>
  <si>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</si>
  <si>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</si>
  <si>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</si>
  <si>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</si>
  <si>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</si>
  <si>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</si>
  <si>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</si>
  <si>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</si>
  <si>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</si>
  <si>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</si>
  <si>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</si>
  <si>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</si>
  <si>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</si>
  <si>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</si>
  <si>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</si>
  <si>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</si>
  <si>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</si>
  <si>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</si>
  <si>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</si>
  <si>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</si>
  <si>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</si>
  <si>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</si>
  <si>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</si>
  <si>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</si>
  <si>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</si>
  <si>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</si>
  <si>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</si>
  <si>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</si>
  <si>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</si>
  <si>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</si>
  <si>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</si>
  <si>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</si>
  <si>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</si>
  <si>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</si>
  <si>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</si>
  <si>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</si>
  <si>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</si>
  <si>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</si>
  <si>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</si>
  <si>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</si>
  <si>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</si>
  <si>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</si>
  <si>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</si>
  <si>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</si>
  <si>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</si>
  <si>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</si>
  <si>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</si>
  <si>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</si>
  <si>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</si>
  <si>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</si>
  <si>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</si>
  <si>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</si>
  <si>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</si>
  <si>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</si>
  <si>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Základna</t>
  </si>
  <si>
    <t>Objekty celkem</t>
  </si>
  <si>
    <t xml:space="preserve">ROZPOČET  </t>
  </si>
  <si>
    <t>Stavba:   Revitalizace areálu firmy Panlux Výrobní a skladovací hala 1. etapa</t>
  </si>
  <si>
    <t>Objekt:   SO 101-1 - Skladová hala 1.etapa</t>
  </si>
  <si>
    <t>Objednatel:   PANLUX s.r.o.</t>
  </si>
  <si>
    <t>Zpracoval:   Ing. Harmach</t>
  </si>
  <si>
    <t xml:space="preserve">Zhotovitel:   </t>
  </si>
  <si>
    <t>Datum:         26.8.2015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</si>
  <si>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</si>
  <si>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</si>
  <si>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</si>
  <si>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</si>
  <si>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</si>
  <si>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</si>
  <si>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</si>
  <si>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43-M</t>
  </si>
  <si>
    <t>Montáž ocelových konstrukcí</t>
  </si>
  <si>
    <t>43-M-R001</t>
  </si>
  <si>
    <t>Dodávka a montáž primární ocelové konstrukce splňující R30 min.</t>
  </si>
  <si>
    <t>43-M-R001A</t>
  </si>
  <si>
    <t>Dodávka a montáž nátěru OK tl. 160 micronů</t>
  </si>
  <si>
    <t>43-M-R002</t>
  </si>
  <si>
    <t>Montáž sekundární ocelové konstrukce METSEC spňující požadavek R15 min.</t>
  </si>
  <si>
    <t>43-M-R003</t>
  </si>
  <si>
    <t>Dodávka a montáž střešních PUR panelů tl. 100 mm vč. spojovacího materiálu</t>
  </si>
  <si>
    <t>43-M-R004</t>
  </si>
  <si>
    <t>Dodávka a montáž lemování střešního pláště</t>
  </si>
  <si>
    <t>43-M-R005</t>
  </si>
  <si>
    <t>Dodávka a montáž stěnového PUR panelů s MV tl. 100 mm vč. spojovacího materiálu</t>
  </si>
  <si>
    <t>Dodávka a montáž lemování stěnového pláště</t>
  </si>
  <si>
    <t>43-M-R006</t>
  </si>
  <si>
    <t>Příplatek za nadstandartní barvu RAL</t>
  </si>
  <si>
    <t>43-M-R007</t>
  </si>
  <si>
    <t>Dodávka a montáž kotvení OK vč. chemie HIT-HY 200 MAX</t>
  </si>
  <si>
    <t>kpl</t>
  </si>
  <si>
    <t>43-M-R008</t>
  </si>
  <si>
    <t>Dodávka a montáž podlytí OK (SIKA GROUT 314, nebo cemt. maltou s min.pevností C30)</t>
  </si>
  <si>
    <t>43-M-R009</t>
  </si>
  <si>
    <t>Dodávka a montáž primární ocelové konstrukce - expediční přístřešek</t>
  </si>
  <si>
    <t>43-M-R010</t>
  </si>
  <si>
    <t>Dodávka a montáž nosného trapézového plechu TR150/260/1 mm - expediční přístřešek</t>
  </si>
  <si>
    <t>43-M-R010A</t>
  </si>
  <si>
    <t>Dodávka a montáž atikových panelů z PUR panelů tl. 100 mm - expediční přístřešek</t>
  </si>
  <si>
    <t>43-M-R011</t>
  </si>
  <si>
    <t>Dodávka a montáž fóliového systému vč. EPS tl. 160 mm, fólie mPVC tl. 1,5 mm - expediční přístřešek</t>
  </si>
  <si>
    <t>43-M-R012</t>
  </si>
  <si>
    <t>Dodávka a montáž opláštění expedičního přístřešku polykarbonátem</t>
  </si>
  <si>
    <t>43-M-R013</t>
  </si>
  <si>
    <t>Dodávka a montáž okapového systému hala</t>
  </si>
  <si>
    <t>43-M-R014</t>
  </si>
  <si>
    <t>Dodávka a montáž okapového systému - EXPEDICE</t>
  </si>
  <si>
    <t>ks</t>
  </si>
  <si>
    <t>43-M-R013B</t>
  </si>
  <si>
    <t>Dodávka a montáž vnitřního žlabu</t>
  </si>
  <si>
    <t>Dodávka a montáž požárního žebříku se suchovodem</t>
  </si>
  <si>
    <t>43-M-R015</t>
  </si>
  <si>
    <t>Dodávka a montáž sekčních vrat 3000x3500 mm el. pohonem, ovláání trojtlačítkem, odblokování v případě výpadku rl.energ. požární odolnost EW30 DP1</t>
  </si>
  <si>
    <t>43-M-R016</t>
  </si>
  <si>
    <t>Dodávka a montáž vstupních dveří 800x2100 mm, požární odolnost EW30 DP1</t>
  </si>
  <si>
    <t>43-M-R017</t>
  </si>
  <si>
    <t>Dodávka a montáž prosvětlení stěn haly z polykarbonátu tl. 16 mm</t>
  </si>
  <si>
    <t>43-M-R017A</t>
  </si>
  <si>
    <t>Dodávka a montáž lemování polykarbonátu</t>
  </si>
  <si>
    <t>43-M-R018</t>
  </si>
  <si>
    <t>Dodávka a montáž protipožární rolety EW30 DP1-C 3000x3500 mm</t>
  </si>
  <si>
    <t>43-M-R019</t>
  </si>
  <si>
    <t>Dodávka a montáž hydraulicky vyrovnávacích můstků 2500x2000 mm s nosností 6t, zdvih 300 mm</t>
  </si>
  <si>
    <t>43-M-R020</t>
  </si>
  <si>
    <t>Dodávka a montáž hřebenového světlíku MCR PROLIGHT se samonosnou obrubou 2,4x30,0m z polykarbonátu tl. 16 mm v opálové barvě s 5ks větracích klap o rozměru 1,0x2,0m, zdvih 0,3m  vč. centrály pořasí a ovl. tlačítek</t>
  </si>
  <si>
    <t>43-M-R021</t>
  </si>
  <si>
    <t>Dodávka a montáž lemování světlíků</t>
  </si>
  <si>
    <t>43-M-R022</t>
  </si>
  <si>
    <t>Dodávka a montáž zateplení světlíku z MV tl. 100 mm</t>
  </si>
  <si>
    <t>43-M-R024</t>
  </si>
  <si>
    <t>Dodávka a montáž dešťové žaluzie z PoZn plechu povrchová úprava RAL, 500/300 mm</t>
  </si>
  <si>
    <t>Objekt:Skladová technologie</t>
  </si>
  <si>
    <t>O01</t>
  </si>
  <si>
    <t>R001</t>
  </si>
  <si>
    <t>Dodávka technologie kolejnice 93/18 ES, 14 ks kolejových drah</t>
  </si>
  <si>
    <t>R002</t>
  </si>
  <si>
    <t>Montáž technologie</t>
  </si>
  <si>
    <t>R003</t>
  </si>
  <si>
    <t>Doprava materiálu na stavbu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</si>
</sst>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;\-#,##0"/>
    <numFmt numFmtId="167" formatCode="#,##0.000;\-#,##0.000"/>
    <numFmt numFmtId="168" formatCode="#,##0.00;\-#,##0.00"/>
    <numFmt numFmtId="169" formatCode="#,##0.00_ ;\-#,##0.00\ "/>
  </numFmts>
  <fonts count="52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54"/>
      <name val="Arial"/>
      <family val="0"/>
    </font>
    <font>
      <b/>
      <sz val="8"/>
      <color indexed="54"/>
      <name val="Arial"/>
      <family val="0"/>
    </font>
    <font>
      <sz val="8"/>
      <color indexed="56"/>
      <name val="Arial"/>
      <family val="0"/>
    </font>
    <font>
      <b/>
      <sz val="8"/>
      <color indexed="56"/>
      <name val="Arial"/>
      <family val="0"/>
    </font>
    <font>
      <sz val="8"/>
      <color indexed="61"/>
      <name val="Arial"/>
      <family val="0"/>
    </font>
    <font>
      <i/>
      <sz val="8"/>
      <color indexed="63"/>
      <name val="Arial"/>
      <family val="0"/>
    </font>
    <font>
      <sz val="8"/>
      <color indexed="62"/>
      <name val="Arial"/>
      <family val="0"/>
    </font>
    <font>
      <i/>
      <sz val="8"/>
      <color indexed="60"/>
      <name val="Arial"/>
      <family val="0"/>
    </font>
    <font>
      <b/>
      <sz val="22"/>
      <color indexed="8"/>
      <name val="Desyre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8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sz val="8"/>
      <name val="Arial CYR"/>
      <family val="0"/>
    </font>
    <font>
      <b/>
      <sz val="8"/>
      <name val="MS Sans Serif"/>
      <family val="2"/>
    </font>
    <font>
      <b/>
      <u val="single"/>
      <sz val="8"/>
      <color indexed="10"/>
      <name val="Arial CE"/>
      <family val="2"/>
    </font>
    <font>
      <b/>
      <u val="single"/>
      <sz val="9"/>
      <color indexed="10"/>
      <name val="Arial CE"/>
      <family val="2"/>
    </font>
    <font>
      <sz val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29" fillId="14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0" borderId="0" applyAlignment="0">
      <protection locked="0"/>
    </xf>
    <xf numFmtId="0" fontId="35" fillId="0" borderId="0" applyAlignment="0">
      <protection locked="0"/>
    </xf>
    <xf numFmtId="0" fontId="35" fillId="5" borderId="6" applyNumberFormat="0" applyFont="0" applyAlignment="0" applyProtection="0"/>
    <xf numFmtId="43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" borderId="8" applyNumberFormat="0" applyAlignment="0" applyProtection="0"/>
    <xf numFmtId="0" fontId="40" fillId="9" borderId="8" applyNumberFormat="0" applyAlignment="0" applyProtection="0"/>
    <xf numFmtId="0" fontId="41" fillId="9" borderId="9" applyNumberFormat="0" applyAlignment="0" applyProtection="0"/>
    <xf numFmtId="0" fontId="42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</cellStyleXfs>
  <cellXfs count="261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7" fillId="18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18" borderId="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9" fillId="19" borderId="21" xfId="0" applyNumberFormat="1" applyFont="1" applyFill="1" applyBorder="1" applyAlignment="1" applyProtection="1">
      <alignment horizontal="center" vertical="center"/>
      <protection/>
    </xf>
    <xf numFmtId="49" fontId="10" fillId="0" borderId="22" xfId="0" applyNumberFormat="1" applyFont="1" applyFill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9" fontId="1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" fontId="11" fillId="0" borderId="21" xfId="0" applyNumberFormat="1" applyFont="1" applyFill="1" applyBorder="1" applyAlignment="1" applyProtection="1">
      <alignment horizontal="right" vertical="center"/>
      <protection/>
    </xf>
    <xf numFmtId="49" fontId="11" fillId="0" borderId="21" xfId="0" applyNumberFormat="1" applyFont="1" applyFill="1" applyBorder="1" applyAlignment="1" applyProtection="1">
      <alignment horizontal="right" vertical="center"/>
      <protection/>
    </xf>
    <xf numFmtId="4" fontId="1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0" fillId="19" borderId="29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3" fillId="0" borderId="20" xfId="0" applyNumberFormat="1" applyFont="1" applyFill="1" applyBorder="1" applyAlignment="1" applyProtection="1">
      <alignment horizontal="right" vertical="center"/>
      <protection/>
    </xf>
    <xf numFmtId="4" fontId="1" fillId="0" borderId="21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right" vertical="center"/>
      <protection/>
    </xf>
    <xf numFmtId="4" fontId="3" fillId="0" borderId="32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14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49" fontId="12" fillId="0" borderId="44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49" fontId="11" fillId="0" borderId="44" xfId="0" applyNumberFormat="1" applyFont="1" applyFill="1" applyBorder="1" applyAlignment="1" applyProtection="1">
      <alignment horizontal="left" vertical="center"/>
      <protection/>
    </xf>
    <xf numFmtId="0" fontId="11" fillId="0" borderId="29" xfId="0" applyNumberFormat="1" applyFont="1" applyFill="1" applyBorder="1" applyAlignment="1" applyProtection="1">
      <alignment horizontal="left" vertical="center"/>
      <protection/>
    </xf>
    <xf numFmtId="49" fontId="10" fillId="0" borderId="44" xfId="0" applyNumberFormat="1" applyFont="1" applyFill="1" applyBorder="1" applyAlignment="1" applyProtection="1">
      <alignment horizontal="left" vertical="center"/>
      <protection/>
    </xf>
    <xf numFmtId="0" fontId="10" fillId="0" borderId="29" xfId="0" applyNumberFormat="1" applyFont="1" applyFill="1" applyBorder="1" applyAlignment="1" applyProtection="1">
      <alignment horizontal="left" vertical="center"/>
      <protection/>
    </xf>
    <xf numFmtId="49" fontId="10" fillId="19" borderId="44" xfId="0" applyNumberFormat="1" applyFont="1" applyFill="1" applyBorder="1" applyAlignment="1" applyProtection="1">
      <alignment horizontal="left" vertical="center"/>
      <protection/>
    </xf>
    <xf numFmtId="0" fontId="10" fillId="19" borderId="43" xfId="0" applyNumberFormat="1" applyFont="1" applyFill="1" applyBorder="1" applyAlignment="1" applyProtection="1">
      <alignment horizontal="left" vertical="center"/>
      <protection/>
    </xf>
    <xf numFmtId="49" fontId="11" fillId="0" borderId="45" xfId="0" applyNumberFormat="1" applyFont="1" applyFill="1" applyBorder="1" applyAlignment="1" applyProtection="1">
      <alignment horizontal="left" vertical="center"/>
      <protection/>
    </xf>
    <xf numFmtId="0" fontId="11" fillId="0" borderId="18" xfId="0" applyNumberFormat="1" applyFont="1" applyFill="1" applyBorder="1" applyAlignment="1" applyProtection="1">
      <alignment horizontal="left" vertical="center"/>
      <protection/>
    </xf>
    <xf numFmtId="0" fontId="11" fillId="0" borderId="40" xfId="0" applyNumberFormat="1" applyFont="1" applyFill="1" applyBorder="1" applyAlignment="1" applyProtection="1">
      <alignment horizontal="left" vertical="center"/>
      <protection/>
    </xf>
    <xf numFmtId="49" fontId="11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46" xfId="0" applyNumberFormat="1" applyFont="1" applyFill="1" applyBorder="1" applyAlignment="1" applyProtection="1">
      <alignment horizontal="left" vertical="center"/>
      <protection/>
    </xf>
    <xf numFmtId="49" fontId="11" fillId="0" borderId="47" xfId="0" applyNumberFormat="1" applyFont="1" applyFill="1" applyBorder="1" applyAlignment="1" applyProtection="1">
      <alignment horizontal="left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1" fillId="0" borderId="41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31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3" fillId="0" borderId="5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51" xfId="0" applyNumberFormat="1" applyFont="1" applyFill="1" applyBorder="1" applyAlignment="1" applyProtection="1">
      <alignment horizontal="left" vertical="center"/>
      <protection/>
    </xf>
    <xf numFmtId="49" fontId="10" fillId="0" borderId="50" xfId="0" applyNumberFormat="1" applyFont="1" applyFill="1" applyBorder="1" applyAlignment="1" applyProtection="1">
      <alignment horizontal="left" vertical="center"/>
      <protection/>
    </xf>
    <xf numFmtId="0" fontId="10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51" xfId="0" applyNumberFormat="1" applyFont="1" applyFill="1" applyBorder="1" applyAlignment="1" applyProtection="1">
      <alignment horizontal="left" vertical="center"/>
      <protection/>
    </xf>
    <xf numFmtId="4" fontId="10" fillId="0" borderId="50" xfId="0" applyNumberFormat="1" applyFont="1" applyFill="1" applyBorder="1" applyAlignment="1" applyProtection="1">
      <alignment horizontal="right" vertical="center"/>
      <protection/>
    </xf>
    <xf numFmtId="0" fontId="10" fillId="0" borderId="30" xfId="0" applyNumberFormat="1" applyFont="1" applyFill="1" applyBorder="1" applyAlignment="1" applyProtection="1">
      <alignment horizontal="right" vertical="center"/>
      <protection/>
    </xf>
    <xf numFmtId="0" fontId="10" fillId="0" borderId="51" xfId="0" applyNumberFormat="1" applyFont="1" applyFill="1" applyBorder="1" applyAlignment="1" applyProtection="1">
      <alignment horizontal="right" vertical="center"/>
      <protection/>
    </xf>
    <xf numFmtId="0" fontId="13" fillId="0" borderId="52" xfId="0" applyNumberFormat="1" applyFont="1" applyFill="1" applyBorder="1" applyAlignment="1" applyProtection="1">
      <alignment horizontal="center" vertical="center" wrapText="1"/>
      <protection/>
    </xf>
    <xf numFmtId="0" fontId="13" fillId="0" borderId="53" xfId="0" applyNumberFormat="1" applyFont="1" applyFill="1" applyBorder="1" applyAlignment="1" applyProtection="1">
      <alignment horizontal="center" vertical="center" wrapText="1"/>
      <protection/>
    </xf>
    <xf numFmtId="0" fontId="13" fillId="0" borderId="54" xfId="0" applyNumberFormat="1" applyFont="1" applyFill="1" applyBorder="1" applyAlignment="1" applyProtection="1">
      <alignment horizontal="center" vertical="center" wrapText="1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14" fillId="0" borderId="33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1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8" xfId="0" applyNumberFormat="1" applyFont="1" applyFill="1" applyBorder="1" applyAlignment="1" applyProtection="1">
      <alignment horizontal="left" vertical="center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14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34" xfId="0" applyNumberFormat="1" applyFont="1" applyFill="1" applyBorder="1" applyAlignment="1" applyProtection="1">
      <alignment horizontal="left" vertical="center"/>
      <protection/>
    </xf>
    <xf numFmtId="0" fontId="14" fillId="0" borderId="31" xfId="0" applyNumberFormat="1" applyFont="1" applyFill="1" applyBorder="1" applyAlignment="1" applyProtection="1">
      <alignment horizontal="left" vertical="center"/>
      <protection/>
    </xf>
    <xf numFmtId="0" fontId="14" fillId="0" borderId="35" xfId="0" applyNumberFormat="1" applyFont="1" applyFill="1" applyBorder="1" applyAlignment="1" applyProtection="1">
      <alignment horizontal="left" vertical="center"/>
      <protection/>
    </xf>
    <xf numFmtId="49" fontId="15" fillId="0" borderId="55" xfId="0" applyNumberFormat="1" applyFont="1" applyFill="1" applyBorder="1" applyAlignment="1" applyProtection="1">
      <alignment horizontal="left" vertical="center"/>
      <protection/>
    </xf>
    <xf numFmtId="49" fontId="15" fillId="0" borderId="17" xfId="0" applyNumberFormat="1" applyFont="1" applyFill="1" applyBorder="1" applyAlignment="1" applyProtection="1">
      <alignment horizontal="left" vertical="center"/>
      <protection/>
    </xf>
    <xf numFmtId="49" fontId="15" fillId="0" borderId="17" xfId="0" applyNumberFormat="1" applyFont="1" applyFill="1" applyBorder="1" applyAlignment="1" applyProtection="1">
      <alignment horizontal="center" vertical="center"/>
      <protection/>
    </xf>
    <xf numFmtId="49" fontId="15" fillId="0" borderId="56" xfId="0" applyNumberFormat="1" applyFont="1" applyFill="1" applyBorder="1" applyAlignment="1" applyProtection="1">
      <alignment horizontal="center" vertical="center"/>
      <protection/>
    </xf>
    <xf numFmtId="49" fontId="15" fillId="0" borderId="36" xfId="0" applyNumberFormat="1" applyFont="1" applyFill="1" applyBorder="1" applyAlignment="1" applyProtection="1">
      <alignment horizontal="center" vertical="center"/>
      <protection/>
    </xf>
    <xf numFmtId="0" fontId="15" fillId="0" borderId="37" xfId="0" applyNumberFormat="1" applyFont="1" applyFill="1" applyBorder="1" applyAlignment="1" applyProtection="1">
      <alignment horizontal="center" vertical="center"/>
      <protection/>
    </xf>
    <xf numFmtId="0" fontId="15" fillId="0" borderId="38" xfId="0" applyNumberFormat="1" applyFont="1" applyFill="1" applyBorder="1" applyAlignment="1" applyProtection="1">
      <alignment horizontal="center" vertical="center"/>
      <protection/>
    </xf>
    <xf numFmtId="49" fontId="15" fillId="0" borderId="57" xfId="0" applyNumberFormat="1" applyFont="1" applyFill="1" applyBorder="1" applyAlignment="1" applyProtection="1">
      <alignment horizontal="center" vertical="center"/>
      <protection/>
    </xf>
    <xf numFmtId="49" fontId="14" fillId="0" borderId="58" xfId="0" applyNumberFormat="1" applyFont="1" applyFill="1" applyBorder="1" applyAlignment="1" applyProtection="1">
      <alignment horizontal="left" vertical="center"/>
      <protection/>
    </xf>
    <xf numFmtId="49" fontId="14" fillId="0" borderId="11" xfId="0" applyNumberFormat="1" applyFont="1" applyFill="1" applyBorder="1" applyAlignment="1" applyProtection="1">
      <alignment horizontal="left" vertical="center"/>
      <protection/>
    </xf>
    <xf numFmtId="49" fontId="15" fillId="0" borderId="11" xfId="0" applyNumberFormat="1" applyFont="1" applyFill="1" applyBorder="1" applyAlignment="1" applyProtection="1">
      <alignment horizontal="left" vertical="center"/>
      <protection/>
    </xf>
    <xf numFmtId="49" fontId="15" fillId="0" borderId="59" xfId="0" applyNumberFormat="1" applyFont="1" applyFill="1" applyBorder="1" applyAlignment="1" applyProtection="1">
      <alignment horizontal="right" vertical="center"/>
      <protection/>
    </xf>
    <xf numFmtId="49" fontId="15" fillId="0" borderId="12" xfId="0" applyNumberFormat="1" applyFont="1" applyFill="1" applyBorder="1" applyAlignment="1" applyProtection="1">
      <alignment horizontal="center" vertical="center"/>
      <protection/>
    </xf>
    <xf numFmtId="49" fontId="15" fillId="0" borderId="13" xfId="0" applyNumberFormat="1" applyFont="1" applyFill="1" applyBorder="1" applyAlignment="1" applyProtection="1">
      <alignment horizontal="center" vertical="center"/>
      <protection/>
    </xf>
    <xf numFmtId="49" fontId="15" fillId="0" borderId="14" xfId="0" applyNumberFormat="1" applyFont="1" applyFill="1" applyBorder="1" applyAlignment="1" applyProtection="1">
      <alignment horizontal="center" vertical="center"/>
      <protection/>
    </xf>
    <xf numFmtId="49" fontId="15" fillId="0" borderId="60" xfId="0" applyNumberFormat="1" applyFont="1" applyFill="1" applyBorder="1" applyAlignment="1" applyProtection="1">
      <alignment horizontal="center" vertical="center"/>
      <protection/>
    </xf>
    <xf numFmtId="49" fontId="16" fillId="20" borderId="18" xfId="0" applyNumberFormat="1" applyFont="1" applyFill="1" applyBorder="1" applyAlignment="1" applyProtection="1">
      <alignment horizontal="left" vertical="center"/>
      <protection/>
    </xf>
    <xf numFmtId="49" fontId="17" fillId="20" borderId="18" xfId="0" applyNumberFormat="1" applyFont="1" applyFill="1" applyBorder="1" applyAlignment="1" applyProtection="1">
      <alignment horizontal="left" vertical="center"/>
      <protection/>
    </xf>
    <xf numFmtId="49" fontId="17" fillId="20" borderId="18" xfId="0" applyNumberFormat="1" applyFont="1" applyFill="1" applyBorder="1" applyAlignment="1" applyProtection="1">
      <alignment horizontal="left" vertical="center"/>
      <protection/>
    </xf>
    <xf numFmtId="0" fontId="17" fillId="20" borderId="18" xfId="0" applyNumberFormat="1" applyFont="1" applyFill="1" applyBorder="1" applyAlignment="1" applyProtection="1">
      <alignment horizontal="left" vertical="center"/>
      <protection/>
    </xf>
    <xf numFmtId="4" fontId="17" fillId="20" borderId="18" xfId="0" applyNumberFormat="1" applyFont="1" applyFill="1" applyBorder="1" applyAlignment="1" applyProtection="1">
      <alignment horizontal="right" vertical="center"/>
      <protection/>
    </xf>
    <xf numFmtId="49" fontId="17" fillId="20" borderId="18" xfId="0" applyNumberFormat="1" applyFont="1" applyFill="1" applyBorder="1" applyAlignment="1" applyProtection="1">
      <alignment horizontal="right" vertical="center"/>
      <protection/>
    </xf>
    <xf numFmtId="49" fontId="18" fillId="18" borderId="0" xfId="0" applyNumberFormat="1" applyFont="1" applyFill="1" applyBorder="1" applyAlignment="1" applyProtection="1">
      <alignment horizontal="left" vertical="center"/>
      <protection/>
    </xf>
    <xf numFmtId="49" fontId="19" fillId="18" borderId="0" xfId="0" applyNumberFormat="1" applyFont="1" applyFill="1" applyBorder="1" applyAlignment="1" applyProtection="1">
      <alignment horizontal="left" vertical="center"/>
      <protection/>
    </xf>
    <xf numFmtId="49" fontId="19" fillId="18" borderId="0" xfId="0" applyNumberFormat="1" applyFont="1" applyFill="1" applyBorder="1" applyAlignment="1" applyProtection="1">
      <alignment horizontal="left" vertical="center"/>
      <protection/>
    </xf>
    <xf numFmtId="0" fontId="19" fillId="18" borderId="0" xfId="0" applyNumberFormat="1" applyFont="1" applyFill="1" applyBorder="1" applyAlignment="1" applyProtection="1">
      <alignment horizontal="left" vertical="center"/>
      <protection/>
    </xf>
    <xf numFmtId="4" fontId="19" fillId="18" borderId="0" xfId="0" applyNumberFormat="1" applyFont="1" applyFill="1" applyBorder="1" applyAlignment="1" applyProtection="1">
      <alignment horizontal="right" vertical="center"/>
      <protection/>
    </xf>
    <xf numFmtId="49" fontId="19" fillId="18" borderId="0" xfId="0" applyNumberFormat="1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horizontal="left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9" fontId="16" fillId="20" borderId="0" xfId="0" applyNumberFormat="1" applyFont="1" applyFill="1" applyBorder="1" applyAlignment="1" applyProtection="1">
      <alignment horizontal="left" vertical="center"/>
      <protection/>
    </xf>
    <xf numFmtId="49" fontId="17" fillId="20" borderId="0" xfId="0" applyNumberFormat="1" applyFont="1" applyFill="1" applyBorder="1" applyAlignment="1" applyProtection="1">
      <alignment horizontal="left" vertical="center"/>
      <protection/>
    </xf>
    <xf numFmtId="49" fontId="17" fillId="20" borderId="0" xfId="0" applyNumberFormat="1" applyFont="1" applyFill="1" applyBorder="1" applyAlignment="1" applyProtection="1">
      <alignment horizontal="left" vertical="center"/>
      <protection/>
    </xf>
    <xf numFmtId="0" fontId="17" fillId="20" borderId="0" xfId="0" applyNumberFormat="1" applyFont="1" applyFill="1" applyBorder="1" applyAlignment="1" applyProtection="1">
      <alignment horizontal="left" vertical="center"/>
      <protection/>
    </xf>
    <xf numFmtId="4" fontId="17" fillId="20" borderId="0" xfId="0" applyNumberFormat="1" applyFont="1" applyFill="1" applyBorder="1" applyAlignment="1" applyProtection="1">
      <alignment horizontal="right" vertical="center"/>
      <protection/>
    </xf>
    <xf numFmtId="49" fontId="17" fillId="20" borderId="0" xfId="0" applyNumberFormat="1" applyFont="1" applyFill="1" applyBorder="1" applyAlignment="1" applyProtection="1">
      <alignment horizontal="right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4" fontId="22" fillId="0" borderId="0" xfId="0" applyNumberFormat="1" applyFont="1" applyFill="1" applyBorder="1" applyAlignment="1" applyProtection="1">
      <alignment horizontal="right" vertical="center"/>
      <protection/>
    </xf>
    <xf numFmtId="49" fontId="22" fillId="0" borderId="0" xfId="0" applyNumberFormat="1" applyFont="1" applyFill="1" applyBorder="1" applyAlignment="1" applyProtection="1">
      <alignment horizontal="right" vertical="center"/>
      <protection/>
    </xf>
    <xf numFmtId="49" fontId="23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49" fontId="20" fillId="0" borderId="19" xfId="0" applyNumberFormat="1" applyFont="1" applyFill="1" applyBorder="1" applyAlignment="1" applyProtection="1">
      <alignment horizontal="left" vertical="center"/>
      <protection/>
    </xf>
    <xf numFmtId="4" fontId="20" fillId="0" borderId="19" xfId="0" applyNumberFormat="1" applyFont="1" applyFill="1" applyBorder="1" applyAlignment="1" applyProtection="1">
      <alignment horizontal="right" vertical="center"/>
      <protection/>
    </xf>
    <xf numFmtId="49" fontId="20" fillId="0" borderId="19" xfId="0" applyNumberFormat="1" applyFont="1" applyFill="1" applyBorder="1" applyAlignment="1" applyProtection="1">
      <alignment horizontal="right"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10" xfId="0" applyNumberFormat="1" applyFont="1" applyFill="1" applyBorder="1" applyAlignment="1" applyProtection="1">
      <alignment horizontal="left" vertical="center"/>
      <protection/>
    </xf>
    <xf numFmtId="4" fontId="15" fillId="0" borderId="10" xfId="0" applyNumberFormat="1" applyFont="1" applyFill="1" applyBorder="1" applyAlignment="1" applyProtection="1">
      <alignment horizontal="right" vertical="center"/>
      <protection/>
    </xf>
    <xf numFmtId="49" fontId="24" fillId="0" borderId="19" xfId="0" applyNumberFormat="1" applyFont="1" applyFill="1" applyBorder="1" applyAlignment="1" applyProtection="1">
      <alignment horizontal="center"/>
      <protection/>
    </xf>
    <xf numFmtId="0" fontId="24" fillId="0" borderId="19" xfId="0" applyNumberFormat="1" applyFont="1" applyFill="1" applyBorder="1" applyAlignment="1" applyProtection="1">
      <alignment horizontal="center" vertical="center"/>
      <protection/>
    </xf>
    <xf numFmtId="0" fontId="43" fillId="5" borderId="0" xfId="45" applyFont="1" applyFill="1" applyAlignment="1" applyProtection="1">
      <alignment horizontal="left"/>
      <protection/>
    </xf>
    <xf numFmtId="0" fontId="44" fillId="5" borderId="0" xfId="45" applyFont="1" applyFill="1" applyAlignment="1" applyProtection="1">
      <alignment horizontal="left"/>
      <protection/>
    </xf>
    <xf numFmtId="0" fontId="35" fillId="0" borderId="0" xfId="45" applyFont="1" applyAlignment="1">
      <alignment horizontal="left" vertical="top"/>
      <protection locked="0"/>
    </xf>
    <xf numFmtId="0" fontId="45" fillId="5" borderId="0" xfId="45" applyFont="1" applyFill="1" applyAlignment="1" applyProtection="1">
      <alignment horizontal="left"/>
      <protection/>
    </xf>
    <xf numFmtId="0" fontId="46" fillId="5" borderId="0" xfId="45" applyFont="1" applyFill="1" applyAlignment="1" applyProtection="1">
      <alignment horizontal="left"/>
      <protection/>
    </xf>
    <xf numFmtId="0" fontId="47" fillId="21" borderId="61" xfId="45" applyFont="1" applyFill="1" applyBorder="1" applyAlignment="1" applyProtection="1">
      <alignment horizontal="center" vertical="center" wrapText="1"/>
      <protection/>
    </xf>
    <xf numFmtId="166" fontId="45" fillId="0" borderId="0" xfId="45" applyNumberFormat="1" applyFont="1" applyAlignment="1">
      <alignment horizontal="center"/>
      <protection locked="0"/>
    </xf>
    <xf numFmtId="0" fontId="45" fillId="0" borderId="0" xfId="45" applyFont="1" applyAlignment="1">
      <alignment horizontal="left" wrapText="1"/>
      <protection locked="0"/>
    </xf>
    <xf numFmtId="167" fontId="45" fillId="0" borderId="0" xfId="45" applyNumberFormat="1" applyFont="1" applyAlignment="1">
      <alignment horizontal="right"/>
      <protection locked="0"/>
    </xf>
    <xf numFmtId="168" fontId="45" fillId="0" borderId="0" xfId="45" applyNumberFormat="1" applyFont="1" applyAlignment="1">
      <alignment horizontal="right"/>
      <protection locked="0"/>
    </xf>
    <xf numFmtId="166" fontId="46" fillId="0" borderId="62" xfId="45" applyNumberFormat="1" applyFont="1" applyBorder="1" applyAlignment="1">
      <alignment horizontal="center"/>
      <protection locked="0"/>
    </xf>
    <xf numFmtId="0" fontId="46" fillId="0" borderId="63" xfId="45" applyFont="1" applyBorder="1" applyAlignment="1">
      <alignment horizontal="left" wrapText="1"/>
      <protection locked="0"/>
    </xf>
    <xf numFmtId="167" fontId="46" fillId="0" borderId="63" xfId="45" applyNumberFormat="1" applyFont="1" applyBorder="1" applyAlignment="1">
      <alignment horizontal="right"/>
      <protection locked="0"/>
    </xf>
    <xf numFmtId="168" fontId="46" fillId="0" borderId="63" xfId="45" applyNumberFormat="1" applyFont="1" applyBorder="1" applyAlignment="1">
      <alignment horizontal="right"/>
      <protection locked="0"/>
    </xf>
    <xf numFmtId="166" fontId="46" fillId="0" borderId="64" xfId="45" applyNumberFormat="1" applyFont="1" applyBorder="1" applyAlignment="1">
      <alignment horizontal="center"/>
      <protection locked="0"/>
    </xf>
    <xf numFmtId="0" fontId="46" fillId="0" borderId="65" xfId="45" applyFont="1" applyBorder="1" applyAlignment="1">
      <alignment horizontal="left" wrapText="1"/>
      <protection locked="0"/>
    </xf>
    <xf numFmtId="167" fontId="46" fillId="0" borderId="65" xfId="45" applyNumberFormat="1" applyFont="1" applyBorder="1" applyAlignment="1">
      <alignment horizontal="right"/>
      <protection locked="0"/>
    </xf>
    <xf numFmtId="168" fontId="46" fillId="0" borderId="65" xfId="45" applyNumberFormat="1" applyFont="1" applyBorder="1" applyAlignment="1">
      <alignment horizontal="right"/>
      <protection locked="0"/>
    </xf>
    <xf numFmtId="166" fontId="46" fillId="0" borderId="66" xfId="45" applyNumberFormat="1" applyFont="1" applyBorder="1" applyAlignment="1">
      <alignment horizontal="center"/>
      <protection locked="0"/>
    </xf>
    <xf numFmtId="0" fontId="46" fillId="0" borderId="67" xfId="45" applyFont="1" applyBorder="1" applyAlignment="1">
      <alignment horizontal="left" wrapText="1"/>
      <protection locked="0"/>
    </xf>
    <xf numFmtId="167" fontId="46" fillId="0" borderId="67" xfId="45" applyNumberFormat="1" applyFont="1" applyBorder="1" applyAlignment="1">
      <alignment horizontal="right"/>
      <protection locked="0"/>
    </xf>
    <xf numFmtId="168" fontId="46" fillId="0" borderId="67" xfId="45" applyNumberFormat="1" applyFont="1" applyBorder="1" applyAlignment="1">
      <alignment horizontal="right"/>
      <protection locked="0"/>
    </xf>
    <xf numFmtId="0" fontId="35" fillId="0" borderId="0" xfId="45" applyAlignment="1">
      <alignment horizontal="left" vertical="top"/>
      <protection locked="0"/>
    </xf>
    <xf numFmtId="168" fontId="48" fillId="0" borderId="0" xfId="45" applyNumberFormat="1" applyFont="1" applyAlignment="1">
      <alignment vertical="top"/>
      <protection locked="0"/>
    </xf>
    <xf numFmtId="0" fontId="43" fillId="5" borderId="0" xfId="46" applyFont="1" applyFill="1" applyAlignment="1" applyProtection="1">
      <alignment horizontal="left"/>
      <protection/>
    </xf>
    <xf numFmtId="0" fontId="44" fillId="5" borderId="0" xfId="46" applyFont="1" applyFill="1" applyAlignment="1" applyProtection="1">
      <alignment horizontal="left"/>
      <protection/>
    </xf>
    <xf numFmtId="0" fontId="35" fillId="0" borderId="0" xfId="46" applyAlignment="1">
      <alignment horizontal="left" vertical="top"/>
      <protection locked="0"/>
    </xf>
    <xf numFmtId="0" fontId="45" fillId="5" borderId="0" xfId="46" applyFont="1" applyFill="1" applyAlignment="1" applyProtection="1">
      <alignment horizontal="left"/>
      <protection/>
    </xf>
    <xf numFmtId="0" fontId="46" fillId="5" borderId="0" xfId="46" applyFont="1" applyFill="1" applyAlignment="1" applyProtection="1">
      <alignment horizontal="left"/>
      <protection/>
    </xf>
    <xf numFmtId="0" fontId="47" fillId="21" borderId="61" xfId="46" applyFont="1" applyFill="1" applyBorder="1" applyAlignment="1" applyProtection="1">
      <alignment horizontal="center" vertical="center" wrapText="1"/>
      <protection/>
    </xf>
    <xf numFmtId="0" fontId="44" fillId="0" borderId="0" xfId="46" applyFont="1" applyAlignment="1" applyProtection="1">
      <alignment horizontal="left"/>
      <protection/>
    </xf>
    <xf numFmtId="166" fontId="45" fillId="0" borderId="0" xfId="46" applyNumberFormat="1" applyFont="1" applyAlignment="1">
      <alignment horizontal="center"/>
      <protection locked="0"/>
    </xf>
    <xf numFmtId="0" fontId="45" fillId="0" borderId="0" xfId="46" applyFont="1" applyAlignment="1">
      <alignment horizontal="left" wrapText="1"/>
      <protection locked="0"/>
    </xf>
    <xf numFmtId="167" fontId="45" fillId="0" borderId="0" xfId="46" applyNumberFormat="1" applyFont="1" applyAlignment="1">
      <alignment horizontal="right"/>
      <protection locked="0"/>
    </xf>
    <xf numFmtId="168" fontId="45" fillId="0" borderId="0" xfId="46" applyNumberFormat="1" applyFont="1" applyAlignment="1">
      <alignment horizontal="right"/>
      <protection locked="0"/>
    </xf>
    <xf numFmtId="166" fontId="46" fillId="0" borderId="62" xfId="46" applyNumberFormat="1" applyFont="1" applyBorder="1" applyAlignment="1">
      <alignment horizontal="center"/>
      <protection locked="0"/>
    </xf>
    <xf numFmtId="0" fontId="46" fillId="0" borderId="63" xfId="46" applyFont="1" applyBorder="1" applyAlignment="1">
      <alignment horizontal="left" wrapText="1"/>
      <protection locked="0"/>
    </xf>
    <xf numFmtId="167" fontId="46" fillId="0" borderId="63" xfId="46" applyNumberFormat="1" applyFont="1" applyBorder="1" applyAlignment="1">
      <alignment horizontal="right"/>
      <protection locked="0"/>
    </xf>
    <xf numFmtId="168" fontId="46" fillId="0" borderId="63" xfId="46" applyNumberFormat="1" applyFont="1" applyBorder="1" applyAlignment="1">
      <alignment horizontal="right"/>
      <protection locked="0"/>
    </xf>
    <xf numFmtId="166" fontId="46" fillId="0" borderId="64" xfId="46" applyNumberFormat="1" applyFont="1" applyBorder="1" applyAlignment="1">
      <alignment horizontal="center"/>
      <protection locked="0"/>
    </xf>
    <xf numFmtId="0" fontId="46" fillId="0" borderId="65" xfId="46" applyFont="1" applyBorder="1" applyAlignment="1">
      <alignment horizontal="left" wrapText="1"/>
      <protection locked="0"/>
    </xf>
    <xf numFmtId="167" fontId="46" fillId="0" borderId="65" xfId="46" applyNumberFormat="1" applyFont="1" applyBorder="1" applyAlignment="1">
      <alignment horizontal="right"/>
      <protection locked="0"/>
    </xf>
    <xf numFmtId="168" fontId="46" fillId="0" borderId="65" xfId="46" applyNumberFormat="1" applyFont="1" applyBorder="1" applyAlignment="1">
      <alignment horizontal="right"/>
      <protection locked="0"/>
    </xf>
    <xf numFmtId="166" fontId="49" fillId="0" borderId="0" xfId="46" applyNumberFormat="1" applyFont="1" applyAlignment="1">
      <alignment horizontal="center"/>
      <protection locked="0"/>
    </xf>
    <xf numFmtId="0" fontId="49" fillId="0" borderId="0" xfId="46" applyFont="1" applyAlignment="1">
      <alignment horizontal="left" wrapText="1"/>
      <protection locked="0"/>
    </xf>
    <xf numFmtId="167" fontId="49" fillId="0" borderId="0" xfId="46" applyNumberFormat="1" applyFont="1" applyAlignment="1">
      <alignment horizontal="right"/>
      <protection locked="0"/>
    </xf>
    <xf numFmtId="168" fontId="49" fillId="0" borderId="0" xfId="46" applyNumberFormat="1" applyFont="1" applyAlignment="1">
      <alignment horizontal="right"/>
      <protection locked="0"/>
    </xf>
    <xf numFmtId="168" fontId="50" fillId="0" borderId="0" xfId="46" applyNumberFormat="1" applyFont="1" applyAlignment="1">
      <alignment horizontal="right"/>
      <protection locked="0"/>
    </xf>
    <xf numFmtId="0" fontId="35" fillId="0" borderId="0" xfId="46" applyFont="1" applyAlignment="1">
      <alignment horizontal="left" vertical="top"/>
      <protection locked="0"/>
    </xf>
    <xf numFmtId="49" fontId="20" fillId="21" borderId="0" xfId="0" applyNumberFormat="1" applyFont="1" applyFill="1" applyBorder="1" applyAlignment="1" applyProtection="1">
      <alignment horizontal="left" vertical="center"/>
      <protection/>
    </xf>
    <xf numFmtId="4" fontId="20" fillId="21" borderId="0" xfId="0" applyNumberFormat="1" applyFont="1" applyFill="1" applyBorder="1" applyAlignment="1" applyProtection="1">
      <alignment horizontal="right" vertical="center"/>
      <protection/>
    </xf>
    <xf numFmtId="0" fontId="14" fillId="21" borderId="0" xfId="0" applyFont="1" applyFill="1" applyAlignment="1">
      <alignment vertical="center"/>
    </xf>
    <xf numFmtId="49" fontId="21" fillId="21" borderId="0" xfId="0" applyNumberFormat="1" applyFont="1" applyFill="1" applyBorder="1" applyAlignment="1" applyProtection="1">
      <alignment horizontal="left" vertical="center"/>
      <protection/>
    </xf>
    <xf numFmtId="4" fontId="21" fillId="21" borderId="0" xfId="0" applyNumberFormat="1" applyFont="1" applyFill="1" applyBorder="1" applyAlignment="1" applyProtection="1">
      <alignment horizontal="righ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OK I.etapa" xfId="45"/>
    <cellStyle name="normální_technologie 1.et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FF8040"/>
      <rgbColor rgb="00000000"/>
      <rgbColor rgb="00C0C0C0"/>
      <rgbColor rgb="00000000"/>
      <rgbColor rgb="00000000"/>
      <rgbColor rgb="0000FF00"/>
      <rgbColor rgb="00000000"/>
      <rgbColor rgb="000000FF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nlux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rozpočtu"/>
      <sheetName val="VORN"/>
      <sheetName val="Objekty celkem"/>
      <sheetName val="Stavební rozpočet"/>
      <sheetName val="OK 1.et"/>
      <sheetName val="Skladová 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F27" sqref="F2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39" customHeight="1">
      <c r="A1" s="129" t="s">
        <v>1062</v>
      </c>
      <c r="B1" s="130"/>
      <c r="C1" s="130"/>
      <c r="D1" s="130"/>
      <c r="E1" s="130"/>
      <c r="F1" s="130"/>
      <c r="G1" s="130"/>
      <c r="H1" s="130"/>
      <c r="I1" s="131"/>
    </row>
    <row r="2" spans="1:10" ht="12.75">
      <c r="A2" s="54" t="s">
        <v>1</v>
      </c>
      <c r="B2" s="55"/>
      <c r="C2" s="58" t="s">
        <v>544</v>
      </c>
      <c r="D2" s="75"/>
      <c r="E2" s="61" t="s">
        <v>972</v>
      </c>
      <c r="F2" s="61" t="s">
        <v>977</v>
      </c>
      <c r="G2" s="55"/>
      <c r="H2" s="61" t="s">
        <v>1087</v>
      </c>
      <c r="I2" s="85"/>
      <c r="J2" s="14"/>
    </row>
    <row r="3" spans="1:10" ht="12.75">
      <c r="A3" s="56"/>
      <c r="B3" s="57"/>
      <c r="C3" s="59"/>
      <c r="D3" s="59"/>
      <c r="E3" s="57"/>
      <c r="F3" s="57"/>
      <c r="G3" s="57"/>
      <c r="H3" s="57"/>
      <c r="I3" s="63"/>
      <c r="J3" s="14"/>
    </row>
    <row r="4" spans="1:10" ht="12.75">
      <c r="A4" s="64" t="s">
        <v>2</v>
      </c>
      <c r="B4" s="57"/>
      <c r="C4" s="65"/>
      <c r="D4" s="57"/>
      <c r="E4" s="65" t="s">
        <v>973</v>
      </c>
      <c r="F4" s="65" t="s">
        <v>978</v>
      </c>
      <c r="G4" s="57"/>
      <c r="H4" s="65" t="s">
        <v>1087</v>
      </c>
      <c r="I4" s="86"/>
      <c r="J4" s="14"/>
    </row>
    <row r="5" spans="1:10" ht="12.75">
      <c r="A5" s="56"/>
      <c r="B5" s="57"/>
      <c r="C5" s="57"/>
      <c r="D5" s="57"/>
      <c r="E5" s="57"/>
      <c r="F5" s="57"/>
      <c r="G5" s="57"/>
      <c r="H5" s="57"/>
      <c r="I5" s="63"/>
      <c r="J5" s="14"/>
    </row>
    <row r="6" spans="1:10" ht="12.75">
      <c r="A6" s="64" t="s">
        <v>3</v>
      </c>
      <c r="B6" s="57"/>
      <c r="C6" s="65" t="s">
        <v>545</v>
      </c>
      <c r="D6" s="57"/>
      <c r="E6" s="65" t="s">
        <v>974</v>
      </c>
      <c r="F6" s="65" t="s">
        <v>979</v>
      </c>
      <c r="G6" s="57"/>
      <c r="H6" s="65" t="s">
        <v>1087</v>
      </c>
      <c r="I6" s="86"/>
      <c r="J6" s="14"/>
    </row>
    <row r="7" spans="1:10" ht="12.75">
      <c r="A7" s="56"/>
      <c r="B7" s="57"/>
      <c r="C7" s="57"/>
      <c r="D7" s="57"/>
      <c r="E7" s="57"/>
      <c r="F7" s="57"/>
      <c r="G7" s="57"/>
      <c r="H7" s="57"/>
      <c r="I7" s="63"/>
      <c r="J7" s="14"/>
    </row>
    <row r="8" spans="1:10" ht="12.75">
      <c r="A8" s="64" t="s">
        <v>948</v>
      </c>
      <c r="B8" s="57"/>
      <c r="C8" s="66" t="s">
        <v>6</v>
      </c>
      <c r="D8" s="57"/>
      <c r="E8" s="65" t="s">
        <v>949</v>
      </c>
      <c r="F8" s="57"/>
      <c r="G8" s="57"/>
      <c r="H8" s="66" t="s">
        <v>1088</v>
      </c>
      <c r="I8" s="86" t="s">
        <v>278</v>
      </c>
      <c r="J8" s="14"/>
    </row>
    <row r="9" spans="1:10" ht="12.75">
      <c r="A9" s="56"/>
      <c r="B9" s="57"/>
      <c r="C9" s="57"/>
      <c r="D9" s="57"/>
      <c r="E9" s="57"/>
      <c r="F9" s="57"/>
      <c r="G9" s="57"/>
      <c r="H9" s="57"/>
      <c r="I9" s="63"/>
      <c r="J9" s="14"/>
    </row>
    <row r="10" spans="1:10" ht="12.75">
      <c r="A10" s="64" t="s">
        <v>4</v>
      </c>
      <c r="B10" s="57"/>
      <c r="C10" s="65">
        <v>8118999</v>
      </c>
      <c r="D10" s="57"/>
      <c r="E10" s="65" t="s">
        <v>975</v>
      </c>
      <c r="F10" s="65" t="s">
        <v>980</v>
      </c>
      <c r="G10" s="57"/>
      <c r="H10" s="66" t="s">
        <v>1089</v>
      </c>
      <c r="I10" s="88">
        <v>42348</v>
      </c>
      <c r="J10" s="14"/>
    </row>
    <row r="11" spans="1:10" ht="12.75">
      <c r="A11" s="87"/>
      <c r="B11" s="84"/>
      <c r="C11" s="84"/>
      <c r="D11" s="84"/>
      <c r="E11" s="84"/>
      <c r="F11" s="84"/>
      <c r="G11" s="84"/>
      <c r="H11" s="84"/>
      <c r="I11" s="89"/>
      <c r="J11" s="14"/>
    </row>
    <row r="12" spans="1:9" ht="23.25" customHeight="1">
      <c r="A12" s="90" t="s">
        <v>1047</v>
      </c>
      <c r="B12" s="91"/>
      <c r="C12" s="91"/>
      <c r="D12" s="91"/>
      <c r="E12" s="91"/>
      <c r="F12" s="91"/>
      <c r="G12" s="91"/>
      <c r="H12" s="91"/>
      <c r="I12" s="91"/>
    </row>
    <row r="13" spans="1:10" ht="26.25" customHeight="1">
      <c r="A13" s="29" t="s">
        <v>1048</v>
      </c>
      <c r="B13" s="92" t="s">
        <v>1060</v>
      </c>
      <c r="C13" s="93"/>
      <c r="D13" s="29" t="s">
        <v>1063</v>
      </c>
      <c r="E13" s="92" t="s">
        <v>1072</v>
      </c>
      <c r="F13" s="93"/>
      <c r="G13" s="29" t="s">
        <v>1073</v>
      </c>
      <c r="H13" s="92" t="s">
        <v>1090</v>
      </c>
      <c r="I13" s="93"/>
      <c r="J13" s="14"/>
    </row>
    <row r="14" spans="1:10" ht="15" customHeight="1">
      <c r="A14" s="30" t="s">
        <v>1049</v>
      </c>
      <c r="B14" s="34" t="s">
        <v>1061</v>
      </c>
      <c r="C14" s="38">
        <f>SUM('Stavební rozpočet'!R12:R611)</f>
        <v>0</v>
      </c>
      <c r="D14" s="94" t="s">
        <v>1064</v>
      </c>
      <c r="E14" s="95"/>
      <c r="F14" s="38">
        <f>VORN!I15</f>
        <v>0</v>
      </c>
      <c r="G14" s="94" t="s">
        <v>1074</v>
      </c>
      <c r="H14" s="95"/>
      <c r="I14" s="38">
        <f>VORN!I21</f>
        <v>0</v>
      </c>
      <c r="J14" s="14"/>
    </row>
    <row r="15" spans="1:10" ht="15" customHeight="1">
      <c r="A15" s="31"/>
      <c r="B15" s="34" t="s">
        <v>976</v>
      </c>
      <c r="C15" s="38">
        <f>SUM('Stavební rozpočet'!S12:S611)</f>
        <v>0</v>
      </c>
      <c r="D15" s="94" t="s">
        <v>1065</v>
      </c>
      <c r="E15" s="95"/>
      <c r="F15" s="38">
        <f>VORN!I16</f>
        <v>0</v>
      </c>
      <c r="G15" s="94" t="s">
        <v>1075</v>
      </c>
      <c r="H15" s="95"/>
      <c r="I15" s="38">
        <f>VORN!I22</f>
        <v>0</v>
      </c>
      <c r="J15" s="14"/>
    </row>
    <row r="16" spans="1:10" ht="15" customHeight="1">
      <c r="A16" s="30" t="s">
        <v>1050</v>
      </c>
      <c r="B16" s="34" t="s">
        <v>1061</v>
      </c>
      <c r="C16" s="38">
        <f>SUM('Stavební rozpočet'!T12:T611)</f>
        <v>0</v>
      </c>
      <c r="D16" s="94" t="s">
        <v>1066</v>
      </c>
      <c r="E16" s="95"/>
      <c r="F16" s="38">
        <f>VORN!I17</f>
        <v>0</v>
      </c>
      <c r="G16" s="94" t="s">
        <v>1076</v>
      </c>
      <c r="H16" s="95"/>
      <c r="I16" s="38">
        <f>VORN!I23</f>
        <v>0</v>
      </c>
      <c r="J16" s="14"/>
    </row>
    <row r="17" spans="1:10" ht="15" customHeight="1">
      <c r="A17" s="31"/>
      <c r="B17" s="34" t="s">
        <v>976</v>
      </c>
      <c r="C17" s="38">
        <f>SUM('Stavební rozpočet'!U12:U611)</f>
        <v>0</v>
      </c>
      <c r="D17" s="94"/>
      <c r="E17" s="95"/>
      <c r="F17" s="39"/>
      <c r="G17" s="94" t="s">
        <v>1077</v>
      </c>
      <c r="H17" s="95"/>
      <c r="I17" s="38">
        <f>VORN!I24</f>
        <v>0</v>
      </c>
      <c r="J17" s="14"/>
    </row>
    <row r="18" spans="1:10" ht="15" customHeight="1">
      <c r="A18" s="30" t="s">
        <v>1051</v>
      </c>
      <c r="B18" s="34" t="s">
        <v>1061</v>
      </c>
      <c r="C18" s="38">
        <f>SUM('Stavební rozpočet'!V12:V611)</f>
        <v>0</v>
      </c>
      <c r="D18" s="94"/>
      <c r="E18" s="95"/>
      <c r="F18" s="39"/>
      <c r="G18" s="94" t="s">
        <v>1078</v>
      </c>
      <c r="H18" s="95"/>
      <c r="I18" s="38">
        <f>VORN!I25</f>
        <v>0</v>
      </c>
      <c r="J18" s="14"/>
    </row>
    <row r="19" spans="1:10" ht="15" customHeight="1">
      <c r="A19" s="31"/>
      <c r="B19" s="34" t="s">
        <v>976</v>
      </c>
      <c r="C19" s="38">
        <f>SUM('Stavební rozpočet'!W12:W611)</f>
        <v>0</v>
      </c>
      <c r="D19" s="94"/>
      <c r="E19" s="95"/>
      <c r="F19" s="39"/>
      <c r="G19" s="94" t="s">
        <v>1079</v>
      </c>
      <c r="H19" s="95"/>
      <c r="I19" s="38">
        <f>VORN!I26</f>
        <v>0</v>
      </c>
      <c r="J19" s="14"/>
    </row>
    <row r="20" spans="1:10" ht="15" customHeight="1">
      <c r="A20" s="96" t="s">
        <v>1052</v>
      </c>
      <c r="B20" s="97"/>
      <c r="C20" s="38">
        <f>SUM('Stavební rozpočet'!X12:X611)</f>
        <v>0</v>
      </c>
      <c r="D20" s="94"/>
      <c r="E20" s="95"/>
      <c r="F20" s="39"/>
      <c r="G20" s="94"/>
      <c r="H20" s="95"/>
      <c r="I20" s="39"/>
      <c r="J20" s="14"/>
    </row>
    <row r="21" spans="1:10" ht="15" customHeight="1">
      <c r="A21" s="96" t="s">
        <v>1053</v>
      </c>
      <c r="B21" s="97"/>
      <c r="C21" s="38">
        <f>SUM('Stavební rozpočet'!P12:P611)</f>
        <v>0</v>
      </c>
      <c r="D21" s="94"/>
      <c r="E21" s="95"/>
      <c r="F21" s="39"/>
      <c r="G21" s="94"/>
      <c r="H21" s="95"/>
      <c r="I21" s="39"/>
      <c r="J21" s="14"/>
    </row>
    <row r="22" spans="1:10" ht="16.5" customHeight="1">
      <c r="A22" s="96" t="s">
        <v>1054</v>
      </c>
      <c r="B22" s="97"/>
      <c r="C22" s="38">
        <f>SUM(C14:C21)</f>
        <v>0</v>
      </c>
      <c r="D22" s="96" t="s">
        <v>1067</v>
      </c>
      <c r="E22" s="97"/>
      <c r="F22" s="38">
        <f>SUM(F14:F21)</f>
        <v>0</v>
      </c>
      <c r="G22" s="96" t="s">
        <v>1080</v>
      </c>
      <c r="H22" s="97"/>
      <c r="I22" s="38">
        <f>SUM(I14:I21)</f>
        <v>0</v>
      </c>
      <c r="J22" s="14"/>
    </row>
    <row r="23" spans="1:10" ht="15" customHeight="1">
      <c r="A23" s="2"/>
      <c r="B23" s="2"/>
      <c r="C23" s="36"/>
      <c r="D23" s="96" t="s">
        <v>1068</v>
      </c>
      <c r="E23" s="97"/>
      <c r="F23" s="40">
        <v>0</v>
      </c>
      <c r="G23" s="96" t="s">
        <v>1081</v>
      </c>
      <c r="H23" s="97"/>
      <c r="I23" s="38">
        <v>0</v>
      </c>
      <c r="J23" s="14"/>
    </row>
    <row r="24" spans="4:10" ht="15" customHeight="1">
      <c r="D24" s="2"/>
      <c r="E24" s="2"/>
      <c r="F24" s="41"/>
      <c r="G24" s="96" t="s">
        <v>1082</v>
      </c>
      <c r="H24" s="97"/>
      <c r="I24" s="38">
        <f>vorn_sum</f>
        <v>0</v>
      </c>
      <c r="J24" s="14"/>
    </row>
    <row r="25" spans="6:10" ht="15" customHeight="1">
      <c r="F25" s="42"/>
      <c r="G25" s="96" t="s">
        <v>1083</v>
      </c>
      <c r="H25" s="97"/>
      <c r="I25" s="38">
        <v>0</v>
      </c>
      <c r="J25" s="14"/>
    </row>
    <row r="26" spans="1:9" ht="12.75">
      <c r="A26" s="28"/>
      <c r="B26" s="28"/>
      <c r="C26" s="28"/>
      <c r="G26" s="2"/>
      <c r="H26" s="2"/>
      <c r="I26" s="2"/>
    </row>
    <row r="27" spans="1:9" ht="15" customHeight="1">
      <c r="A27" s="98" t="s">
        <v>1055</v>
      </c>
      <c r="B27" s="99"/>
      <c r="C27" s="43">
        <f>SUM('Stavební rozpočet'!Z12:Z611)</f>
        <v>0</v>
      </c>
      <c r="D27" s="37"/>
      <c r="E27" s="28"/>
      <c r="F27" s="28"/>
      <c r="G27" s="28"/>
      <c r="H27" s="28"/>
      <c r="I27" s="28"/>
    </row>
    <row r="28" spans="1:10" ht="15" customHeight="1">
      <c r="A28" s="98" t="s">
        <v>1056</v>
      </c>
      <c r="B28" s="99"/>
      <c r="C28" s="43">
        <f>SUM('Stavební rozpočet'!AA12:AA611)</f>
        <v>0</v>
      </c>
      <c r="D28" s="98" t="s">
        <v>1069</v>
      </c>
      <c r="E28" s="99"/>
      <c r="F28" s="43">
        <f>ROUND(C28*(15/100),2)</f>
        <v>0</v>
      </c>
      <c r="G28" s="98" t="s">
        <v>1084</v>
      </c>
      <c r="H28" s="99"/>
      <c r="I28" s="43">
        <f>SUM(C27:C29)</f>
        <v>0</v>
      </c>
      <c r="J28" s="14"/>
    </row>
    <row r="29" spans="1:10" ht="15" customHeight="1">
      <c r="A29" s="98" t="s">
        <v>1057</v>
      </c>
      <c r="B29" s="99"/>
      <c r="C29" s="43">
        <f>SUM('Stavební rozpočet'!AB12:AB611)+(F22+I22+F23+I23+I24+I25)</f>
        <v>0</v>
      </c>
      <c r="D29" s="98" t="s">
        <v>1070</v>
      </c>
      <c r="E29" s="99"/>
      <c r="F29" s="43">
        <f>ROUND(C29*(21/100),2)</f>
        <v>0</v>
      </c>
      <c r="G29" s="98" t="s">
        <v>1085</v>
      </c>
      <c r="H29" s="99"/>
      <c r="I29" s="43">
        <f>SUM(F28:F29)+I28</f>
        <v>0</v>
      </c>
      <c r="J29" s="14"/>
    </row>
    <row r="30" spans="1:9" ht="12.75">
      <c r="A30" s="32"/>
      <c r="B30" s="32"/>
      <c r="C30" s="32"/>
      <c r="D30" s="32"/>
      <c r="E30" s="32"/>
      <c r="F30" s="32"/>
      <c r="G30" s="32"/>
      <c r="H30" s="32"/>
      <c r="I30" s="32"/>
    </row>
    <row r="31" spans="1:10" ht="14.25" customHeight="1">
      <c r="A31" s="100" t="s">
        <v>1058</v>
      </c>
      <c r="B31" s="101"/>
      <c r="C31" s="102"/>
      <c r="D31" s="100" t="s">
        <v>1071</v>
      </c>
      <c r="E31" s="101"/>
      <c r="F31" s="102"/>
      <c r="G31" s="100" t="s">
        <v>1086</v>
      </c>
      <c r="H31" s="101"/>
      <c r="I31" s="102"/>
      <c r="J31" s="15"/>
    </row>
    <row r="32" spans="1:10" ht="14.25" customHeight="1">
      <c r="A32" s="103"/>
      <c r="B32" s="104"/>
      <c r="C32" s="105"/>
      <c r="D32" s="103"/>
      <c r="E32" s="104"/>
      <c r="F32" s="105"/>
      <c r="G32" s="103"/>
      <c r="H32" s="104"/>
      <c r="I32" s="105"/>
      <c r="J32" s="15"/>
    </row>
    <row r="33" spans="1:10" ht="14.25" customHeight="1">
      <c r="A33" s="103"/>
      <c r="B33" s="104"/>
      <c r="C33" s="105"/>
      <c r="D33" s="103"/>
      <c r="E33" s="104"/>
      <c r="F33" s="105"/>
      <c r="G33" s="103"/>
      <c r="H33" s="104"/>
      <c r="I33" s="105"/>
      <c r="J33" s="15"/>
    </row>
    <row r="34" spans="1:10" ht="14.25" customHeight="1">
      <c r="A34" s="103"/>
      <c r="B34" s="104"/>
      <c r="C34" s="105"/>
      <c r="D34" s="103"/>
      <c r="E34" s="104"/>
      <c r="F34" s="105"/>
      <c r="G34" s="103"/>
      <c r="H34" s="104"/>
      <c r="I34" s="105"/>
      <c r="J34" s="15"/>
    </row>
    <row r="35" spans="1:10" ht="14.25" customHeight="1">
      <c r="A35" s="106" t="s">
        <v>1059</v>
      </c>
      <c r="B35" s="107"/>
      <c r="C35" s="108"/>
      <c r="D35" s="106" t="s">
        <v>1059</v>
      </c>
      <c r="E35" s="107"/>
      <c r="F35" s="108"/>
      <c r="G35" s="106" t="s">
        <v>1059</v>
      </c>
      <c r="H35" s="107"/>
      <c r="I35" s="108"/>
      <c r="J35" s="15"/>
    </row>
    <row r="36" spans="1:9" ht="11.25" customHeight="1">
      <c r="A36" s="33" t="s">
        <v>279</v>
      </c>
      <c r="B36" s="35"/>
      <c r="C36" s="35"/>
      <c r="D36" s="35"/>
      <c r="E36" s="35"/>
      <c r="F36" s="35"/>
      <c r="G36" s="35"/>
      <c r="H36" s="35"/>
      <c r="I36" s="35"/>
    </row>
    <row r="37" spans="1:9" ht="409.5" customHeight="1" hidden="1">
      <c r="A37" s="65"/>
      <c r="B37" s="57"/>
      <c r="C37" s="57"/>
      <c r="D37" s="57"/>
      <c r="E37" s="57"/>
      <c r="F37" s="57"/>
      <c r="G37" s="57"/>
      <c r="H37" s="57"/>
      <c r="I37" s="57"/>
    </row>
  </sheetData>
  <mergeCells count="83">
    <mergeCell ref="A37:I37"/>
    <mergeCell ref="A1:I1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G24:H24"/>
    <mergeCell ref="G25:H25"/>
    <mergeCell ref="A27:B27"/>
    <mergeCell ref="A28:B28"/>
    <mergeCell ref="D28:E28"/>
    <mergeCell ref="G28:H28"/>
    <mergeCell ref="A22:B22"/>
    <mergeCell ref="D22:E22"/>
    <mergeCell ref="G22:H22"/>
    <mergeCell ref="D23:E23"/>
    <mergeCell ref="G23:H23"/>
    <mergeCell ref="A20:B20"/>
    <mergeCell ref="D20:E20"/>
    <mergeCell ref="G20:H20"/>
    <mergeCell ref="A21:B21"/>
    <mergeCell ref="D21:E21"/>
    <mergeCell ref="G21:H21"/>
    <mergeCell ref="D18:E18"/>
    <mergeCell ref="G18:H18"/>
    <mergeCell ref="D19:E19"/>
    <mergeCell ref="G19:H19"/>
    <mergeCell ref="D16:E16"/>
    <mergeCell ref="G16:H16"/>
    <mergeCell ref="D17:E17"/>
    <mergeCell ref="G17:H17"/>
    <mergeCell ref="D14:E14"/>
    <mergeCell ref="G14:H14"/>
    <mergeCell ref="D15:E15"/>
    <mergeCell ref="G15:H15"/>
    <mergeCell ref="A12:I12"/>
    <mergeCell ref="B13:C13"/>
    <mergeCell ref="E13:F13"/>
    <mergeCell ref="H13:I13"/>
    <mergeCell ref="H8:H9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4:H5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F24" sqref="F24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40.5" customHeight="1">
      <c r="A1" s="129" t="s">
        <v>1099</v>
      </c>
      <c r="B1" s="130"/>
      <c r="C1" s="130"/>
      <c r="D1" s="130"/>
      <c r="E1" s="130"/>
      <c r="F1" s="130"/>
      <c r="G1" s="130"/>
      <c r="H1" s="130"/>
      <c r="I1" s="131"/>
    </row>
    <row r="2" spans="1:10" ht="12.75">
      <c r="A2" s="54" t="s">
        <v>1</v>
      </c>
      <c r="B2" s="55"/>
      <c r="C2" s="58" t="s">
        <v>544</v>
      </c>
      <c r="D2" s="75"/>
      <c r="E2" s="61" t="s">
        <v>972</v>
      </c>
      <c r="F2" s="61" t="s">
        <v>977</v>
      </c>
      <c r="G2" s="55"/>
      <c r="H2" s="61" t="s">
        <v>1087</v>
      </c>
      <c r="I2" s="85"/>
      <c r="J2" s="14"/>
    </row>
    <row r="3" spans="1:10" ht="12.75">
      <c r="A3" s="56"/>
      <c r="B3" s="57"/>
      <c r="C3" s="59"/>
      <c r="D3" s="59"/>
      <c r="E3" s="57"/>
      <c r="F3" s="57"/>
      <c r="G3" s="57"/>
      <c r="H3" s="57"/>
      <c r="I3" s="63"/>
      <c r="J3" s="14"/>
    </row>
    <row r="4" spans="1:10" ht="12.75">
      <c r="A4" s="64" t="s">
        <v>2</v>
      </c>
      <c r="B4" s="57"/>
      <c r="C4" s="65"/>
      <c r="D4" s="57"/>
      <c r="E4" s="65" t="s">
        <v>973</v>
      </c>
      <c r="F4" s="65" t="s">
        <v>978</v>
      </c>
      <c r="G4" s="57"/>
      <c r="H4" s="65" t="s">
        <v>1087</v>
      </c>
      <c r="I4" s="86"/>
      <c r="J4" s="14"/>
    </row>
    <row r="5" spans="1:10" ht="12.75">
      <c r="A5" s="56"/>
      <c r="B5" s="57"/>
      <c r="C5" s="57"/>
      <c r="D5" s="57"/>
      <c r="E5" s="57"/>
      <c r="F5" s="57"/>
      <c r="G5" s="57"/>
      <c r="H5" s="57"/>
      <c r="I5" s="63"/>
      <c r="J5" s="14"/>
    </row>
    <row r="6" spans="1:10" ht="12.75">
      <c r="A6" s="64" t="s">
        <v>3</v>
      </c>
      <c r="B6" s="57"/>
      <c r="C6" s="65" t="s">
        <v>545</v>
      </c>
      <c r="D6" s="57"/>
      <c r="E6" s="65" t="s">
        <v>974</v>
      </c>
      <c r="F6" s="65" t="s">
        <v>979</v>
      </c>
      <c r="G6" s="57"/>
      <c r="H6" s="65" t="s">
        <v>1087</v>
      </c>
      <c r="I6" s="86"/>
      <c r="J6" s="14"/>
    </row>
    <row r="7" spans="1:10" ht="12.75">
      <c r="A7" s="56"/>
      <c r="B7" s="57"/>
      <c r="C7" s="57"/>
      <c r="D7" s="57"/>
      <c r="E7" s="57"/>
      <c r="F7" s="57"/>
      <c r="G7" s="57"/>
      <c r="H7" s="57"/>
      <c r="I7" s="63"/>
      <c r="J7" s="14"/>
    </row>
    <row r="8" spans="1:10" ht="12.75">
      <c r="A8" s="64" t="s">
        <v>948</v>
      </c>
      <c r="B8" s="57"/>
      <c r="C8" s="66" t="s">
        <v>6</v>
      </c>
      <c r="D8" s="57"/>
      <c r="E8" s="65" t="s">
        <v>949</v>
      </c>
      <c r="F8" s="57"/>
      <c r="G8" s="57"/>
      <c r="H8" s="66" t="s">
        <v>1088</v>
      </c>
      <c r="I8" s="86" t="s">
        <v>278</v>
      </c>
      <c r="J8" s="14"/>
    </row>
    <row r="9" spans="1:10" ht="12.75">
      <c r="A9" s="56"/>
      <c r="B9" s="57"/>
      <c r="C9" s="57"/>
      <c r="D9" s="57"/>
      <c r="E9" s="57"/>
      <c r="F9" s="57"/>
      <c r="G9" s="57"/>
      <c r="H9" s="57"/>
      <c r="I9" s="63"/>
      <c r="J9" s="14"/>
    </row>
    <row r="10" spans="1:10" ht="12.75">
      <c r="A10" s="64" t="s">
        <v>4</v>
      </c>
      <c r="B10" s="57"/>
      <c r="C10" s="65">
        <v>8118999</v>
      </c>
      <c r="D10" s="57"/>
      <c r="E10" s="65" t="s">
        <v>975</v>
      </c>
      <c r="F10" s="65" t="s">
        <v>980</v>
      </c>
      <c r="G10" s="57"/>
      <c r="H10" s="66" t="s">
        <v>1089</v>
      </c>
      <c r="I10" s="88">
        <v>42348</v>
      </c>
      <c r="J10" s="14"/>
    </row>
    <row r="11" spans="1:10" ht="12.75">
      <c r="A11" s="87"/>
      <c r="B11" s="84"/>
      <c r="C11" s="84"/>
      <c r="D11" s="84"/>
      <c r="E11" s="84"/>
      <c r="F11" s="84"/>
      <c r="G11" s="84"/>
      <c r="H11" s="84"/>
      <c r="I11" s="89"/>
      <c r="J11" s="14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5" customHeight="1">
      <c r="A13" s="109" t="s">
        <v>1091</v>
      </c>
      <c r="B13" s="110"/>
      <c r="C13" s="110"/>
      <c r="D13" s="110"/>
      <c r="E13" s="110"/>
      <c r="F13" s="45"/>
      <c r="G13" s="45"/>
      <c r="H13" s="45"/>
      <c r="I13" s="45"/>
    </row>
    <row r="14" spans="1:10" ht="12.75">
      <c r="A14" s="111" t="s">
        <v>1092</v>
      </c>
      <c r="B14" s="112"/>
      <c r="C14" s="112"/>
      <c r="D14" s="112"/>
      <c r="E14" s="113"/>
      <c r="F14" s="46" t="s">
        <v>1100</v>
      </c>
      <c r="G14" s="46" t="s">
        <v>960</v>
      </c>
      <c r="H14" s="46" t="s">
        <v>1101</v>
      </c>
      <c r="I14" s="46" t="s">
        <v>1100</v>
      </c>
      <c r="J14" s="15"/>
    </row>
    <row r="15" spans="1:10" ht="12.75">
      <c r="A15" s="114" t="s">
        <v>1064</v>
      </c>
      <c r="B15" s="115"/>
      <c r="C15" s="115"/>
      <c r="D15" s="115"/>
      <c r="E15" s="116"/>
      <c r="F15" s="47">
        <v>0</v>
      </c>
      <c r="G15" s="50"/>
      <c r="H15" s="50"/>
      <c r="I15" s="47">
        <f>F15</f>
        <v>0</v>
      </c>
      <c r="J15" s="14"/>
    </row>
    <row r="16" spans="1:10" ht="12.75">
      <c r="A16" s="114" t="s">
        <v>1065</v>
      </c>
      <c r="B16" s="115"/>
      <c r="C16" s="115"/>
      <c r="D16" s="115"/>
      <c r="E16" s="116"/>
      <c r="F16" s="47">
        <v>0</v>
      </c>
      <c r="G16" s="50"/>
      <c r="H16" s="50"/>
      <c r="I16" s="47">
        <f>F16</f>
        <v>0</v>
      </c>
      <c r="J16" s="14"/>
    </row>
    <row r="17" spans="1:10" ht="12.75">
      <c r="A17" s="117" t="s">
        <v>1066</v>
      </c>
      <c r="B17" s="118"/>
      <c r="C17" s="118"/>
      <c r="D17" s="118"/>
      <c r="E17" s="119"/>
      <c r="F17" s="48">
        <v>0</v>
      </c>
      <c r="G17" s="51"/>
      <c r="H17" s="51"/>
      <c r="I17" s="48">
        <f>F17</f>
        <v>0</v>
      </c>
      <c r="J17" s="14"/>
    </row>
    <row r="18" spans="1:10" ht="12.75">
      <c r="A18" s="120" t="s">
        <v>1093</v>
      </c>
      <c r="B18" s="121"/>
      <c r="C18" s="121"/>
      <c r="D18" s="121"/>
      <c r="E18" s="122"/>
      <c r="F18" s="49"/>
      <c r="G18" s="52"/>
      <c r="H18" s="52"/>
      <c r="I18" s="53">
        <f>SUM(I15:I17)</f>
        <v>0</v>
      </c>
      <c r="J18" s="15"/>
    </row>
    <row r="19" spans="1:9" ht="12.75">
      <c r="A19" s="44"/>
      <c r="B19" s="44"/>
      <c r="C19" s="44"/>
      <c r="D19" s="44"/>
      <c r="E19" s="44"/>
      <c r="F19" s="44"/>
      <c r="G19" s="44"/>
      <c r="H19" s="44"/>
      <c r="I19" s="44"/>
    </row>
    <row r="20" spans="1:10" ht="12.75">
      <c r="A20" s="111" t="s">
        <v>1090</v>
      </c>
      <c r="B20" s="112"/>
      <c r="C20" s="112"/>
      <c r="D20" s="112"/>
      <c r="E20" s="113"/>
      <c r="F20" s="46" t="s">
        <v>1100</v>
      </c>
      <c r="G20" s="46" t="s">
        <v>960</v>
      </c>
      <c r="H20" s="46" t="s">
        <v>1101</v>
      </c>
      <c r="I20" s="46" t="s">
        <v>1100</v>
      </c>
      <c r="J20" s="15"/>
    </row>
    <row r="21" spans="1:10" ht="12.75">
      <c r="A21" s="114" t="s">
        <v>1074</v>
      </c>
      <c r="B21" s="115"/>
      <c r="C21" s="115"/>
      <c r="D21" s="115"/>
      <c r="E21" s="116"/>
      <c r="F21" s="50"/>
      <c r="G21" s="47">
        <v>1.4</v>
      </c>
      <c r="H21" s="47">
        <f>'Krycí list rozpočtu'!C22</f>
        <v>0</v>
      </c>
      <c r="I21" s="47">
        <f>(G21/100)*H21</f>
        <v>0</v>
      </c>
      <c r="J21" s="14"/>
    </row>
    <row r="22" spans="1:10" ht="12.75">
      <c r="A22" s="114" t="s">
        <v>1075</v>
      </c>
      <c r="B22" s="115"/>
      <c r="C22" s="115"/>
      <c r="D22" s="115"/>
      <c r="E22" s="116"/>
      <c r="F22" s="47">
        <v>0</v>
      </c>
      <c r="G22" s="50"/>
      <c r="H22" s="50"/>
      <c r="I22" s="47">
        <f>F22</f>
        <v>0</v>
      </c>
      <c r="J22" s="14"/>
    </row>
    <row r="23" spans="1:10" ht="12.75">
      <c r="A23" s="114" t="s">
        <v>1076</v>
      </c>
      <c r="B23" s="115"/>
      <c r="C23" s="115"/>
      <c r="D23" s="115"/>
      <c r="E23" s="116"/>
      <c r="F23" s="47">
        <v>0</v>
      </c>
      <c r="G23" s="50"/>
      <c r="H23" s="50"/>
      <c r="I23" s="47">
        <f>F23</f>
        <v>0</v>
      </c>
      <c r="J23" s="14"/>
    </row>
    <row r="24" spans="1:10" ht="12.75">
      <c r="A24" s="114" t="s">
        <v>1077</v>
      </c>
      <c r="B24" s="115"/>
      <c r="C24" s="115"/>
      <c r="D24" s="115"/>
      <c r="E24" s="116"/>
      <c r="F24" s="47">
        <v>0</v>
      </c>
      <c r="G24" s="50"/>
      <c r="H24" s="50"/>
      <c r="I24" s="47">
        <f>F24</f>
        <v>0</v>
      </c>
      <c r="J24" s="14"/>
    </row>
    <row r="25" spans="1:10" ht="12.75">
      <c r="A25" s="114" t="s">
        <v>1078</v>
      </c>
      <c r="B25" s="115"/>
      <c r="C25" s="115"/>
      <c r="D25" s="115"/>
      <c r="E25" s="116"/>
      <c r="F25" s="47">
        <v>0</v>
      </c>
      <c r="G25" s="50"/>
      <c r="H25" s="50"/>
      <c r="I25" s="47">
        <f>F25</f>
        <v>0</v>
      </c>
      <c r="J25" s="14"/>
    </row>
    <row r="26" spans="1:10" ht="12.75">
      <c r="A26" s="117" t="s">
        <v>1079</v>
      </c>
      <c r="B26" s="118"/>
      <c r="C26" s="118"/>
      <c r="D26" s="118"/>
      <c r="E26" s="119"/>
      <c r="F26" s="48">
        <v>0</v>
      </c>
      <c r="G26" s="51"/>
      <c r="H26" s="51"/>
      <c r="I26" s="48">
        <f>F26</f>
        <v>0</v>
      </c>
      <c r="J26" s="14"/>
    </row>
    <row r="27" spans="1:10" ht="12.75">
      <c r="A27" s="120" t="s">
        <v>1094</v>
      </c>
      <c r="B27" s="121"/>
      <c r="C27" s="121"/>
      <c r="D27" s="121"/>
      <c r="E27" s="122"/>
      <c r="F27" s="49"/>
      <c r="G27" s="52"/>
      <c r="H27" s="52"/>
      <c r="I27" s="53">
        <f>SUM(I21:I26)</f>
        <v>0</v>
      </c>
      <c r="J27" s="15"/>
    </row>
    <row r="28" spans="1:9" ht="12.75">
      <c r="A28" s="44"/>
      <c r="B28" s="44"/>
      <c r="C28" s="44"/>
      <c r="D28" s="44"/>
      <c r="E28" s="44"/>
      <c r="F28" s="44"/>
      <c r="G28" s="44"/>
      <c r="H28" s="44"/>
      <c r="I28" s="44"/>
    </row>
    <row r="29" spans="1:10" ht="15" customHeight="1">
      <c r="A29" s="123" t="s">
        <v>1095</v>
      </c>
      <c r="B29" s="124"/>
      <c r="C29" s="124"/>
      <c r="D29" s="124"/>
      <c r="E29" s="125"/>
      <c r="F29" s="126">
        <f>I18+I27</f>
        <v>0</v>
      </c>
      <c r="G29" s="127"/>
      <c r="H29" s="127"/>
      <c r="I29" s="128"/>
      <c r="J29" s="15"/>
    </row>
    <row r="30" spans="1:9" ht="12.75">
      <c r="A30" s="35"/>
      <c r="B30" s="35"/>
      <c r="C30" s="35"/>
      <c r="D30" s="35"/>
      <c r="E30" s="35"/>
      <c r="F30" s="35"/>
      <c r="G30" s="35"/>
      <c r="H30" s="35"/>
      <c r="I30" s="35"/>
    </row>
    <row r="33" spans="1:9" ht="15" customHeight="1">
      <c r="A33" s="109" t="s">
        <v>1096</v>
      </c>
      <c r="B33" s="110"/>
      <c r="C33" s="110"/>
      <c r="D33" s="110"/>
      <c r="E33" s="110"/>
      <c r="F33" s="45"/>
      <c r="G33" s="45"/>
      <c r="H33" s="45"/>
      <c r="I33" s="45"/>
    </row>
    <row r="34" spans="1:10" ht="12.75">
      <c r="A34" s="111" t="s">
        <v>1097</v>
      </c>
      <c r="B34" s="112"/>
      <c r="C34" s="112"/>
      <c r="D34" s="112"/>
      <c r="E34" s="113"/>
      <c r="F34" s="46" t="s">
        <v>1100</v>
      </c>
      <c r="G34" s="46" t="s">
        <v>960</v>
      </c>
      <c r="H34" s="46" t="s">
        <v>1101</v>
      </c>
      <c r="I34" s="46" t="s">
        <v>1100</v>
      </c>
      <c r="J34" s="15"/>
    </row>
    <row r="35" spans="1:10" ht="12.75">
      <c r="A35" s="117"/>
      <c r="B35" s="118"/>
      <c r="C35" s="118"/>
      <c r="D35" s="118"/>
      <c r="E35" s="119"/>
      <c r="F35" s="48">
        <v>0</v>
      </c>
      <c r="G35" s="51"/>
      <c r="H35" s="51"/>
      <c r="I35" s="48">
        <f>F35</f>
        <v>0</v>
      </c>
      <c r="J35" s="14"/>
    </row>
    <row r="36" spans="1:10" ht="12.75">
      <c r="A36" s="120" t="s">
        <v>1098</v>
      </c>
      <c r="B36" s="121"/>
      <c r="C36" s="121"/>
      <c r="D36" s="121"/>
      <c r="E36" s="122"/>
      <c r="F36" s="49"/>
      <c r="G36" s="52"/>
      <c r="H36" s="52"/>
      <c r="I36" s="53">
        <f>SUM(I35:I35)</f>
        <v>0</v>
      </c>
      <c r="J36" s="15"/>
    </row>
    <row r="37" spans="1:9" ht="12.75">
      <c r="A37" s="35"/>
      <c r="B37" s="35"/>
      <c r="C37" s="35"/>
      <c r="D37" s="35"/>
      <c r="E37" s="35"/>
      <c r="F37" s="35"/>
      <c r="G37" s="35"/>
      <c r="H37" s="35"/>
      <c r="I37" s="35"/>
    </row>
  </sheetData>
  <mergeCells count="51">
    <mergeCell ref="A33:E33"/>
    <mergeCell ref="A34:E34"/>
    <mergeCell ref="A35:E35"/>
    <mergeCell ref="A36:E36"/>
    <mergeCell ref="A26:E26"/>
    <mergeCell ref="A27:E27"/>
    <mergeCell ref="A29:E29"/>
    <mergeCell ref="F29:I29"/>
    <mergeCell ref="A22:E22"/>
    <mergeCell ref="A23:E23"/>
    <mergeCell ref="A24:E24"/>
    <mergeCell ref="A25:E25"/>
    <mergeCell ref="A17:E17"/>
    <mergeCell ref="A18:E18"/>
    <mergeCell ref="A20:E20"/>
    <mergeCell ref="A21:E21"/>
    <mergeCell ref="A13:E13"/>
    <mergeCell ref="A14:E14"/>
    <mergeCell ref="A15:E15"/>
    <mergeCell ref="A16:E16"/>
    <mergeCell ref="H8:H9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4:H5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A2:B3"/>
    <mergeCell ref="C2:D3"/>
    <mergeCell ref="E2:E3"/>
    <mergeCell ref="F2:G3"/>
    <mergeCell ref="H2:H3"/>
    <mergeCell ref="I2:I3"/>
    <mergeCell ref="A1:I1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 topLeftCell="A1">
      <selection activeCell="G30" sqref="G30"/>
    </sheetView>
  </sheetViews>
  <sheetFormatPr defaultColWidth="11.57421875" defaultRowHeight="12.75"/>
  <cols>
    <col min="1" max="1" width="6.8515625" style="0" customWidth="1"/>
    <col min="2" max="2" width="4.574218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11" width="14.28125" style="0" customWidth="1"/>
    <col min="12" max="12" width="11.7109375" style="0" customWidth="1"/>
    <col min="13" max="14" width="12.140625" style="0" hidden="1" customWidth="1"/>
  </cols>
  <sheetData>
    <row r="1" spans="1:12" ht="42" customHeight="1">
      <c r="A1" s="132" t="s">
        <v>1102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4"/>
    </row>
    <row r="2" spans="1:13" ht="12.75">
      <c r="A2" s="54" t="s">
        <v>1</v>
      </c>
      <c r="B2" s="55"/>
      <c r="C2" s="55"/>
      <c r="D2" s="58" t="s">
        <v>544</v>
      </c>
      <c r="E2" s="60" t="s">
        <v>947</v>
      </c>
      <c r="F2" s="55"/>
      <c r="G2" s="60"/>
      <c r="H2" s="55"/>
      <c r="I2" s="61" t="s">
        <v>972</v>
      </c>
      <c r="J2" s="61" t="s">
        <v>977</v>
      </c>
      <c r="K2" s="55"/>
      <c r="L2" s="62"/>
      <c r="M2" s="14"/>
    </row>
    <row r="3" spans="1:13" ht="12.75">
      <c r="A3" s="56"/>
      <c r="B3" s="57"/>
      <c r="C3" s="57"/>
      <c r="D3" s="59"/>
      <c r="E3" s="57"/>
      <c r="F3" s="57"/>
      <c r="G3" s="57"/>
      <c r="H3" s="57"/>
      <c r="I3" s="57"/>
      <c r="J3" s="57"/>
      <c r="K3" s="57"/>
      <c r="L3" s="63"/>
      <c r="M3" s="14"/>
    </row>
    <row r="4" spans="1:13" ht="12.75">
      <c r="A4" s="64" t="s">
        <v>2</v>
      </c>
      <c r="B4" s="57"/>
      <c r="C4" s="57"/>
      <c r="D4" s="65"/>
      <c r="E4" s="66" t="s">
        <v>948</v>
      </c>
      <c r="F4" s="57"/>
      <c r="G4" s="66" t="s">
        <v>6</v>
      </c>
      <c r="H4" s="57"/>
      <c r="I4" s="65" t="s">
        <v>973</v>
      </c>
      <c r="J4" s="65" t="s">
        <v>978</v>
      </c>
      <c r="K4" s="57"/>
      <c r="L4" s="63"/>
      <c r="M4" s="14"/>
    </row>
    <row r="5" spans="1:13" ht="12.7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63"/>
      <c r="M5" s="14"/>
    </row>
    <row r="6" spans="1:13" ht="12.75">
      <c r="A6" s="64" t="s">
        <v>3</v>
      </c>
      <c r="B6" s="57"/>
      <c r="C6" s="57"/>
      <c r="D6" s="65" t="s">
        <v>545</v>
      </c>
      <c r="E6" s="66" t="s">
        <v>949</v>
      </c>
      <c r="F6" s="57"/>
      <c r="G6" s="57"/>
      <c r="H6" s="57"/>
      <c r="I6" s="65" t="s">
        <v>974</v>
      </c>
      <c r="J6" s="65" t="s">
        <v>979</v>
      </c>
      <c r="K6" s="57"/>
      <c r="L6" s="63"/>
      <c r="M6" s="14"/>
    </row>
    <row r="7" spans="1:13" ht="12.7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63"/>
      <c r="M7" s="14"/>
    </row>
    <row r="8" spans="1:13" ht="12.75">
      <c r="A8" s="64" t="s">
        <v>4</v>
      </c>
      <c r="B8" s="57"/>
      <c r="C8" s="57"/>
      <c r="D8" s="65">
        <v>8118999</v>
      </c>
      <c r="E8" s="66" t="s">
        <v>950</v>
      </c>
      <c r="F8" s="57"/>
      <c r="G8" s="69">
        <v>42348</v>
      </c>
      <c r="H8" s="57"/>
      <c r="I8" s="65" t="s">
        <v>975</v>
      </c>
      <c r="J8" s="65" t="s">
        <v>980</v>
      </c>
      <c r="K8" s="57"/>
      <c r="L8" s="63"/>
      <c r="M8" s="14"/>
    </row>
    <row r="9" spans="1:13" ht="12.7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70"/>
      <c r="M9" s="14"/>
    </row>
    <row r="10" spans="1:13" ht="12.75">
      <c r="A10" s="21" t="s">
        <v>6</v>
      </c>
      <c r="B10" s="76" t="s">
        <v>6</v>
      </c>
      <c r="C10" s="77"/>
      <c r="D10" s="77"/>
      <c r="E10" s="77"/>
      <c r="F10" s="77"/>
      <c r="G10" s="77"/>
      <c r="H10" s="78"/>
      <c r="I10" s="71" t="s">
        <v>969</v>
      </c>
      <c r="J10" s="72"/>
      <c r="K10" s="73"/>
      <c r="L10" s="27" t="s">
        <v>982</v>
      </c>
      <c r="M10" s="15"/>
    </row>
    <row r="11" spans="1:13" ht="12.75">
      <c r="A11" s="4" t="s">
        <v>280</v>
      </c>
      <c r="B11" s="79" t="s">
        <v>546</v>
      </c>
      <c r="C11" s="80"/>
      <c r="D11" s="80"/>
      <c r="E11" s="80"/>
      <c r="F11" s="80"/>
      <c r="G11" s="80"/>
      <c r="H11" s="81"/>
      <c r="I11" s="8" t="s">
        <v>970</v>
      </c>
      <c r="J11" s="9" t="s">
        <v>976</v>
      </c>
      <c r="K11" s="9" t="s">
        <v>981</v>
      </c>
      <c r="L11" s="10" t="s">
        <v>981</v>
      </c>
      <c r="M11" s="15"/>
    </row>
    <row r="12" spans="1:14" ht="12.75">
      <c r="A12" s="22" t="s">
        <v>281</v>
      </c>
      <c r="B12" s="82" t="s">
        <v>548</v>
      </c>
      <c r="C12" s="77"/>
      <c r="D12" s="77"/>
      <c r="E12" s="77"/>
      <c r="F12" s="77"/>
      <c r="G12" s="77"/>
      <c r="H12" s="77"/>
      <c r="I12" s="25">
        <f>'Stavební rozpočet'!H12</f>
        <v>0</v>
      </c>
      <c r="J12" s="25">
        <f>'Stavební rozpočet'!I12</f>
        <v>0</v>
      </c>
      <c r="K12" s="25">
        <f aca="true" t="shared" si="0" ref="K12:K19">I12+J12</f>
        <v>0</v>
      </c>
      <c r="L12" s="25">
        <v>316.06824</v>
      </c>
      <c r="M12" s="16" t="s">
        <v>1046</v>
      </c>
      <c r="N12" s="16">
        <f aca="true" t="shared" si="1" ref="N12:N19">IF(M12="T",0,K12)</f>
        <v>0</v>
      </c>
    </row>
    <row r="13" spans="1:14" ht="12.75">
      <c r="A13" s="5" t="s">
        <v>282</v>
      </c>
      <c r="B13" s="66" t="s">
        <v>581</v>
      </c>
      <c r="C13" s="57"/>
      <c r="D13" s="57"/>
      <c r="E13" s="57"/>
      <c r="F13" s="57"/>
      <c r="G13" s="57"/>
      <c r="H13" s="57"/>
      <c r="I13" s="16">
        <f>'Stavební rozpočet'!H51</f>
        <v>0</v>
      </c>
      <c r="J13" s="16">
        <f>'Stavební rozpočet'!I51</f>
        <v>0</v>
      </c>
      <c r="K13" s="16">
        <f t="shared" si="0"/>
        <v>0</v>
      </c>
      <c r="L13" s="16">
        <v>2232.77518</v>
      </c>
      <c r="M13" s="16" t="s">
        <v>1046</v>
      </c>
      <c r="N13" s="16">
        <f t="shared" si="1"/>
        <v>0</v>
      </c>
    </row>
    <row r="14" spans="1:14" ht="12.75">
      <c r="A14" s="5" t="s">
        <v>283</v>
      </c>
      <c r="B14" s="66" t="s">
        <v>809</v>
      </c>
      <c r="C14" s="57"/>
      <c r="D14" s="57"/>
      <c r="E14" s="57"/>
      <c r="F14" s="57"/>
      <c r="G14" s="57"/>
      <c r="H14" s="57"/>
      <c r="I14" s="16">
        <f>'Stavební rozpočet'!H376</f>
        <v>0</v>
      </c>
      <c r="J14" s="16">
        <f>'Stavební rozpočet'!I376</f>
        <v>0</v>
      </c>
      <c r="K14" s="16">
        <f t="shared" si="0"/>
        <v>0</v>
      </c>
      <c r="L14" s="16">
        <v>147.42804</v>
      </c>
      <c r="M14" s="16" t="s">
        <v>1046</v>
      </c>
      <c r="N14" s="16">
        <f t="shared" si="1"/>
        <v>0</v>
      </c>
    </row>
    <row r="15" spans="1:14" ht="12.75">
      <c r="A15" s="5" t="s">
        <v>284</v>
      </c>
      <c r="B15" s="66" t="s">
        <v>831</v>
      </c>
      <c r="C15" s="57"/>
      <c r="D15" s="57"/>
      <c r="E15" s="57"/>
      <c r="F15" s="57"/>
      <c r="G15" s="57"/>
      <c r="H15" s="57"/>
      <c r="I15" s="16">
        <f>'Stavební rozpočet'!H404</f>
        <v>0</v>
      </c>
      <c r="J15" s="16">
        <f>'Stavební rozpočet'!I404</f>
        <v>0</v>
      </c>
      <c r="K15" s="16">
        <f t="shared" si="0"/>
        <v>0</v>
      </c>
      <c r="L15" s="16">
        <v>20.89057</v>
      </c>
      <c r="M15" s="16" t="s">
        <v>1046</v>
      </c>
      <c r="N15" s="16">
        <f t="shared" si="1"/>
        <v>0</v>
      </c>
    </row>
    <row r="16" spans="1:14" ht="12.75">
      <c r="A16" s="5" t="s">
        <v>285</v>
      </c>
      <c r="B16" s="66" t="s">
        <v>865</v>
      </c>
      <c r="C16" s="57"/>
      <c r="D16" s="57"/>
      <c r="E16" s="57"/>
      <c r="F16" s="57"/>
      <c r="G16" s="57"/>
      <c r="H16" s="57"/>
      <c r="I16" s="16">
        <f>'Stavební rozpočet'!H474</f>
        <v>0</v>
      </c>
      <c r="J16" s="16">
        <f>'Stavební rozpočet'!I474</f>
        <v>0</v>
      </c>
      <c r="K16" s="16">
        <f t="shared" si="0"/>
        <v>0</v>
      </c>
      <c r="L16" s="16">
        <v>101.84983</v>
      </c>
      <c r="M16" s="16" t="s">
        <v>1046</v>
      </c>
      <c r="N16" s="16">
        <f t="shared" si="1"/>
        <v>0</v>
      </c>
    </row>
    <row r="17" spans="1:14" ht="12.75">
      <c r="A17" s="5" t="s">
        <v>286</v>
      </c>
      <c r="B17" s="66" t="s">
        <v>898</v>
      </c>
      <c r="C17" s="57"/>
      <c r="D17" s="57"/>
      <c r="E17" s="57"/>
      <c r="F17" s="57"/>
      <c r="G17" s="57"/>
      <c r="H17" s="57"/>
      <c r="I17" s="16">
        <f>'Stavební rozpočet'!H533</f>
        <v>0</v>
      </c>
      <c r="J17" s="16">
        <f>'Stavební rozpočet'!I533</f>
        <v>0</v>
      </c>
      <c r="K17" s="16">
        <f t="shared" si="0"/>
        <v>0</v>
      </c>
      <c r="L17" s="16">
        <v>838.71035</v>
      </c>
      <c r="M17" s="16" t="s">
        <v>1046</v>
      </c>
      <c r="N17" s="16">
        <f t="shared" si="1"/>
        <v>0</v>
      </c>
    </row>
    <row r="18" spans="1:14" ht="12.75">
      <c r="A18" s="5" t="s">
        <v>287</v>
      </c>
      <c r="B18" s="66" t="s">
        <v>924</v>
      </c>
      <c r="C18" s="57"/>
      <c r="D18" s="57"/>
      <c r="E18" s="57"/>
      <c r="F18" s="57"/>
      <c r="G18" s="57"/>
      <c r="H18" s="57"/>
      <c r="I18" s="16">
        <f>'Stavební rozpočet'!H571</f>
        <v>0</v>
      </c>
      <c r="J18" s="16">
        <f>'Stavební rozpočet'!I571</f>
        <v>0</v>
      </c>
      <c r="K18" s="16">
        <f t="shared" si="0"/>
        <v>0</v>
      </c>
      <c r="L18" s="16">
        <v>0.38995</v>
      </c>
      <c r="M18" s="16" t="s">
        <v>1046</v>
      </c>
      <c r="N18" s="16">
        <f t="shared" si="1"/>
        <v>0</v>
      </c>
    </row>
    <row r="19" spans="1:14" ht="12.75">
      <c r="A19" s="23" t="s">
        <v>288</v>
      </c>
      <c r="B19" s="83" t="s">
        <v>935</v>
      </c>
      <c r="C19" s="84"/>
      <c r="D19" s="84"/>
      <c r="E19" s="84"/>
      <c r="F19" s="84"/>
      <c r="G19" s="84"/>
      <c r="H19" s="84"/>
      <c r="I19" s="26">
        <f>'Stavební rozpočet'!H589</f>
        <v>0</v>
      </c>
      <c r="J19" s="26">
        <f>'Stavební rozpočet'!I589</f>
        <v>0</v>
      </c>
      <c r="K19" s="26">
        <f t="shared" si="0"/>
        <v>0</v>
      </c>
      <c r="L19" s="26">
        <v>69.77036</v>
      </c>
      <c r="M19" s="16" t="s">
        <v>1046</v>
      </c>
      <c r="N19" s="16">
        <f t="shared" si="1"/>
        <v>0</v>
      </c>
    </row>
    <row r="20" spans="1:12" ht="11.25" customHeight="1">
      <c r="A20" s="24" t="s">
        <v>279</v>
      </c>
      <c r="B20" s="2"/>
      <c r="C20" s="2"/>
      <c r="D20" s="2"/>
      <c r="E20" s="2"/>
      <c r="F20" s="2"/>
      <c r="G20" s="2"/>
      <c r="H20" s="2"/>
      <c r="I20" s="74" t="s">
        <v>971</v>
      </c>
      <c r="J20" s="75"/>
      <c r="K20" s="19">
        <f>SUM(K12:K19)</f>
        <v>0</v>
      </c>
      <c r="L20" s="2"/>
    </row>
    <row r="21" spans="1:11" ht="409.5" customHeight="1" hidden="1">
      <c r="A21" s="65"/>
      <c r="B21" s="57"/>
      <c r="C21" s="57"/>
      <c r="D21" s="57"/>
      <c r="E21" s="57"/>
      <c r="F21" s="57"/>
      <c r="G21" s="57"/>
      <c r="H21" s="57"/>
      <c r="I21" s="57"/>
      <c r="J21" s="57"/>
      <c r="K21" s="57"/>
    </row>
  </sheetData>
  <mergeCells count="38">
    <mergeCell ref="B19:H19"/>
    <mergeCell ref="I20:J20"/>
    <mergeCell ref="A21:K21"/>
    <mergeCell ref="B15:H15"/>
    <mergeCell ref="B16:H16"/>
    <mergeCell ref="B17:H17"/>
    <mergeCell ref="B18:H18"/>
    <mergeCell ref="B11:H11"/>
    <mergeCell ref="B12:H12"/>
    <mergeCell ref="B13:H13"/>
    <mergeCell ref="B14:H14"/>
    <mergeCell ref="I8:I9"/>
    <mergeCell ref="J8:L9"/>
    <mergeCell ref="B10:H10"/>
    <mergeCell ref="I10:K10"/>
    <mergeCell ref="A8:C9"/>
    <mergeCell ref="D8:D9"/>
    <mergeCell ref="E8:F9"/>
    <mergeCell ref="G8:H9"/>
    <mergeCell ref="I4:I5"/>
    <mergeCell ref="J4:L5"/>
    <mergeCell ref="A6:C7"/>
    <mergeCell ref="D6:D7"/>
    <mergeCell ref="E6:F7"/>
    <mergeCell ref="G6:H7"/>
    <mergeCell ref="I6:I7"/>
    <mergeCell ref="J6:L7"/>
    <mergeCell ref="A4:C5"/>
    <mergeCell ref="D4:D5"/>
    <mergeCell ref="E4:F5"/>
    <mergeCell ref="G4:H5"/>
    <mergeCell ref="A1:L1"/>
    <mergeCell ref="A2:C3"/>
    <mergeCell ref="D2:D3"/>
    <mergeCell ref="E2:F3"/>
    <mergeCell ref="G2:H3"/>
    <mergeCell ref="I2:I3"/>
    <mergeCell ref="J2:L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50"/>
  <sheetViews>
    <sheetView workbookViewId="0" topLeftCell="A489">
      <selection activeCell="G527" sqref="G527"/>
    </sheetView>
  </sheetViews>
  <sheetFormatPr defaultColWidth="11.57421875" defaultRowHeight="12.75"/>
  <cols>
    <col min="1" max="1" width="3.7109375" style="0" customWidth="1"/>
    <col min="2" max="2" width="8.140625" style="0" customWidth="1"/>
    <col min="3" max="3" width="13.28125" style="0" customWidth="1"/>
    <col min="4" max="4" width="84.28125" style="0" customWidth="1"/>
    <col min="5" max="5" width="7.00390625" style="0" customWidth="1"/>
    <col min="6" max="6" width="12.8515625" style="0" customWidth="1"/>
    <col min="7" max="7" width="12.00390625" style="0" customWidth="1"/>
    <col min="8" max="9" width="14.28125" style="0" hidden="1" customWidth="1"/>
    <col min="10" max="10" width="14.28125" style="0" customWidth="1"/>
    <col min="11" max="11" width="11.7109375" style="0" hidden="1" customWidth="1"/>
    <col min="12" max="13" width="11.7109375" style="0" customWidth="1"/>
    <col min="14" max="14" width="0" style="0" hidden="1" customWidth="1"/>
    <col min="15" max="47" width="12.140625" style="0" hidden="1" customWidth="1"/>
  </cols>
  <sheetData>
    <row r="1" spans="1:13" ht="39" customHeight="1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4" ht="12.75">
      <c r="A2" s="135" t="s">
        <v>1</v>
      </c>
      <c r="B2" s="136"/>
      <c r="C2" s="136"/>
      <c r="D2" s="137" t="s">
        <v>544</v>
      </c>
      <c r="E2" s="138" t="s">
        <v>972</v>
      </c>
      <c r="F2" s="136"/>
      <c r="G2" s="138"/>
      <c r="H2" s="136"/>
      <c r="I2" s="139" t="s">
        <v>972</v>
      </c>
      <c r="J2" s="139" t="s">
        <v>977</v>
      </c>
      <c r="K2" s="136"/>
      <c r="L2" s="136"/>
      <c r="M2" s="140"/>
      <c r="N2" s="14"/>
    </row>
    <row r="3" spans="1:14" ht="12.75">
      <c r="A3" s="141"/>
      <c r="B3" s="142"/>
      <c r="C3" s="142"/>
      <c r="D3" s="143"/>
      <c r="E3" s="142"/>
      <c r="F3" s="142"/>
      <c r="G3" s="142"/>
      <c r="H3" s="142"/>
      <c r="I3" s="142"/>
      <c r="J3" s="142"/>
      <c r="K3" s="142"/>
      <c r="L3" s="142"/>
      <c r="M3" s="144"/>
      <c r="N3" s="14"/>
    </row>
    <row r="4" spans="1:14" ht="12.75">
      <c r="A4" s="145" t="s">
        <v>2</v>
      </c>
      <c r="B4" s="142"/>
      <c r="C4" s="142"/>
      <c r="D4" s="146"/>
      <c r="E4" s="147" t="s">
        <v>973</v>
      </c>
      <c r="F4" s="142"/>
      <c r="G4" s="147" t="s">
        <v>6</v>
      </c>
      <c r="H4" s="142"/>
      <c r="I4" s="146" t="s">
        <v>973</v>
      </c>
      <c r="J4" s="146" t="s">
        <v>978</v>
      </c>
      <c r="K4" s="142"/>
      <c r="L4" s="142"/>
      <c r="M4" s="144"/>
      <c r="N4" s="14"/>
    </row>
    <row r="5" spans="1:14" ht="12.75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4"/>
      <c r="N5" s="14"/>
    </row>
    <row r="6" spans="1:14" ht="12.75">
      <c r="A6" s="145" t="s">
        <v>3</v>
      </c>
      <c r="B6" s="142"/>
      <c r="C6" s="142"/>
      <c r="D6" s="146" t="s">
        <v>545</v>
      </c>
      <c r="E6" s="147" t="s">
        <v>974</v>
      </c>
      <c r="F6" s="142"/>
      <c r="G6" s="142"/>
      <c r="H6" s="142"/>
      <c r="I6" s="146" t="s">
        <v>974</v>
      </c>
      <c r="J6" s="146" t="s">
        <v>979</v>
      </c>
      <c r="K6" s="142"/>
      <c r="L6" s="142"/>
      <c r="M6" s="144"/>
      <c r="N6" s="14"/>
    </row>
    <row r="7" spans="1:14" ht="12.75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4"/>
      <c r="N7" s="14"/>
    </row>
    <row r="8" spans="1:14" ht="12.75">
      <c r="A8" s="145" t="s">
        <v>4</v>
      </c>
      <c r="B8" s="142"/>
      <c r="C8" s="142"/>
      <c r="D8" s="146">
        <v>8118999</v>
      </c>
      <c r="E8" s="147" t="s">
        <v>975</v>
      </c>
      <c r="F8" s="142"/>
      <c r="G8" s="148">
        <v>42348</v>
      </c>
      <c r="H8" s="142"/>
      <c r="I8" s="146" t="s">
        <v>975</v>
      </c>
      <c r="J8" s="146" t="s">
        <v>980</v>
      </c>
      <c r="K8" s="142"/>
      <c r="L8" s="142"/>
      <c r="M8" s="144"/>
      <c r="N8" s="14"/>
    </row>
    <row r="9" spans="1:14" ht="12.75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1"/>
      <c r="N9" s="14"/>
    </row>
    <row r="10" spans="1:14" ht="12.75">
      <c r="A10" s="152" t="s">
        <v>5</v>
      </c>
      <c r="B10" s="153" t="s">
        <v>280</v>
      </c>
      <c r="C10" s="153" t="s">
        <v>289</v>
      </c>
      <c r="D10" s="153" t="s">
        <v>546</v>
      </c>
      <c r="E10" s="153" t="s">
        <v>951</v>
      </c>
      <c r="F10" s="154" t="s">
        <v>966</v>
      </c>
      <c r="G10" s="155" t="s">
        <v>967</v>
      </c>
      <c r="H10" s="156" t="s">
        <v>969</v>
      </c>
      <c r="I10" s="157"/>
      <c r="J10" s="158"/>
      <c r="K10" s="156" t="s">
        <v>982</v>
      </c>
      <c r="L10" s="158"/>
      <c r="M10" s="159" t="s">
        <v>983</v>
      </c>
      <c r="N10" s="15"/>
    </row>
    <row r="11" spans="1:24" ht="12.75">
      <c r="A11" s="160" t="s">
        <v>6</v>
      </c>
      <c r="B11" s="161" t="s">
        <v>6</v>
      </c>
      <c r="C11" s="161" t="s">
        <v>6</v>
      </c>
      <c r="D11" s="162" t="s">
        <v>547</v>
      </c>
      <c r="E11" s="161" t="s">
        <v>6</v>
      </c>
      <c r="F11" s="161" t="s">
        <v>6</v>
      </c>
      <c r="G11" s="163" t="s">
        <v>968</v>
      </c>
      <c r="H11" s="164" t="s">
        <v>970</v>
      </c>
      <c r="I11" s="165" t="s">
        <v>976</v>
      </c>
      <c r="J11" s="166" t="s">
        <v>981</v>
      </c>
      <c r="K11" s="164" t="s">
        <v>967</v>
      </c>
      <c r="L11" s="166" t="s">
        <v>981</v>
      </c>
      <c r="M11" s="167" t="s">
        <v>984</v>
      </c>
      <c r="N11" s="15"/>
      <c r="P11" s="11" t="s">
        <v>990</v>
      </c>
      <c r="Q11" s="11" t="s">
        <v>991</v>
      </c>
      <c r="R11" s="11" t="s">
        <v>995</v>
      </c>
      <c r="S11" s="11" t="s">
        <v>996</v>
      </c>
      <c r="T11" s="11" t="s">
        <v>997</v>
      </c>
      <c r="U11" s="11" t="s">
        <v>998</v>
      </c>
      <c r="V11" s="11" t="s">
        <v>999</v>
      </c>
      <c r="W11" s="11" t="s">
        <v>1000</v>
      </c>
      <c r="X11" s="11" t="s">
        <v>1001</v>
      </c>
    </row>
    <row r="12" spans="1:13" ht="12.75">
      <c r="A12" s="168"/>
      <c r="B12" s="169" t="s">
        <v>281</v>
      </c>
      <c r="C12" s="169"/>
      <c r="D12" s="170" t="s">
        <v>548</v>
      </c>
      <c r="E12" s="171"/>
      <c r="F12" s="171"/>
      <c r="G12" s="171"/>
      <c r="H12" s="172">
        <f>H13+H36+H48</f>
        <v>0</v>
      </c>
      <c r="I12" s="172">
        <f>I13+I36+I48</f>
        <v>0</v>
      </c>
      <c r="J12" s="172">
        <f>H12+I12</f>
        <v>0</v>
      </c>
      <c r="K12" s="173"/>
      <c r="L12" s="172">
        <f>L13+L36+L48</f>
        <v>316.06823499999996</v>
      </c>
      <c r="M12" s="173"/>
    </row>
    <row r="13" spans="1:37" ht="12.75">
      <c r="A13" s="174"/>
      <c r="B13" s="175" t="s">
        <v>281</v>
      </c>
      <c r="C13" s="175" t="s">
        <v>7</v>
      </c>
      <c r="D13" s="176" t="s">
        <v>549</v>
      </c>
      <c r="E13" s="177"/>
      <c r="F13" s="177"/>
      <c r="G13" s="177"/>
      <c r="H13" s="178">
        <f>SUM(H14:H34)</f>
        <v>0</v>
      </c>
      <c r="I13" s="178">
        <f>SUM(I14:I34)</f>
        <v>0</v>
      </c>
      <c r="J13" s="178">
        <f>H13+I13</f>
        <v>0</v>
      </c>
      <c r="K13" s="179"/>
      <c r="L13" s="178">
        <f>SUM(L14:L34)</f>
        <v>31.751865000000002</v>
      </c>
      <c r="M13" s="179"/>
      <c r="P13" s="18">
        <f>IF(Q13="PR",J13,SUM(O14:O34))</f>
        <v>0</v>
      </c>
      <c r="Q13" s="11" t="s">
        <v>992</v>
      </c>
      <c r="R13" s="18">
        <f>IF(Q13="HS",H13,0)</f>
        <v>0</v>
      </c>
      <c r="S13" s="18">
        <f>IF(Q13="HS",I13-P13,0)</f>
        <v>0</v>
      </c>
      <c r="T13" s="18">
        <f>IF(Q13="PS",H13,0)</f>
        <v>0</v>
      </c>
      <c r="U13" s="18">
        <f>IF(Q13="PS",I13-P13,0)</f>
        <v>0</v>
      </c>
      <c r="V13" s="18">
        <f>IF(Q13="MP",H13,0)</f>
        <v>0</v>
      </c>
      <c r="W13" s="18">
        <f>IF(Q13="MP",I13-P13,0)</f>
        <v>0</v>
      </c>
      <c r="X13" s="18">
        <f>IF(Q13="OM",H13,0)</f>
        <v>0</v>
      </c>
      <c r="Y13" s="11" t="s">
        <v>281</v>
      </c>
      <c r="AI13" s="18">
        <f>SUM(Z14:Z34)</f>
        <v>0</v>
      </c>
      <c r="AJ13" s="18">
        <f>SUM(AA14:AA34)</f>
        <v>0</v>
      </c>
      <c r="AK13" s="18">
        <f>SUM(AB14:AB34)</f>
        <v>0</v>
      </c>
    </row>
    <row r="14" spans="1:43" ht="12.75">
      <c r="A14" s="180" t="s">
        <v>7</v>
      </c>
      <c r="B14" s="180" t="s">
        <v>281</v>
      </c>
      <c r="C14" s="180" t="s">
        <v>290</v>
      </c>
      <c r="D14" s="180" t="s">
        <v>550</v>
      </c>
      <c r="E14" s="180" t="s">
        <v>952</v>
      </c>
      <c r="F14" s="181">
        <v>2730</v>
      </c>
      <c r="G14" s="181"/>
      <c r="H14" s="181">
        <f>F14*AE14</f>
        <v>0</v>
      </c>
      <c r="I14" s="181">
        <f>J14-H14</f>
        <v>0</v>
      </c>
      <c r="J14" s="181">
        <f>F14*G14</f>
        <v>0</v>
      </c>
      <c r="K14" s="181">
        <v>0</v>
      </c>
      <c r="L14" s="181">
        <f>F14*K14</f>
        <v>0</v>
      </c>
      <c r="M14" s="182" t="s">
        <v>985</v>
      </c>
      <c r="N14" s="12" t="s">
        <v>7</v>
      </c>
      <c r="O14" s="6">
        <f>IF(N14="5",I14,0)</f>
        <v>0</v>
      </c>
      <c r="Z14" s="6">
        <f>IF(AD14=0,J14,0)</f>
        <v>0</v>
      </c>
      <c r="AA14" s="6">
        <f>IF(AD14=15,J14,0)</f>
        <v>0</v>
      </c>
      <c r="AB14" s="6">
        <f>IF(AD14=21,J14,0)</f>
        <v>0</v>
      </c>
      <c r="AD14" s="16">
        <v>21</v>
      </c>
      <c r="AE14" s="16">
        <f>G14*0</f>
        <v>0</v>
      </c>
      <c r="AF14" s="16">
        <f>G14*(1-0)</f>
        <v>0</v>
      </c>
      <c r="AM14" s="16">
        <f>F14*AE14</f>
        <v>0</v>
      </c>
      <c r="AN14" s="16">
        <f>F14*AF14</f>
        <v>0</v>
      </c>
      <c r="AO14" s="17" t="s">
        <v>1002</v>
      </c>
      <c r="AP14" s="17" t="s">
        <v>1002</v>
      </c>
      <c r="AQ14" s="11" t="s">
        <v>1038</v>
      </c>
    </row>
    <row r="15" spans="1:13" ht="12.75">
      <c r="A15" s="183"/>
      <c r="B15" s="183"/>
      <c r="C15" s="183"/>
      <c r="D15" s="184" t="s">
        <v>551</v>
      </c>
      <c r="E15" s="183"/>
      <c r="F15" s="185">
        <v>2730</v>
      </c>
      <c r="G15" s="183"/>
      <c r="H15" s="183"/>
      <c r="I15" s="183"/>
      <c r="J15" s="183"/>
      <c r="K15" s="183"/>
      <c r="L15" s="183"/>
      <c r="M15" s="183"/>
    </row>
    <row r="16" spans="1:43" ht="12.75">
      <c r="A16" s="180" t="s">
        <v>8</v>
      </c>
      <c r="B16" s="180" t="s">
        <v>281</v>
      </c>
      <c r="C16" s="180" t="s">
        <v>291</v>
      </c>
      <c r="D16" s="180" t="s">
        <v>552</v>
      </c>
      <c r="E16" s="180" t="s">
        <v>953</v>
      </c>
      <c r="F16" s="181">
        <v>273</v>
      </c>
      <c r="G16" s="181"/>
      <c r="H16" s="181">
        <f>F16*AE16</f>
        <v>0</v>
      </c>
      <c r="I16" s="181">
        <f>J16-H16</f>
        <v>0</v>
      </c>
      <c r="J16" s="181">
        <f>F16*G16</f>
        <v>0</v>
      </c>
      <c r="K16" s="181">
        <v>0</v>
      </c>
      <c r="L16" s="181">
        <f>F16*K16</f>
        <v>0</v>
      </c>
      <c r="M16" s="182" t="s">
        <v>985</v>
      </c>
      <c r="N16" s="12" t="s">
        <v>7</v>
      </c>
      <c r="O16" s="6">
        <f>IF(N16="5",I16,0)</f>
        <v>0</v>
      </c>
      <c r="Z16" s="6">
        <f>IF(AD16=0,J16,0)</f>
        <v>0</v>
      </c>
      <c r="AA16" s="6">
        <f>IF(AD16=15,J16,0)</f>
        <v>0</v>
      </c>
      <c r="AB16" s="6">
        <f>IF(AD16=21,J16,0)</f>
        <v>0</v>
      </c>
      <c r="AD16" s="16">
        <v>21</v>
      </c>
      <c r="AE16" s="16">
        <f>G16*0</f>
        <v>0</v>
      </c>
      <c r="AF16" s="16">
        <f>G16*(1-0)</f>
        <v>0</v>
      </c>
      <c r="AM16" s="16">
        <f>F16*AE16</f>
        <v>0</v>
      </c>
      <c r="AN16" s="16">
        <f>F16*AF16</f>
        <v>0</v>
      </c>
      <c r="AO16" s="17" t="s">
        <v>1002</v>
      </c>
      <c r="AP16" s="17" t="s">
        <v>1002</v>
      </c>
      <c r="AQ16" s="11" t="s">
        <v>1038</v>
      </c>
    </row>
    <row r="17" spans="1:13" ht="12.75">
      <c r="A17" s="183"/>
      <c r="B17" s="183"/>
      <c r="C17" s="183"/>
      <c r="D17" s="184" t="s">
        <v>553</v>
      </c>
      <c r="E17" s="183"/>
      <c r="F17" s="185">
        <v>273</v>
      </c>
      <c r="G17" s="183"/>
      <c r="H17" s="183"/>
      <c r="I17" s="183"/>
      <c r="J17" s="183"/>
      <c r="K17" s="183"/>
      <c r="L17" s="183"/>
      <c r="M17" s="183"/>
    </row>
    <row r="18" spans="1:43" ht="12.75">
      <c r="A18" s="180" t="s">
        <v>9</v>
      </c>
      <c r="B18" s="180" t="s">
        <v>281</v>
      </c>
      <c r="C18" s="180" t="s">
        <v>292</v>
      </c>
      <c r="D18" s="180" t="s">
        <v>554</v>
      </c>
      <c r="E18" s="180" t="s">
        <v>953</v>
      </c>
      <c r="F18" s="181">
        <v>5859.15</v>
      </c>
      <c r="G18" s="181"/>
      <c r="H18" s="181">
        <f>F18*AE18</f>
        <v>0</v>
      </c>
      <c r="I18" s="181">
        <f>J18-H18</f>
        <v>0</v>
      </c>
      <c r="J18" s="181">
        <f>F18*G18</f>
        <v>0</v>
      </c>
      <c r="K18" s="181">
        <v>0</v>
      </c>
      <c r="L18" s="181">
        <f>F18*K18</f>
        <v>0</v>
      </c>
      <c r="M18" s="182" t="s">
        <v>985</v>
      </c>
      <c r="N18" s="12" t="s">
        <v>7</v>
      </c>
      <c r="O18" s="6">
        <f>IF(N18="5",I18,0)</f>
        <v>0</v>
      </c>
      <c r="Z18" s="6">
        <f>IF(AD18=0,J18,0)</f>
        <v>0</v>
      </c>
      <c r="AA18" s="6">
        <f>IF(AD18=15,J18,0)</f>
        <v>0</v>
      </c>
      <c r="AB18" s="6">
        <f>IF(AD18=21,J18,0)</f>
        <v>0</v>
      </c>
      <c r="AD18" s="16">
        <v>21</v>
      </c>
      <c r="AE18" s="16">
        <f>G18*0</f>
        <v>0</v>
      </c>
      <c r="AF18" s="16">
        <f>G18*(1-0)</f>
        <v>0</v>
      </c>
      <c r="AM18" s="16">
        <f>F18*AE18</f>
        <v>0</v>
      </c>
      <c r="AN18" s="16">
        <f>F18*AF18</f>
        <v>0</v>
      </c>
      <c r="AO18" s="17" t="s">
        <v>1002</v>
      </c>
      <c r="AP18" s="17" t="s">
        <v>1002</v>
      </c>
      <c r="AQ18" s="11" t="s">
        <v>1038</v>
      </c>
    </row>
    <row r="19" spans="1:13" ht="12.75">
      <c r="A19" s="183"/>
      <c r="B19" s="183"/>
      <c r="C19" s="183"/>
      <c r="D19" s="184" t="s">
        <v>555</v>
      </c>
      <c r="E19" s="183"/>
      <c r="F19" s="185">
        <v>5859.15</v>
      </c>
      <c r="G19" s="183"/>
      <c r="H19" s="183"/>
      <c r="I19" s="183"/>
      <c r="J19" s="183"/>
      <c r="K19" s="183"/>
      <c r="L19" s="183"/>
      <c r="M19" s="183"/>
    </row>
    <row r="20" spans="1:43" ht="12.75">
      <c r="A20" s="180" t="s">
        <v>10</v>
      </c>
      <c r="B20" s="180" t="s">
        <v>281</v>
      </c>
      <c r="C20" s="180" t="s">
        <v>293</v>
      </c>
      <c r="D20" s="180" t="s">
        <v>556</v>
      </c>
      <c r="E20" s="180" t="s">
        <v>953</v>
      </c>
      <c r="F20" s="181">
        <v>5859.15</v>
      </c>
      <c r="G20" s="181"/>
      <c r="H20" s="181">
        <f>F20*AE20</f>
        <v>0</v>
      </c>
      <c r="I20" s="181">
        <f>J20-H20</f>
        <v>0</v>
      </c>
      <c r="J20" s="181">
        <f>F20*G20</f>
        <v>0</v>
      </c>
      <c r="K20" s="181">
        <v>0</v>
      </c>
      <c r="L20" s="181">
        <f>F20*K20</f>
        <v>0</v>
      </c>
      <c r="M20" s="182" t="s">
        <v>985</v>
      </c>
      <c r="N20" s="12" t="s">
        <v>7</v>
      </c>
      <c r="O20" s="6">
        <f>IF(N20="5",I20,0)</f>
        <v>0</v>
      </c>
      <c r="Z20" s="6">
        <f>IF(AD20=0,J20,0)</f>
        <v>0</v>
      </c>
      <c r="AA20" s="6">
        <f>IF(AD20=15,J20,0)</f>
        <v>0</v>
      </c>
      <c r="AB20" s="6">
        <f>IF(AD20=21,J20,0)</f>
        <v>0</v>
      </c>
      <c r="AD20" s="16">
        <v>21</v>
      </c>
      <c r="AE20" s="16">
        <f>G20*0</f>
        <v>0</v>
      </c>
      <c r="AF20" s="16">
        <f>G20*(1-0)</f>
        <v>0</v>
      </c>
      <c r="AM20" s="16">
        <f>F20*AE20</f>
        <v>0</v>
      </c>
      <c r="AN20" s="16">
        <f>F20*AF20</f>
        <v>0</v>
      </c>
      <c r="AO20" s="17" t="s">
        <v>1002</v>
      </c>
      <c r="AP20" s="17" t="s">
        <v>1002</v>
      </c>
      <c r="AQ20" s="11" t="s">
        <v>1038</v>
      </c>
    </row>
    <row r="21" spans="1:13" ht="12.75">
      <c r="A21" s="183"/>
      <c r="B21" s="183"/>
      <c r="C21" s="183"/>
      <c r="D21" s="184" t="s">
        <v>557</v>
      </c>
      <c r="E21" s="183"/>
      <c r="F21" s="185">
        <v>5859.15</v>
      </c>
      <c r="G21" s="183"/>
      <c r="H21" s="183"/>
      <c r="I21" s="183"/>
      <c r="J21" s="183"/>
      <c r="K21" s="183"/>
      <c r="L21" s="183"/>
      <c r="M21" s="183"/>
    </row>
    <row r="22" spans="1:43" ht="12.75">
      <c r="A22" s="180" t="s">
        <v>11</v>
      </c>
      <c r="B22" s="180" t="s">
        <v>281</v>
      </c>
      <c r="C22" s="180" t="s">
        <v>294</v>
      </c>
      <c r="D22" s="180" t="s">
        <v>558</v>
      </c>
      <c r="E22" s="180" t="s">
        <v>953</v>
      </c>
      <c r="F22" s="181">
        <v>5859.15</v>
      </c>
      <c r="G22" s="181"/>
      <c r="H22" s="181">
        <f>F22*AE22</f>
        <v>0</v>
      </c>
      <c r="I22" s="181">
        <f>J22-H22</f>
        <v>0</v>
      </c>
      <c r="J22" s="181">
        <f>F22*G22</f>
        <v>0</v>
      </c>
      <c r="K22" s="181">
        <v>0</v>
      </c>
      <c r="L22" s="181">
        <f>F22*K22</f>
        <v>0</v>
      </c>
      <c r="M22" s="182" t="s">
        <v>985</v>
      </c>
      <c r="N22" s="12" t="s">
        <v>7</v>
      </c>
      <c r="O22" s="6">
        <f>IF(N22="5",I22,0)</f>
        <v>0</v>
      </c>
      <c r="Z22" s="6">
        <f>IF(AD22=0,J22,0)</f>
        <v>0</v>
      </c>
      <c r="AA22" s="6">
        <f>IF(AD22=15,J22,0)</f>
        <v>0</v>
      </c>
      <c r="AB22" s="6">
        <f>IF(AD22=21,J22,0)</f>
        <v>0</v>
      </c>
      <c r="AD22" s="16">
        <v>21</v>
      </c>
      <c r="AE22" s="16">
        <f>G22*0</f>
        <v>0</v>
      </c>
      <c r="AF22" s="16">
        <f>G22*(1-0)</f>
        <v>0</v>
      </c>
      <c r="AM22" s="16">
        <f>F22*AE22</f>
        <v>0</v>
      </c>
      <c r="AN22" s="16">
        <f>F22*AF22</f>
        <v>0</v>
      </c>
      <c r="AO22" s="17" t="s">
        <v>1002</v>
      </c>
      <c r="AP22" s="17" t="s">
        <v>1002</v>
      </c>
      <c r="AQ22" s="11" t="s">
        <v>1038</v>
      </c>
    </row>
    <row r="23" spans="1:13" ht="12.75">
      <c r="A23" s="183"/>
      <c r="B23" s="183"/>
      <c r="C23" s="183"/>
      <c r="D23" s="184" t="s">
        <v>557</v>
      </c>
      <c r="E23" s="183"/>
      <c r="F23" s="185">
        <v>5859.15</v>
      </c>
      <c r="G23" s="183"/>
      <c r="H23" s="183"/>
      <c r="I23" s="183"/>
      <c r="J23" s="183"/>
      <c r="K23" s="183"/>
      <c r="L23" s="183"/>
      <c r="M23" s="183"/>
    </row>
    <row r="24" spans="1:43" ht="12.75">
      <c r="A24" s="180" t="s">
        <v>12</v>
      </c>
      <c r="B24" s="180" t="s">
        <v>281</v>
      </c>
      <c r="C24" s="180" t="s">
        <v>295</v>
      </c>
      <c r="D24" s="180" t="s">
        <v>559</v>
      </c>
      <c r="E24" s="180" t="s">
        <v>953</v>
      </c>
      <c r="F24" s="181">
        <v>1458</v>
      </c>
      <c r="G24" s="181"/>
      <c r="H24" s="181">
        <f>F24*AE24</f>
        <v>0</v>
      </c>
      <c r="I24" s="181">
        <f>J24-H24</f>
        <v>0</v>
      </c>
      <c r="J24" s="181">
        <f>F24*G24</f>
        <v>0</v>
      </c>
      <c r="K24" s="181">
        <v>0</v>
      </c>
      <c r="L24" s="181">
        <f>F24*K24</f>
        <v>0</v>
      </c>
      <c r="M24" s="182" t="s">
        <v>985</v>
      </c>
      <c r="N24" s="12" t="s">
        <v>7</v>
      </c>
      <c r="O24" s="6">
        <f>IF(N24="5",I24,0)</f>
        <v>0</v>
      </c>
      <c r="Z24" s="6">
        <f>IF(AD24=0,J24,0)</f>
        <v>0</v>
      </c>
      <c r="AA24" s="6">
        <f>IF(AD24=15,J24,0)</f>
        <v>0</v>
      </c>
      <c r="AB24" s="6">
        <f>IF(AD24=21,J24,0)</f>
        <v>0</v>
      </c>
      <c r="AD24" s="16">
        <v>21</v>
      </c>
      <c r="AE24" s="16">
        <f>G24*0</f>
        <v>0</v>
      </c>
      <c r="AF24" s="16">
        <f>G24*(1-0)</f>
        <v>0</v>
      </c>
      <c r="AM24" s="16">
        <f>F24*AE24</f>
        <v>0</v>
      </c>
      <c r="AN24" s="16">
        <f>F24*AF24</f>
        <v>0</v>
      </c>
      <c r="AO24" s="17" t="s">
        <v>1002</v>
      </c>
      <c r="AP24" s="17" t="s">
        <v>1002</v>
      </c>
      <c r="AQ24" s="11" t="s">
        <v>1038</v>
      </c>
    </row>
    <row r="25" spans="1:13" ht="12.75">
      <c r="A25" s="183"/>
      <c r="B25" s="183"/>
      <c r="C25" s="183"/>
      <c r="D25" s="184" t="s">
        <v>560</v>
      </c>
      <c r="E25" s="183"/>
      <c r="F25" s="185">
        <v>1458</v>
      </c>
      <c r="G25" s="183"/>
      <c r="H25" s="183"/>
      <c r="I25" s="183"/>
      <c r="J25" s="183"/>
      <c r="K25" s="183"/>
      <c r="L25" s="183"/>
      <c r="M25" s="183"/>
    </row>
    <row r="26" spans="1:43" ht="12.75">
      <c r="A26" s="180" t="s">
        <v>13</v>
      </c>
      <c r="B26" s="180" t="s">
        <v>281</v>
      </c>
      <c r="C26" s="180" t="s">
        <v>296</v>
      </c>
      <c r="D26" s="180" t="s">
        <v>561</v>
      </c>
      <c r="E26" s="180" t="s">
        <v>953</v>
      </c>
      <c r="F26" s="181">
        <v>3838.5</v>
      </c>
      <c r="G26" s="181"/>
      <c r="H26" s="181">
        <f>F26*AE26</f>
        <v>0</v>
      </c>
      <c r="I26" s="181">
        <f>J26-H26</f>
        <v>0</v>
      </c>
      <c r="J26" s="181">
        <f>F26*G26</f>
        <v>0</v>
      </c>
      <c r="K26" s="181">
        <v>0.00825</v>
      </c>
      <c r="L26" s="181">
        <f>F26*K26</f>
        <v>31.667625</v>
      </c>
      <c r="M26" s="182" t="s">
        <v>985</v>
      </c>
      <c r="N26" s="12" t="s">
        <v>7</v>
      </c>
      <c r="O26" s="6">
        <f>IF(N26="5",I26,0)</f>
        <v>0</v>
      </c>
      <c r="Z26" s="6">
        <f>IF(AD26=0,J26,0)</f>
        <v>0</v>
      </c>
      <c r="AA26" s="6">
        <f>IF(AD26=15,J26,0)</f>
        <v>0</v>
      </c>
      <c r="AB26" s="6">
        <f>IF(AD26=21,J26,0)</f>
        <v>0</v>
      </c>
      <c r="AD26" s="16">
        <v>21</v>
      </c>
      <c r="AE26" s="16">
        <f>G26*0.107276877248636</f>
        <v>0</v>
      </c>
      <c r="AF26" s="16">
        <f>G26*(1-0.107276877248636)</f>
        <v>0</v>
      </c>
      <c r="AM26" s="16">
        <f>F26*AE26</f>
        <v>0</v>
      </c>
      <c r="AN26" s="16">
        <f>F26*AF26</f>
        <v>0</v>
      </c>
      <c r="AO26" s="17" t="s">
        <v>1002</v>
      </c>
      <c r="AP26" s="17" t="s">
        <v>1002</v>
      </c>
      <c r="AQ26" s="11" t="s">
        <v>1038</v>
      </c>
    </row>
    <row r="27" spans="1:13" ht="12.75">
      <c r="A27" s="183"/>
      <c r="B27" s="183"/>
      <c r="C27" s="183"/>
      <c r="D27" s="184" t="s">
        <v>562</v>
      </c>
      <c r="E27" s="183"/>
      <c r="F27" s="185">
        <v>3838.5</v>
      </c>
      <c r="G27" s="183"/>
      <c r="H27" s="183"/>
      <c r="I27" s="183"/>
      <c r="J27" s="183"/>
      <c r="K27" s="183"/>
      <c r="L27" s="183"/>
      <c r="M27" s="183"/>
    </row>
    <row r="28" spans="1:43" ht="12.75">
      <c r="A28" s="180" t="s">
        <v>14</v>
      </c>
      <c r="B28" s="180" t="s">
        <v>281</v>
      </c>
      <c r="C28" s="180" t="s">
        <v>297</v>
      </c>
      <c r="D28" s="180" t="s">
        <v>563</v>
      </c>
      <c r="E28" s="180" t="s">
        <v>954</v>
      </c>
      <c r="F28" s="181">
        <v>87</v>
      </c>
      <c r="G28" s="181"/>
      <c r="H28" s="181">
        <f>F28*AE28</f>
        <v>0</v>
      </c>
      <c r="I28" s="181">
        <f>J28-H28</f>
        <v>0</v>
      </c>
      <c r="J28" s="181">
        <f>F28*G28</f>
        <v>0</v>
      </c>
      <c r="K28" s="181">
        <v>0</v>
      </c>
      <c r="L28" s="181">
        <f>F28*K28</f>
        <v>0</v>
      </c>
      <c r="M28" s="182" t="s">
        <v>985</v>
      </c>
      <c r="N28" s="12" t="s">
        <v>7</v>
      </c>
      <c r="O28" s="6">
        <f>IF(N28="5",I28,0)</f>
        <v>0</v>
      </c>
      <c r="Z28" s="6">
        <f>IF(AD28=0,J28,0)</f>
        <v>0</v>
      </c>
      <c r="AA28" s="6">
        <f>IF(AD28=15,J28,0)</f>
        <v>0</v>
      </c>
      <c r="AB28" s="6">
        <f>IF(AD28=21,J28,0)</f>
        <v>0</v>
      </c>
      <c r="AD28" s="16">
        <v>21</v>
      </c>
      <c r="AE28" s="16">
        <f>G28*0</f>
        <v>0</v>
      </c>
      <c r="AF28" s="16">
        <f>G28*(1-0)</f>
        <v>0</v>
      </c>
      <c r="AM28" s="16">
        <f>F28*AE28</f>
        <v>0</v>
      </c>
      <c r="AN28" s="16">
        <f>F28*AF28</f>
        <v>0</v>
      </c>
      <c r="AO28" s="17" t="s">
        <v>1002</v>
      </c>
      <c r="AP28" s="17" t="s">
        <v>1002</v>
      </c>
      <c r="AQ28" s="11" t="s">
        <v>1038</v>
      </c>
    </row>
    <row r="29" spans="1:13" ht="12.75">
      <c r="A29" s="183"/>
      <c r="B29" s="183"/>
      <c r="C29" s="183"/>
      <c r="D29" s="184" t="s">
        <v>93</v>
      </c>
      <c r="E29" s="183"/>
      <c r="F29" s="185">
        <v>87</v>
      </c>
      <c r="G29" s="183"/>
      <c r="H29" s="183"/>
      <c r="I29" s="183"/>
      <c r="J29" s="183"/>
      <c r="K29" s="183"/>
      <c r="L29" s="183"/>
      <c r="M29" s="183"/>
    </row>
    <row r="30" spans="1:43" ht="12.75">
      <c r="A30" s="180" t="s">
        <v>15</v>
      </c>
      <c r="B30" s="180" t="s">
        <v>281</v>
      </c>
      <c r="C30" s="180" t="s">
        <v>298</v>
      </c>
      <c r="D30" s="180" t="s">
        <v>564</v>
      </c>
      <c r="E30" s="180" t="s">
        <v>954</v>
      </c>
      <c r="F30" s="181">
        <v>87</v>
      </c>
      <c r="G30" s="181"/>
      <c r="H30" s="181">
        <f>F30*AE30</f>
        <v>0</v>
      </c>
      <c r="I30" s="181">
        <f>J30-H30</f>
        <v>0</v>
      </c>
      <c r="J30" s="181">
        <f>F30*G30</f>
        <v>0</v>
      </c>
      <c r="K30" s="181">
        <v>0</v>
      </c>
      <c r="L30" s="181">
        <f>F30*K30</f>
        <v>0</v>
      </c>
      <c r="M30" s="182" t="s">
        <v>985</v>
      </c>
      <c r="N30" s="12" t="s">
        <v>7</v>
      </c>
      <c r="O30" s="6">
        <f>IF(N30="5",I30,0)</f>
        <v>0</v>
      </c>
      <c r="Z30" s="6">
        <f>IF(AD30=0,J30,0)</f>
        <v>0</v>
      </c>
      <c r="AA30" s="6">
        <f>IF(AD30=15,J30,0)</f>
        <v>0</v>
      </c>
      <c r="AB30" s="6">
        <f>IF(AD30=21,J30,0)</f>
        <v>0</v>
      </c>
      <c r="AD30" s="16">
        <v>21</v>
      </c>
      <c r="AE30" s="16">
        <f>G30*0</f>
        <v>0</v>
      </c>
      <c r="AF30" s="16">
        <f>G30*(1-0)</f>
        <v>0</v>
      </c>
      <c r="AM30" s="16">
        <f>F30*AE30</f>
        <v>0</v>
      </c>
      <c r="AN30" s="16">
        <f>F30*AF30</f>
        <v>0</v>
      </c>
      <c r="AO30" s="17" t="s">
        <v>1002</v>
      </c>
      <c r="AP30" s="17" t="s">
        <v>1002</v>
      </c>
      <c r="AQ30" s="11" t="s">
        <v>1038</v>
      </c>
    </row>
    <row r="31" spans="1:13" ht="12.75">
      <c r="A31" s="183"/>
      <c r="B31" s="183"/>
      <c r="C31" s="183"/>
      <c r="D31" s="184" t="s">
        <v>93</v>
      </c>
      <c r="E31" s="183"/>
      <c r="F31" s="185">
        <v>87</v>
      </c>
      <c r="G31" s="183"/>
      <c r="H31" s="183"/>
      <c r="I31" s="183"/>
      <c r="J31" s="183"/>
      <c r="K31" s="183"/>
      <c r="L31" s="183"/>
      <c r="M31" s="183"/>
    </row>
    <row r="32" spans="1:43" ht="12.75">
      <c r="A32" s="180" t="s">
        <v>16</v>
      </c>
      <c r="B32" s="180" t="s">
        <v>281</v>
      </c>
      <c r="C32" s="180" t="s">
        <v>299</v>
      </c>
      <c r="D32" s="180" t="s">
        <v>565</v>
      </c>
      <c r="E32" s="180" t="s">
        <v>953</v>
      </c>
      <c r="F32" s="181">
        <v>4.8</v>
      </c>
      <c r="G32" s="181"/>
      <c r="H32" s="181">
        <f>F32*AE32</f>
        <v>0</v>
      </c>
      <c r="I32" s="181">
        <f>J32-H32</f>
        <v>0</v>
      </c>
      <c r="J32" s="181">
        <f>F32*G32</f>
        <v>0</v>
      </c>
      <c r="K32" s="181">
        <v>0.01755</v>
      </c>
      <c r="L32" s="181">
        <f>F32*K32</f>
        <v>0.08424</v>
      </c>
      <c r="M32" s="182" t="s">
        <v>985</v>
      </c>
      <c r="N32" s="12" t="s">
        <v>7</v>
      </c>
      <c r="O32" s="6">
        <f>IF(N32="5",I32,0)</f>
        <v>0</v>
      </c>
      <c r="Z32" s="6">
        <f>IF(AD32=0,J32,0)</f>
        <v>0</v>
      </c>
      <c r="AA32" s="6">
        <f>IF(AD32=15,J32,0)</f>
        <v>0</v>
      </c>
      <c r="AB32" s="6">
        <f>IF(AD32=21,J32,0)</f>
        <v>0</v>
      </c>
      <c r="AD32" s="16">
        <v>21</v>
      </c>
      <c r="AE32" s="16">
        <f>G32*0.00000157977383957713</f>
        <v>0</v>
      </c>
      <c r="AF32" s="16">
        <f>G32*(1-0.00000157977383957713)</f>
        <v>0</v>
      </c>
      <c r="AM32" s="16">
        <f>F32*AE32</f>
        <v>0</v>
      </c>
      <c r="AN32" s="16">
        <f>F32*AF32</f>
        <v>0</v>
      </c>
      <c r="AO32" s="17" t="s">
        <v>1002</v>
      </c>
      <c r="AP32" s="17" t="s">
        <v>1002</v>
      </c>
      <c r="AQ32" s="11" t="s">
        <v>1038</v>
      </c>
    </row>
    <row r="33" spans="1:13" ht="12.75">
      <c r="A33" s="183"/>
      <c r="B33" s="183"/>
      <c r="C33" s="183"/>
      <c r="D33" s="184" t="s">
        <v>566</v>
      </c>
      <c r="E33" s="183"/>
      <c r="F33" s="185">
        <v>4.8</v>
      </c>
      <c r="G33" s="183"/>
      <c r="H33" s="183"/>
      <c r="I33" s="183"/>
      <c r="J33" s="183"/>
      <c r="K33" s="183"/>
      <c r="L33" s="183"/>
      <c r="M33" s="183"/>
    </row>
    <row r="34" spans="1:43" ht="12.75">
      <c r="A34" s="180" t="s">
        <v>17</v>
      </c>
      <c r="B34" s="180" t="s">
        <v>281</v>
      </c>
      <c r="C34" s="180" t="s">
        <v>300</v>
      </c>
      <c r="D34" s="180" t="s">
        <v>567</v>
      </c>
      <c r="E34" s="180" t="s">
        <v>955</v>
      </c>
      <c r="F34" s="181">
        <v>4691.91</v>
      </c>
      <c r="G34" s="181"/>
      <c r="H34" s="181">
        <f>F34*AE34</f>
        <v>0</v>
      </c>
      <c r="I34" s="181">
        <f>J34-H34</f>
        <v>0</v>
      </c>
      <c r="J34" s="181">
        <f>F34*G34</f>
        <v>0</v>
      </c>
      <c r="K34" s="181">
        <v>0</v>
      </c>
      <c r="L34" s="181">
        <f>F34*K34</f>
        <v>0</v>
      </c>
      <c r="M34" s="182" t="s">
        <v>985</v>
      </c>
      <c r="N34" s="12" t="s">
        <v>7</v>
      </c>
      <c r="O34" s="6">
        <f>IF(N34="5",I34,0)</f>
        <v>0</v>
      </c>
      <c r="Z34" s="6">
        <f>IF(AD34=0,J34,0)</f>
        <v>0</v>
      </c>
      <c r="AA34" s="6">
        <f>IF(AD34=15,J34,0)</f>
        <v>0</v>
      </c>
      <c r="AB34" s="6">
        <f>IF(AD34=21,J34,0)</f>
        <v>0</v>
      </c>
      <c r="AD34" s="16">
        <v>21</v>
      </c>
      <c r="AE34" s="16">
        <f>G34*0</f>
        <v>0</v>
      </c>
      <c r="AF34" s="16">
        <f>G34*(1-0)</f>
        <v>0</v>
      </c>
      <c r="AM34" s="16">
        <f>F34*AE34</f>
        <v>0</v>
      </c>
      <c r="AN34" s="16">
        <f>F34*AF34</f>
        <v>0</v>
      </c>
      <c r="AO34" s="17" t="s">
        <v>1002</v>
      </c>
      <c r="AP34" s="17" t="s">
        <v>1002</v>
      </c>
      <c r="AQ34" s="11" t="s">
        <v>1038</v>
      </c>
    </row>
    <row r="35" spans="1:13" ht="12.75">
      <c r="A35" s="183"/>
      <c r="B35" s="183"/>
      <c r="C35" s="183"/>
      <c r="D35" s="184" t="s">
        <v>568</v>
      </c>
      <c r="E35" s="183"/>
      <c r="F35" s="185">
        <v>4691.91</v>
      </c>
      <c r="G35" s="183"/>
      <c r="H35" s="183"/>
      <c r="I35" s="183"/>
      <c r="J35" s="183"/>
      <c r="K35" s="183"/>
      <c r="L35" s="183"/>
      <c r="M35" s="183"/>
    </row>
    <row r="36" spans="1:37" ht="12.75">
      <c r="A36" s="174"/>
      <c r="B36" s="175" t="s">
        <v>281</v>
      </c>
      <c r="C36" s="175" t="s">
        <v>17</v>
      </c>
      <c r="D36" s="176" t="s">
        <v>569</v>
      </c>
      <c r="E36" s="177"/>
      <c r="F36" s="177"/>
      <c r="G36" s="177"/>
      <c r="H36" s="178">
        <f>SUM(H37:H46)</f>
        <v>0</v>
      </c>
      <c r="I36" s="178">
        <f>SUM(I37:I46)</f>
        <v>0</v>
      </c>
      <c r="J36" s="178">
        <f>H36+I36</f>
        <v>0</v>
      </c>
      <c r="K36" s="179"/>
      <c r="L36" s="178">
        <f>SUM(L37:L46)</f>
        <v>246.862</v>
      </c>
      <c r="M36" s="179"/>
      <c r="P36" s="18">
        <f>IF(Q36="PR",J36,SUM(O37:O46))</f>
        <v>0</v>
      </c>
      <c r="Q36" s="11" t="s">
        <v>992</v>
      </c>
      <c r="R36" s="18">
        <f>IF(Q36="HS",H36,0)</f>
        <v>0</v>
      </c>
      <c r="S36" s="18">
        <f>IF(Q36="HS",I36-P36,0)</f>
        <v>0</v>
      </c>
      <c r="T36" s="18">
        <f>IF(Q36="PS",H36,0)</f>
        <v>0</v>
      </c>
      <c r="U36" s="18">
        <f>IF(Q36="PS",I36-P36,0)</f>
        <v>0</v>
      </c>
      <c r="V36" s="18">
        <f>IF(Q36="MP",H36,0)</f>
        <v>0</v>
      </c>
      <c r="W36" s="18">
        <f>IF(Q36="MP",I36-P36,0)</f>
        <v>0</v>
      </c>
      <c r="X36" s="18">
        <f>IF(Q36="OM",H36,0)</f>
        <v>0</v>
      </c>
      <c r="Y36" s="11" t="s">
        <v>281</v>
      </c>
      <c r="AI36" s="18">
        <f>SUM(Z37:Z46)</f>
        <v>0</v>
      </c>
      <c r="AJ36" s="18">
        <f>SUM(AA37:AA46)</f>
        <v>0</v>
      </c>
      <c r="AK36" s="18">
        <f>SUM(AB37:AB46)</f>
        <v>0</v>
      </c>
    </row>
    <row r="37" spans="1:43" ht="12.75">
      <c r="A37" s="180" t="s">
        <v>18</v>
      </c>
      <c r="B37" s="180" t="s">
        <v>281</v>
      </c>
      <c r="C37" s="180" t="s">
        <v>301</v>
      </c>
      <c r="D37" s="180" t="s">
        <v>570</v>
      </c>
      <c r="E37" s="180" t="s">
        <v>952</v>
      </c>
      <c r="F37" s="181">
        <v>154</v>
      </c>
      <c r="G37" s="181"/>
      <c r="H37" s="181">
        <f>F37*AE37</f>
        <v>0</v>
      </c>
      <c r="I37" s="181">
        <f>J37-H37</f>
        <v>0</v>
      </c>
      <c r="J37" s="181">
        <f>F37*G37</f>
        <v>0</v>
      </c>
      <c r="K37" s="181">
        <v>1.031</v>
      </c>
      <c r="L37" s="181">
        <f>F37*K37</f>
        <v>158.774</v>
      </c>
      <c r="M37" s="182" t="s">
        <v>985</v>
      </c>
      <c r="N37" s="12" t="s">
        <v>9</v>
      </c>
      <c r="O37" s="6">
        <f>IF(N37="5",I37,0)</f>
        <v>0</v>
      </c>
      <c r="Z37" s="6">
        <f>IF(AD37=0,J37,0)</f>
        <v>0</v>
      </c>
      <c r="AA37" s="6">
        <f>IF(AD37=15,J37,0)</f>
        <v>0</v>
      </c>
      <c r="AB37" s="6">
        <f>IF(AD37=21,J37,0)</f>
        <v>0</v>
      </c>
      <c r="AD37" s="16">
        <v>21</v>
      </c>
      <c r="AE37" s="16">
        <f>G37*0.0610649329273311</f>
        <v>0</v>
      </c>
      <c r="AF37" s="16">
        <f>G37*(1-0.0610649329273311)</f>
        <v>0</v>
      </c>
      <c r="AM37" s="16">
        <f>F37*AE37</f>
        <v>0</v>
      </c>
      <c r="AN37" s="16">
        <f>F37*AF37</f>
        <v>0</v>
      </c>
      <c r="AO37" s="17" t="s">
        <v>1003</v>
      </c>
      <c r="AP37" s="17" t="s">
        <v>1002</v>
      </c>
      <c r="AQ37" s="11" t="s">
        <v>1038</v>
      </c>
    </row>
    <row r="38" spans="1:13" ht="12.75">
      <c r="A38" s="183"/>
      <c r="B38" s="183"/>
      <c r="C38" s="183"/>
      <c r="D38" s="184" t="s">
        <v>571</v>
      </c>
      <c r="E38" s="183"/>
      <c r="F38" s="185">
        <v>154</v>
      </c>
      <c r="G38" s="183"/>
      <c r="H38" s="183"/>
      <c r="I38" s="183"/>
      <c r="J38" s="183"/>
      <c r="K38" s="183"/>
      <c r="L38" s="183"/>
      <c r="M38" s="183"/>
    </row>
    <row r="39" spans="1:43" ht="12.75">
      <c r="A39" s="180" t="s">
        <v>19</v>
      </c>
      <c r="B39" s="180" t="s">
        <v>281</v>
      </c>
      <c r="C39" s="180" t="s">
        <v>302</v>
      </c>
      <c r="D39" s="180" t="s">
        <v>572</v>
      </c>
      <c r="E39" s="180" t="s">
        <v>952</v>
      </c>
      <c r="F39" s="181">
        <v>154</v>
      </c>
      <c r="G39" s="181"/>
      <c r="H39" s="181">
        <f>F39*AE39</f>
        <v>0</v>
      </c>
      <c r="I39" s="181">
        <f>J39-H39</f>
        <v>0</v>
      </c>
      <c r="J39" s="181">
        <f>F39*G39</f>
        <v>0</v>
      </c>
      <c r="K39" s="181">
        <v>0.44</v>
      </c>
      <c r="L39" s="181">
        <f>F39*K39</f>
        <v>67.76</v>
      </c>
      <c r="M39" s="182" t="s">
        <v>985</v>
      </c>
      <c r="N39" s="12" t="s">
        <v>7</v>
      </c>
      <c r="O39" s="6">
        <f>IF(N39="5",I39,0)</f>
        <v>0</v>
      </c>
      <c r="Z39" s="6">
        <f>IF(AD39=0,J39,0)</f>
        <v>0</v>
      </c>
      <c r="AA39" s="6">
        <f>IF(AD39=15,J39,0)</f>
        <v>0</v>
      </c>
      <c r="AB39" s="6">
        <f>IF(AD39=21,J39,0)</f>
        <v>0</v>
      </c>
      <c r="AD39" s="16">
        <v>21</v>
      </c>
      <c r="AE39" s="16">
        <f>G39*0</f>
        <v>0</v>
      </c>
      <c r="AF39" s="16">
        <f>G39*(1-0)</f>
        <v>0</v>
      </c>
      <c r="AM39" s="16">
        <f>F39*AE39</f>
        <v>0</v>
      </c>
      <c r="AN39" s="16">
        <f>F39*AF39</f>
        <v>0</v>
      </c>
      <c r="AO39" s="17" t="s">
        <v>1003</v>
      </c>
      <c r="AP39" s="17" t="s">
        <v>1002</v>
      </c>
      <c r="AQ39" s="11" t="s">
        <v>1038</v>
      </c>
    </row>
    <row r="40" spans="1:13" ht="12.75">
      <c r="A40" s="183"/>
      <c r="B40" s="183"/>
      <c r="C40" s="183"/>
      <c r="D40" s="184" t="s">
        <v>571</v>
      </c>
      <c r="E40" s="183"/>
      <c r="F40" s="185">
        <v>154</v>
      </c>
      <c r="G40" s="183"/>
      <c r="H40" s="183"/>
      <c r="I40" s="183"/>
      <c r="J40" s="183"/>
      <c r="K40" s="183"/>
      <c r="L40" s="183"/>
      <c r="M40" s="183"/>
    </row>
    <row r="41" spans="1:43" ht="12.75">
      <c r="A41" s="180" t="s">
        <v>20</v>
      </c>
      <c r="B41" s="180" t="s">
        <v>281</v>
      </c>
      <c r="C41" s="180" t="s">
        <v>303</v>
      </c>
      <c r="D41" s="180" t="s">
        <v>573</v>
      </c>
      <c r="E41" s="180" t="s">
        <v>952</v>
      </c>
      <c r="F41" s="181">
        <v>154</v>
      </c>
      <c r="G41" s="181"/>
      <c r="H41" s="181">
        <f>F41*AE41</f>
        <v>0</v>
      </c>
      <c r="I41" s="181">
        <f>J41-H41</f>
        <v>0</v>
      </c>
      <c r="J41" s="181">
        <f>F41*G41</f>
        <v>0</v>
      </c>
      <c r="K41" s="181">
        <v>0.132</v>
      </c>
      <c r="L41" s="181">
        <f>F41*K41</f>
        <v>20.328</v>
      </c>
      <c r="M41" s="182" t="s">
        <v>985</v>
      </c>
      <c r="N41" s="12" t="s">
        <v>7</v>
      </c>
      <c r="O41" s="6">
        <f>IF(N41="5",I41,0)</f>
        <v>0</v>
      </c>
      <c r="Z41" s="6">
        <f>IF(AD41=0,J41,0)</f>
        <v>0</v>
      </c>
      <c r="AA41" s="6">
        <f>IF(AD41=15,J41,0)</f>
        <v>0</v>
      </c>
      <c r="AB41" s="6">
        <f>IF(AD41=21,J41,0)</f>
        <v>0</v>
      </c>
      <c r="AD41" s="16">
        <v>21</v>
      </c>
      <c r="AE41" s="16">
        <f>G41*0</f>
        <v>0</v>
      </c>
      <c r="AF41" s="16">
        <f>G41*(1-0)</f>
        <v>0</v>
      </c>
      <c r="AM41" s="16">
        <f>F41*AE41</f>
        <v>0</v>
      </c>
      <c r="AN41" s="16">
        <f>F41*AF41</f>
        <v>0</v>
      </c>
      <c r="AO41" s="17" t="s">
        <v>1003</v>
      </c>
      <c r="AP41" s="17" t="s">
        <v>1002</v>
      </c>
      <c r="AQ41" s="11" t="s">
        <v>1038</v>
      </c>
    </row>
    <row r="42" spans="1:13" ht="12.75">
      <c r="A42" s="183"/>
      <c r="B42" s="183"/>
      <c r="C42" s="183"/>
      <c r="D42" s="184" t="s">
        <v>571</v>
      </c>
      <c r="E42" s="183"/>
      <c r="F42" s="185">
        <v>154</v>
      </c>
      <c r="G42" s="183"/>
      <c r="H42" s="183"/>
      <c r="I42" s="183"/>
      <c r="J42" s="183"/>
      <c r="K42" s="183"/>
      <c r="L42" s="183"/>
      <c r="M42" s="183"/>
    </row>
    <row r="43" spans="1:43" ht="12.75">
      <c r="A43" s="180" t="s">
        <v>21</v>
      </c>
      <c r="B43" s="180" t="s">
        <v>281</v>
      </c>
      <c r="C43" s="180" t="s">
        <v>304</v>
      </c>
      <c r="D43" s="180" t="s">
        <v>574</v>
      </c>
      <c r="E43" s="180" t="s">
        <v>955</v>
      </c>
      <c r="F43" s="181">
        <v>246.862</v>
      </c>
      <c r="G43" s="181"/>
      <c r="H43" s="181">
        <f>F43*AE43</f>
        <v>0</v>
      </c>
      <c r="I43" s="181">
        <f>J43-H43</f>
        <v>0</v>
      </c>
      <c r="J43" s="181">
        <f>F43*G43</f>
        <v>0</v>
      </c>
      <c r="K43" s="181">
        <v>0</v>
      </c>
      <c r="L43" s="181">
        <f>F43*K43</f>
        <v>0</v>
      </c>
      <c r="M43" s="182" t="s">
        <v>985</v>
      </c>
      <c r="N43" s="12" t="s">
        <v>11</v>
      </c>
      <c r="O43" s="6">
        <f>IF(N43="5",I43,0)</f>
        <v>0</v>
      </c>
      <c r="Z43" s="6">
        <f>IF(AD43=0,J43,0)</f>
        <v>0</v>
      </c>
      <c r="AA43" s="6">
        <f>IF(AD43=15,J43,0)</f>
        <v>0</v>
      </c>
      <c r="AB43" s="6">
        <f>IF(AD43=21,J43,0)</f>
        <v>0</v>
      </c>
      <c r="AD43" s="16">
        <v>21</v>
      </c>
      <c r="AE43" s="16">
        <f>G43*0</f>
        <v>0</v>
      </c>
      <c r="AF43" s="16">
        <f>G43*(1-0)</f>
        <v>0</v>
      </c>
      <c r="AM43" s="16">
        <f>F43*AE43</f>
        <v>0</v>
      </c>
      <c r="AN43" s="16">
        <f>F43*AF43</f>
        <v>0</v>
      </c>
      <c r="AO43" s="17" t="s">
        <v>1003</v>
      </c>
      <c r="AP43" s="17" t="s">
        <v>1002</v>
      </c>
      <c r="AQ43" s="11" t="s">
        <v>1038</v>
      </c>
    </row>
    <row r="44" spans="1:43" ht="12.75">
      <c r="A44" s="180" t="s">
        <v>22</v>
      </c>
      <c r="B44" s="180" t="s">
        <v>281</v>
      </c>
      <c r="C44" s="180" t="s">
        <v>305</v>
      </c>
      <c r="D44" s="180" t="s">
        <v>575</v>
      </c>
      <c r="E44" s="180" t="s">
        <v>955</v>
      </c>
      <c r="F44" s="181">
        <v>1791.02</v>
      </c>
      <c r="G44" s="181"/>
      <c r="H44" s="181">
        <f>F44*AE44</f>
        <v>0</v>
      </c>
      <c r="I44" s="181">
        <f>J44-H44</f>
        <v>0</v>
      </c>
      <c r="J44" s="181">
        <f>F44*G44</f>
        <v>0</v>
      </c>
      <c r="K44" s="181">
        <v>0</v>
      </c>
      <c r="L44" s="181">
        <f>F44*K44</f>
        <v>0</v>
      </c>
      <c r="M44" s="182" t="s">
        <v>985</v>
      </c>
      <c r="N44" s="12" t="s">
        <v>11</v>
      </c>
      <c r="O44" s="6">
        <f>IF(N44="5",I44,0)</f>
        <v>0</v>
      </c>
      <c r="Z44" s="6">
        <f>IF(AD44=0,J44,0)</f>
        <v>0</v>
      </c>
      <c r="AA44" s="6">
        <f>IF(AD44=15,J44,0)</f>
        <v>0</v>
      </c>
      <c r="AB44" s="6">
        <f>IF(AD44=21,J44,0)</f>
        <v>0</v>
      </c>
      <c r="AD44" s="16">
        <v>21</v>
      </c>
      <c r="AE44" s="16">
        <f>G44*0</f>
        <v>0</v>
      </c>
      <c r="AF44" s="16">
        <f>G44*(1-0)</f>
        <v>0</v>
      </c>
      <c r="AM44" s="16">
        <f>F44*AE44</f>
        <v>0</v>
      </c>
      <c r="AN44" s="16">
        <f>F44*AF44</f>
        <v>0</v>
      </c>
      <c r="AO44" s="17" t="s">
        <v>1003</v>
      </c>
      <c r="AP44" s="17" t="s">
        <v>1002</v>
      </c>
      <c r="AQ44" s="11" t="s">
        <v>1038</v>
      </c>
    </row>
    <row r="45" spans="1:43" ht="12.75">
      <c r="A45" s="180" t="s">
        <v>23</v>
      </c>
      <c r="B45" s="180" t="s">
        <v>281</v>
      </c>
      <c r="C45" s="180" t="s">
        <v>306</v>
      </c>
      <c r="D45" s="180" t="s">
        <v>576</v>
      </c>
      <c r="E45" s="180" t="s">
        <v>955</v>
      </c>
      <c r="F45" s="181">
        <v>179.102</v>
      </c>
      <c r="G45" s="181"/>
      <c r="H45" s="181">
        <f>F45*AE45</f>
        <v>0</v>
      </c>
      <c r="I45" s="181">
        <f>J45-H45</f>
        <v>0</v>
      </c>
      <c r="J45" s="181">
        <f>F45*G45</f>
        <v>0</v>
      </c>
      <c r="K45" s="181">
        <v>0</v>
      </c>
      <c r="L45" s="181">
        <f>F45*K45</f>
        <v>0</v>
      </c>
      <c r="M45" s="182" t="s">
        <v>985</v>
      </c>
      <c r="N45" s="12" t="s">
        <v>11</v>
      </c>
      <c r="O45" s="6">
        <f>IF(N45="5",I45,0)</f>
        <v>0</v>
      </c>
      <c r="Z45" s="6">
        <f>IF(AD45=0,J45,0)</f>
        <v>0</v>
      </c>
      <c r="AA45" s="6">
        <f>IF(AD45=15,J45,0)</f>
        <v>0</v>
      </c>
      <c r="AB45" s="6">
        <f>IF(AD45=21,J45,0)</f>
        <v>0</v>
      </c>
      <c r="AD45" s="16">
        <v>21</v>
      </c>
      <c r="AE45" s="16">
        <f>G45*0</f>
        <v>0</v>
      </c>
      <c r="AF45" s="16">
        <f>G45*(1-0)</f>
        <v>0</v>
      </c>
      <c r="AM45" s="16">
        <f>F45*AE45</f>
        <v>0</v>
      </c>
      <c r="AN45" s="16">
        <f>F45*AF45</f>
        <v>0</v>
      </c>
      <c r="AO45" s="17" t="s">
        <v>1003</v>
      </c>
      <c r="AP45" s="17" t="s">
        <v>1002</v>
      </c>
      <c r="AQ45" s="11" t="s">
        <v>1038</v>
      </c>
    </row>
    <row r="46" spans="1:43" ht="12.75">
      <c r="A46" s="180" t="s">
        <v>24</v>
      </c>
      <c r="B46" s="180" t="s">
        <v>281</v>
      </c>
      <c r="C46" s="180" t="s">
        <v>307</v>
      </c>
      <c r="D46" s="180" t="s">
        <v>577</v>
      </c>
      <c r="E46" s="180" t="s">
        <v>955</v>
      </c>
      <c r="F46" s="181">
        <v>246.862</v>
      </c>
      <c r="G46" s="181"/>
      <c r="H46" s="181">
        <f>F46*AE46</f>
        <v>0</v>
      </c>
      <c r="I46" s="181">
        <f>J46-H46</f>
        <v>0</v>
      </c>
      <c r="J46" s="181">
        <f>F46*G46</f>
        <v>0</v>
      </c>
      <c r="K46" s="181">
        <v>0</v>
      </c>
      <c r="L46" s="181">
        <f>F46*K46</f>
        <v>0</v>
      </c>
      <c r="M46" s="182" t="s">
        <v>985</v>
      </c>
      <c r="N46" s="12" t="s">
        <v>11</v>
      </c>
      <c r="O46" s="6">
        <f>IF(N46="5",I46,0)</f>
        <v>0</v>
      </c>
      <c r="Z46" s="6">
        <f>IF(AD46=0,J46,0)</f>
        <v>0</v>
      </c>
      <c r="AA46" s="6">
        <f>IF(AD46=15,J46,0)</f>
        <v>0</v>
      </c>
      <c r="AB46" s="6">
        <f>IF(AD46=21,J46,0)</f>
        <v>0</v>
      </c>
      <c r="AD46" s="16">
        <v>21</v>
      </c>
      <c r="AE46" s="16">
        <f>G46*0</f>
        <v>0</v>
      </c>
      <c r="AF46" s="16">
        <f>G46*(1-0)</f>
        <v>0</v>
      </c>
      <c r="AM46" s="16">
        <f>F46*AE46</f>
        <v>0</v>
      </c>
      <c r="AN46" s="16">
        <f>F46*AF46</f>
        <v>0</v>
      </c>
      <c r="AO46" s="17" t="s">
        <v>1003</v>
      </c>
      <c r="AP46" s="17" t="s">
        <v>1002</v>
      </c>
      <c r="AQ46" s="11" t="s">
        <v>1038</v>
      </c>
    </row>
    <row r="47" spans="1:13" ht="12.75">
      <c r="A47" s="183"/>
      <c r="B47" s="183"/>
      <c r="C47" s="183"/>
      <c r="D47" s="184" t="s">
        <v>578</v>
      </c>
      <c r="E47" s="183"/>
      <c r="F47" s="185">
        <v>1791.02</v>
      </c>
      <c r="G47" s="183"/>
      <c r="H47" s="183"/>
      <c r="I47" s="183"/>
      <c r="J47" s="183"/>
      <c r="K47" s="183"/>
      <c r="L47" s="183"/>
      <c r="M47" s="183"/>
    </row>
    <row r="48" spans="1:37" ht="12.75">
      <c r="A48" s="174"/>
      <c r="B48" s="175" t="s">
        <v>281</v>
      </c>
      <c r="C48" s="175" t="s">
        <v>27</v>
      </c>
      <c r="D48" s="176" t="s">
        <v>579</v>
      </c>
      <c r="E48" s="177"/>
      <c r="F48" s="177"/>
      <c r="G48" s="177"/>
      <c r="H48" s="178">
        <f>SUM(H49:H49)</f>
        <v>0</v>
      </c>
      <c r="I48" s="178">
        <f>SUM(I49:I49)</f>
        <v>0</v>
      </c>
      <c r="J48" s="178">
        <f>H48+I48</f>
        <v>0</v>
      </c>
      <c r="K48" s="179"/>
      <c r="L48" s="178">
        <f>SUM(L49:L49)</f>
        <v>37.45437</v>
      </c>
      <c r="M48" s="179"/>
      <c r="P48" s="18">
        <f>IF(Q48="PR",J48,SUM(O49:O49))</f>
        <v>0</v>
      </c>
      <c r="Q48" s="11" t="s">
        <v>992</v>
      </c>
      <c r="R48" s="18">
        <f>IF(Q48="HS",H48,0)</f>
        <v>0</v>
      </c>
      <c r="S48" s="18">
        <f>IF(Q48="HS",I48-P48,0)</f>
        <v>0</v>
      </c>
      <c r="T48" s="18">
        <f>IF(Q48="PS",H48,0)</f>
        <v>0</v>
      </c>
      <c r="U48" s="18">
        <f>IF(Q48="PS",I48-P48,0)</f>
        <v>0</v>
      </c>
      <c r="V48" s="18">
        <f>IF(Q48="MP",H48,0)</f>
        <v>0</v>
      </c>
      <c r="W48" s="18">
        <f>IF(Q48="MP",I48-P48,0)</f>
        <v>0</v>
      </c>
      <c r="X48" s="18">
        <f>IF(Q48="OM",H48,0)</f>
        <v>0</v>
      </c>
      <c r="Y48" s="11" t="s">
        <v>281</v>
      </c>
      <c r="AI48" s="18">
        <f>SUM(Z49:Z49)</f>
        <v>0</v>
      </c>
      <c r="AJ48" s="18">
        <f>SUM(AA49:AA49)</f>
        <v>0</v>
      </c>
      <c r="AK48" s="18">
        <f>SUM(AB49:AB49)</f>
        <v>0</v>
      </c>
    </row>
    <row r="49" spans="1:43" ht="12.75">
      <c r="A49" s="180" t="s">
        <v>25</v>
      </c>
      <c r="B49" s="180" t="s">
        <v>281</v>
      </c>
      <c r="C49" s="180" t="s">
        <v>308</v>
      </c>
      <c r="D49" s="180" t="s">
        <v>580</v>
      </c>
      <c r="E49" s="180" t="s">
        <v>954</v>
      </c>
      <c r="F49" s="181">
        <v>87</v>
      </c>
      <c r="G49" s="181"/>
      <c r="H49" s="181">
        <f>F49*AE49</f>
        <v>0</v>
      </c>
      <c r="I49" s="181">
        <f>J49-H49</f>
        <v>0</v>
      </c>
      <c r="J49" s="181">
        <f>F49*G49</f>
        <v>0</v>
      </c>
      <c r="K49" s="181">
        <v>0.43051</v>
      </c>
      <c r="L49" s="181">
        <f>F49*K49</f>
        <v>37.45437</v>
      </c>
      <c r="M49" s="182" t="s">
        <v>985</v>
      </c>
      <c r="N49" s="12" t="s">
        <v>9</v>
      </c>
      <c r="O49" s="6">
        <f>IF(N49="5",I49,0)</f>
        <v>0</v>
      </c>
      <c r="Z49" s="6">
        <f>IF(AD49=0,J49,0)</f>
        <v>0</v>
      </c>
      <c r="AA49" s="6">
        <f>IF(AD49=15,J49,0)</f>
        <v>0</v>
      </c>
      <c r="AB49" s="6">
        <f>IF(AD49=21,J49,0)</f>
        <v>0</v>
      </c>
      <c r="AD49" s="16">
        <v>21</v>
      </c>
      <c r="AE49" s="16">
        <f>G49*0.397851500789889</f>
        <v>0</v>
      </c>
      <c r="AF49" s="16">
        <f>G49*(1-0.397851500789889)</f>
        <v>0</v>
      </c>
      <c r="AM49" s="16">
        <f>F49*AE49</f>
        <v>0</v>
      </c>
      <c r="AN49" s="16">
        <f>F49*AF49</f>
        <v>0</v>
      </c>
      <c r="AO49" s="17" t="s">
        <v>1004</v>
      </c>
      <c r="AP49" s="17" t="s">
        <v>1029</v>
      </c>
      <c r="AQ49" s="11" t="s">
        <v>1038</v>
      </c>
    </row>
    <row r="50" spans="1:13" ht="12.75">
      <c r="A50" s="183"/>
      <c r="B50" s="183"/>
      <c r="C50" s="183"/>
      <c r="D50" s="184" t="s">
        <v>93</v>
      </c>
      <c r="E50" s="183"/>
      <c r="F50" s="185">
        <v>87</v>
      </c>
      <c r="G50" s="183"/>
      <c r="H50" s="183"/>
      <c r="I50" s="183"/>
      <c r="J50" s="183"/>
      <c r="K50" s="183"/>
      <c r="L50" s="183"/>
      <c r="M50" s="183"/>
    </row>
    <row r="51" spans="1:13" ht="12.75">
      <c r="A51" s="186"/>
      <c r="B51" s="187" t="s">
        <v>282</v>
      </c>
      <c r="C51" s="187"/>
      <c r="D51" s="188" t="s">
        <v>581</v>
      </c>
      <c r="E51" s="189"/>
      <c r="F51" s="189"/>
      <c r="G51" s="189"/>
      <c r="H51" s="190">
        <f>H52+H65+H68+H75+H82+H97+H106+H109+H114+H138+H150+H179+H184+H203+H370+H373</f>
        <v>0</v>
      </c>
      <c r="I51" s="190">
        <f>I52+I65+I68+I75+I82+I97+I106+I109+I114+I138+I150+I179+I184+I203+I370+I373</f>
        <v>0</v>
      </c>
      <c r="J51" s="190">
        <f>H51+I51</f>
        <v>0</v>
      </c>
      <c r="K51" s="191"/>
      <c r="L51" s="190">
        <f>L52+L65+L68+L75+L82+L97+L106+L109+L114+L138+L150+L179+L184+L203+L370+L373</f>
        <v>2232.7751964999993</v>
      </c>
      <c r="M51" s="191"/>
    </row>
    <row r="52" spans="1:37" ht="12.75">
      <c r="A52" s="174"/>
      <c r="B52" s="175" t="s">
        <v>282</v>
      </c>
      <c r="C52" s="175" t="s">
        <v>7</v>
      </c>
      <c r="D52" s="176" t="s">
        <v>549</v>
      </c>
      <c r="E52" s="177"/>
      <c r="F52" s="177"/>
      <c r="G52" s="177"/>
      <c r="H52" s="178">
        <f>SUM(H53:H62)</f>
        <v>0</v>
      </c>
      <c r="I52" s="178">
        <f>SUM(I53:I62)</f>
        <v>0</v>
      </c>
      <c r="J52" s="178">
        <f>H52+I52</f>
        <v>0</v>
      </c>
      <c r="K52" s="179"/>
      <c r="L52" s="178">
        <f>SUM(L53:L62)</f>
        <v>0.9954038000000001</v>
      </c>
      <c r="M52" s="179"/>
      <c r="P52" s="18">
        <f>IF(Q52="PR",J52,SUM(O53:O62))</f>
        <v>0</v>
      </c>
      <c r="Q52" s="11" t="s">
        <v>992</v>
      </c>
      <c r="R52" s="18">
        <f>IF(Q52="HS",H52,0)</f>
        <v>0</v>
      </c>
      <c r="S52" s="18">
        <f>IF(Q52="HS",I52-P52,0)</f>
        <v>0</v>
      </c>
      <c r="T52" s="18">
        <f>IF(Q52="PS",H52,0)</f>
        <v>0</v>
      </c>
      <c r="U52" s="18">
        <f>IF(Q52="PS",I52-P52,0)</f>
        <v>0</v>
      </c>
      <c r="V52" s="18">
        <f>IF(Q52="MP",H52,0)</f>
        <v>0</v>
      </c>
      <c r="W52" s="18">
        <f>IF(Q52="MP",I52-P52,0)</f>
        <v>0</v>
      </c>
      <c r="X52" s="18">
        <f>IF(Q52="OM",H52,0)</f>
        <v>0</v>
      </c>
      <c r="Y52" s="11" t="s">
        <v>282</v>
      </c>
      <c r="AI52" s="18">
        <f>SUM(Z53:Z62)</f>
        <v>0</v>
      </c>
      <c r="AJ52" s="18">
        <f>SUM(AA53:AA62)</f>
        <v>0</v>
      </c>
      <c r="AK52" s="18">
        <f>SUM(AB53:AB62)</f>
        <v>0</v>
      </c>
    </row>
    <row r="53" spans="1:43" ht="12.75">
      <c r="A53" s="180" t="s">
        <v>26</v>
      </c>
      <c r="B53" s="180" t="s">
        <v>282</v>
      </c>
      <c r="C53" s="180" t="s">
        <v>309</v>
      </c>
      <c r="D53" s="180" t="s">
        <v>582</v>
      </c>
      <c r="E53" s="180" t="s">
        <v>953</v>
      </c>
      <c r="F53" s="181">
        <v>320.51</v>
      </c>
      <c r="G53" s="181"/>
      <c r="H53" s="181">
        <f>F53*AE53</f>
        <v>0</v>
      </c>
      <c r="I53" s="181">
        <f>J53-H53</f>
        <v>0</v>
      </c>
      <c r="J53" s="181">
        <f>F53*G53</f>
        <v>0</v>
      </c>
      <c r="K53" s="181">
        <v>0</v>
      </c>
      <c r="L53" s="181">
        <f>F53*K53</f>
        <v>0</v>
      </c>
      <c r="M53" s="182" t="s">
        <v>985</v>
      </c>
      <c r="N53" s="12" t="s">
        <v>7</v>
      </c>
      <c r="O53" s="6">
        <f>IF(N53="5",I53,0)</f>
        <v>0</v>
      </c>
      <c r="Z53" s="6">
        <f>IF(AD53=0,J53,0)</f>
        <v>0</v>
      </c>
      <c r="AA53" s="6">
        <f>IF(AD53=15,J53,0)</f>
        <v>0</v>
      </c>
      <c r="AB53" s="6">
        <f>IF(AD53=21,J53,0)</f>
        <v>0</v>
      </c>
      <c r="AD53" s="16">
        <v>21</v>
      </c>
      <c r="AE53" s="16">
        <f>G53*0</f>
        <v>0</v>
      </c>
      <c r="AF53" s="16">
        <f>G53*(1-0)</f>
        <v>0</v>
      </c>
      <c r="AM53" s="16">
        <f>F53*AE53</f>
        <v>0</v>
      </c>
      <c r="AN53" s="16">
        <f>F53*AF53</f>
        <v>0</v>
      </c>
      <c r="AO53" s="17" t="s">
        <v>1002</v>
      </c>
      <c r="AP53" s="17" t="s">
        <v>1002</v>
      </c>
      <c r="AQ53" s="11" t="s">
        <v>1039</v>
      </c>
    </row>
    <row r="54" spans="1:13" ht="12.75">
      <c r="A54" s="183"/>
      <c r="B54" s="183"/>
      <c r="C54" s="183"/>
      <c r="D54" s="184" t="s">
        <v>583</v>
      </c>
      <c r="E54" s="183"/>
      <c r="F54" s="185">
        <v>288.92</v>
      </c>
      <c r="G54" s="183"/>
      <c r="H54" s="183"/>
      <c r="I54" s="183"/>
      <c r="J54" s="183"/>
      <c r="K54" s="183"/>
      <c r="L54" s="183"/>
      <c r="M54" s="183"/>
    </row>
    <row r="55" spans="1:13" ht="12.75">
      <c r="A55" s="183"/>
      <c r="B55" s="183"/>
      <c r="C55" s="183"/>
      <c r="D55" s="184" t="s">
        <v>584</v>
      </c>
      <c r="E55" s="183"/>
      <c r="F55" s="185">
        <v>31.59</v>
      </c>
      <c r="G55" s="183"/>
      <c r="H55" s="183"/>
      <c r="I55" s="183"/>
      <c r="J55" s="183"/>
      <c r="K55" s="183"/>
      <c r="L55" s="183"/>
      <c r="M55" s="183"/>
    </row>
    <row r="56" spans="1:43" ht="12.75">
      <c r="A56" s="180" t="s">
        <v>27</v>
      </c>
      <c r="B56" s="180" t="s">
        <v>282</v>
      </c>
      <c r="C56" s="180" t="s">
        <v>310</v>
      </c>
      <c r="D56" s="180" t="s">
        <v>585</v>
      </c>
      <c r="E56" s="180" t="s">
        <v>953</v>
      </c>
      <c r="F56" s="181">
        <v>51.79</v>
      </c>
      <c r="G56" s="181"/>
      <c r="H56" s="181">
        <f>F56*AE56</f>
        <v>0</v>
      </c>
      <c r="I56" s="181">
        <f>J56-H56</f>
        <v>0</v>
      </c>
      <c r="J56" s="181">
        <f>F56*G56</f>
        <v>0</v>
      </c>
      <c r="K56" s="181">
        <v>0.01922</v>
      </c>
      <c r="L56" s="181">
        <f>F56*K56</f>
        <v>0.9954038000000001</v>
      </c>
      <c r="M56" s="182" t="s">
        <v>985</v>
      </c>
      <c r="N56" s="12" t="s">
        <v>7</v>
      </c>
      <c r="O56" s="6">
        <f>IF(N56="5",I56,0)</f>
        <v>0</v>
      </c>
      <c r="Z56" s="6">
        <f>IF(AD56=0,J56,0)</f>
        <v>0</v>
      </c>
      <c r="AA56" s="6">
        <f>IF(AD56=15,J56,0)</f>
        <v>0</v>
      </c>
      <c r="AB56" s="6">
        <f>IF(AD56=21,J56,0)</f>
        <v>0</v>
      </c>
      <c r="AD56" s="16">
        <v>21</v>
      </c>
      <c r="AE56" s="16">
        <f>G56*0.0315333333333333</f>
        <v>0</v>
      </c>
      <c r="AF56" s="16">
        <f>G56*(1-0.0315333333333333)</f>
        <v>0</v>
      </c>
      <c r="AM56" s="16">
        <f>F56*AE56</f>
        <v>0</v>
      </c>
      <c r="AN56" s="16">
        <f>F56*AF56</f>
        <v>0</v>
      </c>
      <c r="AO56" s="17" t="s">
        <v>1002</v>
      </c>
      <c r="AP56" s="17" t="s">
        <v>1002</v>
      </c>
      <c r="AQ56" s="11" t="s">
        <v>1039</v>
      </c>
    </row>
    <row r="57" spans="1:13" ht="12.75">
      <c r="A57" s="183"/>
      <c r="B57" s="183"/>
      <c r="C57" s="183"/>
      <c r="D57" s="184" t="s">
        <v>586</v>
      </c>
      <c r="E57" s="183"/>
      <c r="F57" s="185">
        <v>51.79</v>
      </c>
      <c r="G57" s="183"/>
      <c r="H57" s="183"/>
      <c r="I57" s="183"/>
      <c r="J57" s="183"/>
      <c r="K57" s="183"/>
      <c r="L57" s="183"/>
      <c r="M57" s="183"/>
    </row>
    <row r="58" spans="1:43" ht="12.75">
      <c r="A58" s="180" t="s">
        <v>28</v>
      </c>
      <c r="B58" s="180" t="s">
        <v>282</v>
      </c>
      <c r="C58" s="180" t="s">
        <v>293</v>
      </c>
      <c r="D58" s="180" t="s">
        <v>556</v>
      </c>
      <c r="E58" s="180" t="s">
        <v>953</v>
      </c>
      <c r="F58" s="181">
        <v>-35.1</v>
      </c>
      <c r="G58" s="181"/>
      <c r="H58" s="181">
        <f>F58*AE58</f>
        <v>0</v>
      </c>
      <c r="I58" s="181">
        <f>J58-H58</f>
        <v>0</v>
      </c>
      <c r="J58" s="181">
        <f>F58*G58</f>
        <v>0</v>
      </c>
      <c r="K58" s="181">
        <v>0</v>
      </c>
      <c r="L58" s="181">
        <f>F58*K58</f>
        <v>0</v>
      </c>
      <c r="M58" s="182" t="s">
        <v>985</v>
      </c>
      <c r="N58" s="12" t="s">
        <v>7</v>
      </c>
      <c r="O58" s="6">
        <f>IF(N58="5",I58,0)</f>
        <v>0</v>
      </c>
      <c r="Z58" s="6">
        <f>IF(AD58=0,J58,0)</f>
        <v>0</v>
      </c>
      <c r="AA58" s="6">
        <f>IF(AD58=15,J58,0)</f>
        <v>0</v>
      </c>
      <c r="AB58" s="6">
        <f>IF(AD58=21,J58,0)</f>
        <v>0</v>
      </c>
      <c r="AD58" s="16">
        <v>21</v>
      </c>
      <c r="AE58" s="16">
        <f>G58*0</f>
        <v>0</v>
      </c>
      <c r="AF58" s="16">
        <f>G58*(1-0)</f>
        <v>0</v>
      </c>
      <c r="AM58" s="16">
        <f>F58*AE58</f>
        <v>0</v>
      </c>
      <c r="AN58" s="16">
        <f>F58*AF58</f>
        <v>0</v>
      </c>
      <c r="AO58" s="17" t="s">
        <v>1002</v>
      </c>
      <c r="AP58" s="17" t="s">
        <v>1002</v>
      </c>
      <c r="AQ58" s="11" t="s">
        <v>1039</v>
      </c>
    </row>
    <row r="59" spans="1:13" ht="12.75">
      <c r="A59" s="183"/>
      <c r="B59" s="183"/>
      <c r="C59" s="183"/>
      <c r="D59" s="184" t="s">
        <v>587</v>
      </c>
      <c r="E59" s="183"/>
      <c r="F59" s="185">
        <v>-35.1</v>
      </c>
      <c r="G59" s="183"/>
      <c r="H59" s="183"/>
      <c r="I59" s="183"/>
      <c r="J59" s="183"/>
      <c r="K59" s="183"/>
      <c r="L59" s="183"/>
      <c r="M59" s="183"/>
    </row>
    <row r="60" spans="1:43" ht="12.75">
      <c r="A60" s="180" t="s">
        <v>29</v>
      </c>
      <c r="B60" s="180" t="s">
        <v>282</v>
      </c>
      <c r="C60" s="180" t="s">
        <v>311</v>
      </c>
      <c r="D60" s="180" t="s">
        <v>588</v>
      </c>
      <c r="E60" s="180" t="s">
        <v>953</v>
      </c>
      <c r="F60" s="181">
        <v>51.79</v>
      </c>
      <c r="G60" s="181"/>
      <c r="H60" s="181">
        <f>F60*AE60</f>
        <v>0</v>
      </c>
      <c r="I60" s="181">
        <f>J60-H60</f>
        <v>0</v>
      </c>
      <c r="J60" s="181">
        <f>F60*G60</f>
        <v>0</v>
      </c>
      <c r="K60" s="181">
        <v>0</v>
      </c>
      <c r="L60" s="181">
        <f>F60*K60</f>
        <v>0</v>
      </c>
      <c r="M60" s="182" t="s">
        <v>985</v>
      </c>
      <c r="N60" s="12" t="s">
        <v>7</v>
      </c>
      <c r="O60" s="6">
        <f>IF(N60="5",I60,0)</f>
        <v>0</v>
      </c>
      <c r="Z60" s="6">
        <f>IF(AD60=0,J60,0)</f>
        <v>0</v>
      </c>
      <c r="AA60" s="6">
        <f>IF(AD60=15,J60,0)</f>
        <v>0</v>
      </c>
      <c r="AB60" s="6">
        <f>IF(AD60=21,J60,0)</f>
        <v>0</v>
      </c>
      <c r="AD60" s="16">
        <v>21</v>
      </c>
      <c r="AE60" s="16">
        <f>G60*0</f>
        <v>0</v>
      </c>
      <c r="AF60" s="16">
        <f>G60*(1-0)</f>
        <v>0</v>
      </c>
      <c r="AM60" s="16">
        <f>F60*AE60</f>
        <v>0</v>
      </c>
      <c r="AN60" s="16">
        <f>F60*AF60</f>
        <v>0</v>
      </c>
      <c r="AO60" s="17" t="s">
        <v>1002</v>
      </c>
      <c r="AP60" s="17" t="s">
        <v>1002</v>
      </c>
      <c r="AQ60" s="11" t="s">
        <v>1039</v>
      </c>
    </row>
    <row r="61" spans="1:13" ht="12.75">
      <c r="A61" s="183"/>
      <c r="B61" s="183"/>
      <c r="C61" s="183"/>
      <c r="D61" s="184" t="s">
        <v>589</v>
      </c>
      <c r="E61" s="183"/>
      <c r="F61" s="185">
        <v>51.79</v>
      </c>
      <c r="G61" s="183"/>
      <c r="H61" s="183"/>
      <c r="I61" s="183"/>
      <c r="J61" s="183"/>
      <c r="K61" s="183"/>
      <c r="L61" s="183"/>
      <c r="M61" s="183"/>
    </row>
    <row r="62" spans="1:43" ht="12.75">
      <c r="A62" s="180" t="s">
        <v>30</v>
      </c>
      <c r="B62" s="180" t="s">
        <v>282</v>
      </c>
      <c r="C62" s="180" t="s">
        <v>312</v>
      </c>
      <c r="D62" s="180" t="s">
        <v>590</v>
      </c>
      <c r="E62" s="180" t="s">
        <v>953</v>
      </c>
      <c r="F62" s="181">
        <v>355.61</v>
      </c>
      <c r="G62" s="181"/>
      <c r="H62" s="181">
        <f>F62*AE62</f>
        <v>0</v>
      </c>
      <c r="I62" s="181">
        <f>J62-H62</f>
        <v>0</v>
      </c>
      <c r="J62" s="181">
        <f>F62*G62</f>
        <v>0</v>
      </c>
      <c r="K62" s="181">
        <v>0</v>
      </c>
      <c r="L62" s="181">
        <f>F62*K62</f>
        <v>0</v>
      </c>
      <c r="M62" s="182" t="s">
        <v>985</v>
      </c>
      <c r="N62" s="12" t="s">
        <v>7</v>
      </c>
      <c r="O62" s="6">
        <f>IF(N62="5",I62,0)</f>
        <v>0</v>
      </c>
      <c r="Z62" s="6">
        <f>IF(AD62=0,J62,0)</f>
        <v>0</v>
      </c>
      <c r="AA62" s="6">
        <f>IF(AD62=15,J62,0)</f>
        <v>0</v>
      </c>
      <c r="AB62" s="6">
        <f>IF(AD62=21,J62,0)</f>
        <v>0</v>
      </c>
      <c r="AD62" s="16">
        <v>21</v>
      </c>
      <c r="AE62" s="16">
        <f>G62*0</f>
        <v>0</v>
      </c>
      <c r="AF62" s="16">
        <f>G62*(1-0)</f>
        <v>0</v>
      </c>
      <c r="AM62" s="16">
        <f>F62*AE62</f>
        <v>0</v>
      </c>
      <c r="AN62" s="16">
        <f>F62*AF62</f>
        <v>0</v>
      </c>
      <c r="AO62" s="17" t="s">
        <v>1002</v>
      </c>
      <c r="AP62" s="17" t="s">
        <v>1002</v>
      </c>
      <c r="AQ62" s="11" t="s">
        <v>1039</v>
      </c>
    </row>
    <row r="63" spans="1:13" ht="12.75">
      <c r="A63" s="183"/>
      <c r="B63" s="183"/>
      <c r="C63" s="183"/>
      <c r="D63" s="184" t="s">
        <v>591</v>
      </c>
      <c r="E63" s="183"/>
      <c r="F63" s="185">
        <v>336.11</v>
      </c>
      <c r="G63" s="183"/>
      <c r="H63" s="183"/>
      <c r="I63" s="183"/>
      <c r="J63" s="183"/>
      <c r="K63" s="183"/>
      <c r="L63" s="183"/>
      <c r="M63" s="183"/>
    </row>
    <row r="64" spans="1:13" ht="12.75">
      <c r="A64" s="183"/>
      <c r="B64" s="183"/>
      <c r="C64" s="183"/>
      <c r="D64" s="184" t="s">
        <v>592</v>
      </c>
      <c r="E64" s="183"/>
      <c r="F64" s="185">
        <v>19.5</v>
      </c>
      <c r="G64" s="183"/>
      <c r="H64" s="183"/>
      <c r="I64" s="183"/>
      <c r="J64" s="183"/>
      <c r="K64" s="183"/>
      <c r="L64" s="183"/>
      <c r="M64" s="183"/>
    </row>
    <row r="65" spans="1:37" ht="12.75">
      <c r="A65" s="174"/>
      <c r="B65" s="175" t="s">
        <v>282</v>
      </c>
      <c r="C65" s="175" t="s">
        <v>24</v>
      </c>
      <c r="D65" s="176" t="s">
        <v>593</v>
      </c>
      <c r="E65" s="177"/>
      <c r="F65" s="177"/>
      <c r="G65" s="177"/>
      <c r="H65" s="178">
        <f>SUM(H66:H66)</f>
        <v>0</v>
      </c>
      <c r="I65" s="178">
        <f>SUM(I66:I66)</f>
        <v>0</v>
      </c>
      <c r="J65" s="178">
        <f>H65+I65</f>
        <v>0</v>
      </c>
      <c r="K65" s="179"/>
      <c r="L65" s="178">
        <f>SUM(L66:L66)</f>
        <v>0</v>
      </c>
      <c r="M65" s="179"/>
      <c r="P65" s="18">
        <f>IF(Q65="PR",J65,SUM(O66:O66))</f>
        <v>0</v>
      </c>
      <c r="Q65" s="11" t="s">
        <v>992</v>
      </c>
      <c r="R65" s="18">
        <f>IF(Q65="HS",H65,0)</f>
        <v>0</v>
      </c>
      <c r="S65" s="18">
        <f>IF(Q65="HS",I65-P65,0)</f>
        <v>0</v>
      </c>
      <c r="T65" s="18">
        <f>IF(Q65="PS",H65,0)</f>
        <v>0</v>
      </c>
      <c r="U65" s="18">
        <f>IF(Q65="PS",I65-P65,0)</f>
        <v>0</v>
      </c>
      <c r="V65" s="18">
        <f>IF(Q65="MP",H65,0)</f>
        <v>0</v>
      </c>
      <c r="W65" s="18">
        <f>IF(Q65="MP",I65-P65,0)</f>
        <v>0</v>
      </c>
      <c r="X65" s="18">
        <f>IF(Q65="OM",H65,0)</f>
        <v>0</v>
      </c>
      <c r="Y65" s="11" t="s">
        <v>282</v>
      </c>
      <c r="AI65" s="18">
        <f>SUM(Z66:Z66)</f>
        <v>0</v>
      </c>
      <c r="AJ65" s="18">
        <f>SUM(AA66:AA66)</f>
        <v>0</v>
      </c>
      <c r="AK65" s="18">
        <f>SUM(AB66:AB66)</f>
        <v>0</v>
      </c>
    </row>
    <row r="66" spans="1:43" ht="12.75">
      <c r="A66" s="180" t="s">
        <v>31</v>
      </c>
      <c r="B66" s="180" t="s">
        <v>282</v>
      </c>
      <c r="C66" s="180" t="s">
        <v>313</v>
      </c>
      <c r="D66" s="180" t="s">
        <v>594</v>
      </c>
      <c r="E66" s="180" t="s">
        <v>952</v>
      </c>
      <c r="F66" s="181">
        <v>240.55</v>
      </c>
      <c r="G66" s="181"/>
      <c r="H66" s="181">
        <f>F66*AE66</f>
        <v>0</v>
      </c>
      <c r="I66" s="181">
        <f>J66-H66</f>
        <v>0</v>
      </c>
      <c r="J66" s="181">
        <f>F66*G66</f>
        <v>0</v>
      </c>
      <c r="K66" s="181">
        <v>0</v>
      </c>
      <c r="L66" s="181">
        <f>F66*K66</f>
        <v>0</v>
      </c>
      <c r="M66" s="182" t="s">
        <v>985</v>
      </c>
      <c r="N66" s="12" t="s">
        <v>7</v>
      </c>
      <c r="O66" s="6">
        <f>IF(N66="5",I66,0)</f>
        <v>0</v>
      </c>
      <c r="Z66" s="6">
        <f>IF(AD66=0,J66,0)</f>
        <v>0</v>
      </c>
      <c r="AA66" s="6">
        <f>IF(AD66=15,J66,0)</f>
        <v>0</v>
      </c>
      <c r="AB66" s="6">
        <f>IF(AD66=21,J66,0)</f>
        <v>0</v>
      </c>
      <c r="AD66" s="16">
        <v>21</v>
      </c>
      <c r="AE66" s="16">
        <f>G66*0</f>
        <v>0</v>
      </c>
      <c r="AF66" s="16">
        <f>G66*(1-0)</f>
        <v>0</v>
      </c>
      <c r="AM66" s="16">
        <f>F66*AE66</f>
        <v>0</v>
      </c>
      <c r="AN66" s="16">
        <f>F66*AF66</f>
        <v>0</v>
      </c>
      <c r="AO66" s="17" t="s">
        <v>1005</v>
      </c>
      <c r="AP66" s="17" t="s">
        <v>1002</v>
      </c>
      <c r="AQ66" s="11" t="s">
        <v>1039</v>
      </c>
    </row>
    <row r="67" spans="1:13" ht="12.75">
      <c r="A67" s="183"/>
      <c r="B67" s="183"/>
      <c r="C67" s="183"/>
      <c r="D67" s="184" t="s">
        <v>595</v>
      </c>
      <c r="E67" s="183"/>
      <c r="F67" s="185">
        <v>240.55</v>
      </c>
      <c r="G67" s="183"/>
      <c r="H67" s="183"/>
      <c r="I67" s="183"/>
      <c r="J67" s="183"/>
      <c r="K67" s="183"/>
      <c r="L67" s="183"/>
      <c r="M67" s="183"/>
    </row>
    <row r="68" spans="1:37" ht="12.75">
      <c r="A68" s="174"/>
      <c r="B68" s="175" t="s">
        <v>282</v>
      </c>
      <c r="C68" s="175" t="s">
        <v>28</v>
      </c>
      <c r="D68" s="176" t="s">
        <v>596</v>
      </c>
      <c r="E68" s="177"/>
      <c r="F68" s="177"/>
      <c r="G68" s="177"/>
      <c r="H68" s="178">
        <f>SUM(H69:H73)</f>
        <v>0</v>
      </c>
      <c r="I68" s="178">
        <f>SUM(I69:I73)</f>
        <v>0</v>
      </c>
      <c r="J68" s="178">
        <f>H68+I68</f>
        <v>0</v>
      </c>
      <c r="K68" s="179"/>
      <c r="L68" s="178">
        <f>SUM(L69:L73)</f>
        <v>287.21025579999997</v>
      </c>
      <c r="M68" s="179"/>
      <c r="P68" s="18">
        <f>IF(Q68="PR",J68,SUM(O69:O73))</f>
        <v>0</v>
      </c>
      <c r="Q68" s="11" t="s">
        <v>992</v>
      </c>
      <c r="R68" s="18">
        <f>IF(Q68="HS",H68,0)</f>
        <v>0</v>
      </c>
      <c r="S68" s="18">
        <f>IF(Q68="HS",I68-P68,0)</f>
        <v>0</v>
      </c>
      <c r="T68" s="18">
        <f>IF(Q68="PS",H68,0)</f>
        <v>0</v>
      </c>
      <c r="U68" s="18">
        <f>IF(Q68="PS",I68-P68,0)</f>
        <v>0</v>
      </c>
      <c r="V68" s="18">
        <f>IF(Q68="MP",H68,0)</f>
        <v>0</v>
      </c>
      <c r="W68" s="18">
        <f>IF(Q68="MP",I68-P68,0)</f>
        <v>0</v>
      </c>
      <c r="X68" s="18">
        <f>IF(Q68="OM",H68,0)</f>
        <v>0</v>
      </c>
      <c r="Y68" s="11" t="s">
        <v>282</v>
      </c>
      <c r="AI68" s="18">
        <f>SUM(Z69:Z73)</f>
        <v>0</v>
      </c>
      <c r="AJ68" s="18">
        <f>SUM(AA69:AA73)</f>
        <v>0</v>
      </c>
      <c r="AK68" s="18">
        <f>SUM(AB69:AB73)</f>
        <v>0</v>
      </c>
    </row>
    <row r="69" spans="1:43" ht="12.75">
      <c r="A69" s="180" t="s">
        <v>32</v>
      </c>
      <c r="B69" s="180" t="s">
        <v>282</v>
      </c>
      <c r="C69" s="180" t="s">
        <v>314</v>
      </c>
      <c r="D69" s="180" t="s">
        <v>597</v>
      </c>
      <c r="E69" s="180" t="s">
        <v>953</v>
      </c>
      <c r="F69" s="181">
        <v>110.11</v>
      </c>
      <c r="G69" s="181"/>
      <c r="H69" s="181">
        <f>F69*AE69</f>
        <v>0</v>
      </c>
      <c r="I69" s="181">
        <f>J69-H69</f>
        <v>0</v>
      </c>
      <c r="J69" s="181">
        <f>F69*G69</f>
        <v>0</v>
      </c>
      <c r="K69" s="181">
        <v>2.55</v>
      </c>
      <c r="L69" s="181">
        <f>F69*K69</f>
        <v>280.78049999999996</v>
      </c>
      <c r="M69" s="182" t="s">
        <v>985</v>
      </c>
      <c r="N69" s="12" t="s">
        <v>7</v>
      </c>
      <c r="O69" s="6">
        <f>IF(N69="5",I69,0)</f>
        <v>0</v>
      </c>
      <c r="Z69" s="6">
        <f>IF(AD69=0,J69,0)</f>
        <v>0</v>
      </c>
      <c r="AA69" s="6">
        <f>IF(AD69=15,J69,0)</f>
        <v>0</v>
      </c>
      <c r="AB69" s="6">
        <f>IF(AD69=21,J69,0)</f>
        <v>0</v>
      </c>
      <c r="AD69" s="16">
        <v>21</v>
      </c>
      <c r="AE69" s="16">
        <f>G69*1</f>
        <v>0</v>
      </c>
      <c r="AF69" s="16">
        <f>G69*(1-1)</f>
        <v>0</v>
      </c>
      <c r="AM69" s="16">
        <f>F69*AE69</f>
        <v>0</v>
      </c>
      <c r="AN69" s="16">
        <f>F69*AF69</f>
        <v>0</v>
      </c>
      <c r="AO69" s="17" t="s">
        <v>1006</v>
      </c>
      <c r="AP69" s="17" t="s">
        <v>1029</v>
      </c>
      <c r="AQ69" s="11" t="s">
        <v>1039</v>
      </c>
    </row>
    <row r="70" spans="1:13" ht="12.75">
      <c r="A70" s="183"/>
      <c r="B70" s="183"/>
      <c r="C70" s="183"/>
      <c r="D70" s="184" t="s">
        <v>598</v>
      </c>
      <c r="E70" s="183"/>
      <c r="F70" s="185">
        <v>110.11</v>
      </c>
      <c r="G70" s="183"/>
      <c r="H70" s="183"/>
      <c r="I70" s="183"/>
      <c r="J70" s="183"/>
      <c r="K70" s="183"/>
      <c r="L70" s="183"/>
      <c r="M70" s="183"/>
    </row>
    <row r="71" spans="1:43" ht="12.75">
      <c r="A71" s="180" t="s">
        <v>33</v>
      </c>
      <c r="B71" s="180" t="s">
        <v>282</v>
      </c>
      <c r="C71" s="180" t="s">
        <v>315</v>
      </c>
      <c r="D71" s="180" t="s">
        <v>599</v>
      </c>
      <c r="E71" s="180" t="s">
        <v>955</v>
      </c>
      <c r="F71" s="181">
        <v>5.98</v>
      </c>
      <c r="G71" s="181"/>
      <c r="H71" s="181">
        <f>F71*AE71</f>
        <v>0</v>
      </c>
      <c r="I71" s="181">
        <f>J71-H71</f>
        <v>0</v>
      </c>
      <c r="J71" s="181">
        <f>F71*G71</f>
        <v>0</v>
      </c>
      <c r="K71" s="181">
        <v>1.07521</v>
      </c>
      <c r="L71" s="181">
        <f>F71*K71</f>
        <v>6.429755800000001</v>
      </c>
      <c r="M71" s="182" t="s">
        <v>985</v>
      </c>
      <c r="N71" s="12" t="s">
        <v>7</v>
      </c>
      <c r="O71" s="6">
        <f>IF(N71="5",I71,0)</f>
        <v>0</v>
      </c>
      <c r="Z71" s="6">
        <f>IF(AD71=0,J71,0)</f>
        <v>0</v>
      </c>
      <c r="AA71" s="6">
        <f>IF(AD71=15,J71,0)</f>
        <v>0</v>
      </c>
      <c r="AB71" s="6">
        <f>IF(AD71=21,J71,0)</f>
        <v>0</v>
      </c>
      <c r="AD71" s="16">
        <v>21</v>
      </c>
      <c r="AE71" s="16">
        <f>G71*0.61177409887609</f>
        <v>0</v>
      </c>
      <c r="AF71" s="16">
        <f>G71*(1-0.61177409887609)</f>
        <v>0</v>
      </c>
      <c r="AM71" s="16">
        <f>F71*AE71</f>
        <v>0</v>
      </c>
      <c r="AN71" s="16">
        <f>F71*AF71</f>
        <v>0</v>
      </c>
      <c r="AO71" s="17" t="s">
        <v>1006</v>
      </c>
      <c r="AP71" s="17" t="s">
        <v>1029</v>
      </c>
      <c r="AQ71" s="11" t="s">
        <v>1039</v>
      </c>
    </row>
    <row r="72" spans="1:13" ht="12.75">
      <c r="A72" s="183"/>
      <c r="B72" s="183"/>
      <c r="C72" s="183"/>
      <c r="D72" s="184" t="s">
        <v>600</v>
      </c>
      <c r="E72" s="183"/>
      <c r="F72" s="185">
        <v>5.98</v>
      </c>
      <c r="G72" s="183"/>
      <c r="H72" s="183"/>
      <c r="I72" s="183"/>
      <c r="J72" s="183"/>
      <c r="K72" s="183"/>
      <c r="L72" s="183"/>
      <c r="M72" s="183"/>
    </row>
    <row r="73" spans="1:43" ht="12.75">
      <c r="A73" s="180" t="s">
        <v>34</v>
      </c>
      <c r="B73" s="180" t="s">
        <v>282</v>
      </c>
      <c r="C73" s="180" t="s">
        <v>316</v>
      </c>
      <c r="D73" s="180" t="s">
        <v>601</v>
      </c>
      <c r="E73" s="180" t="s">
        <v>953</v>
      </c>
      <c r="F73" s="181">
        <v>22.37</v>
      </c>
      <c r="G73" s="181"/>
      <c r="H73" s="181">
        <f>F73*AE73</f>
        <v>0</v>
      </c>
      <c r="I73" s="181">
        <f>J73-H73</f>
        <v>0</v>
      </c>
      <c r="J73" s="181">
        <f>F73*G73</f>
        <v>0</v>
      </c>
      <c r="K73" s="181">
        <v>0</v>
      </c>
      <c r="L73" s="181">
        <f>F73*K73</f>
        <v>0</v>
      </c>
      <c r="M73" s="182" t="s">
        <v>985</v>
      </c>
      <c r="N73" s="12" t="s">
        <v>7</v>
      </c>
      <c r="O73" s="6">
        <f>IF(N73="5",I73,0)</f>
        <v>0</v>
      </c>
      <c r="Z73" s="6">
        <f>IF(AD73=0,J73,0)</f>
        <v>0</v>
      </c>
      <c r="AA73" s="6">
        <f>IF(AD73=15,J73,0)</f>
        <v>0</v>
      </c>
      <c r="AB73" s="6">
        <f>IF(AD73=21,J73,0)</f>
        <v>0</v>
      </c>
      <c r="AD73" s="16">
        <v>21</v>
      </c>
      <c r="AE73" s="16">
        <f>G73*0</f>
        <v>0</v>
      </c>
      <c r="AF73" s="16">
        <f>G73*(1-0)</f>
        <v>0</v>
      </c>
      <c r="AM73" s="16">
        <f>F73*AE73</f>
        <v>0</v>
      </c>
      <c r="AN73" s="16">
        <f>F73*AF73</f>
        <v>0</v>
      </c>
      <c r="AO73" s="17" t="s">
        <v>1006</v>
      </c>
      <c r="AP73" s="17" t="s">
        <v>1029</v>
      </c>
      <c r="AQ73" s="11" t="s">
        <v>1039</v>
      </c>
    </row>
    <row r="74" spans="1:13" ht="12.75">
      <c r="A74" s="183"/>
      <c r="B74" s="183"/>
      <c r="C74" s="183"/>
      <c r="D74" s="184" t="s">
        <v>602</v>
      </c>
      <c r="E74" s="183"/>
      <c r="F74" s="185">
        <v>22.37</v>
      </c>
      <c r="G74" s="183"/>
      <c r="H74" s="183"/>
      <c r="I74" s="183"/>
      <c r="J74" s="183"/>
      <c r="K74" s="183"/>
      <c r="L74" s="183"/>
      <c r="M74" s="183"/>
    </row>
    <row r="75" spans="1:37" ht="12.75">
      <c r="A75" s="174"/>
      <c r="B75" s="175" t="s">
        <v>282</v>
      </c>
      <c r="C75" s="175" t="s">
        <v>32</v>
      </c>
      <c r="D75" s="176" t="s">
        <v>603</v>
      </c>
      <c r="E75" s="177"/>
      <c r="F75" s="177"/>
      <c r="G75" s="177"/>
      <c r="H75" s="178">
        <f>SUM(H76:H80)</f>
        <v>0</v>
      </c>
      <c r="I75" s="178">
        <f>SUM(I76:I80)</f>
        <v>0</v>
      </c>
      <c r="J75" s="178">
        <f>H75+I75</f>
        <v>0</v>
      </c>
      <c r="K75" s="179"/>
      <c r="L75" s="178">
        <f>SUM(L76:L80)</f>
        <v>1.6912475</v>
      </c>
      <c r="M75" s="179"/>
      <c r="P75" s="18">
        <f>IF(Q75="PR",J75,SUM(O76:O80))</f>
        <v>0</v>
      </c>
      <c r="Q75" s="11" t="s">
        <v>992</v>
      </c>
      <c r="R75" s="18">
        <f>IF(Q75="HS",H75,0)</f>
        <v>0</v>
      </c>
      <c r="S75" s="18">
        <f>IF(Q75="HS",I75-P75,0)</f>
        <v>0</v>
      </c>
      <c r="T75" s="18">
        <f>IF(Q75="PS",H75,0)</f>
        <v>0</v>
      </c>
      <c r="U75" s="18">
        <f>IF(Q75="PS",I75-P75,0)</f>
        <v>0</v>
      </c>
      <c r="V75" s="18">
        <f>IF(Q75="MP",H75,0)</f>
        <v>0</v>
      </c>
      <c r="W75" s="18">
        <f>IF(Q75="MP",I75-P75,0)</f>
        <v>0</v>
      </c>
      <c r="X75" s="18">
        <f>IF(Q75="OM",H75,0)</f>
        <v>0</v>
      </c>
      <c r="Y75" s="11" t="s">
        <v>282</v>
      </c>
      <c r="AI75" s="18">
        <f>SUM(Z76:Z80)</f>
        <v>0</v>
      </c>
      <c r="AJ75" s="18">
        <f>SUM(AA76:AA80)</f>
        <v>0</v>
      </c>
      <c r="AK75" s="18">
        <f>SUM(AB76:AB80)</f>
        <v>0</v>
      </c>
    </row>
    <row r="76" spans="1:43" ht="12.75">
      <c r="A76" s="180" t="s">
        <v>35</v>
      </c>
      <c r="B76" s="180" t="s">
        <v>282</v>
      </c>
      <c r="C76" s="180" t="s">
        <v>317</v>
      </c>
      <c r="D76" s="180" t="s">
        <v>604</v>
      </c>
      <c r="E76" s="180" t="s">
        <v>954</v>
      </c>
      <c r="F76" s="181">
        <v>60.7</v>
      </c>
      <c r="G76" s="181"/>
      <c r="H76" s="181">
        <f>F76*AE76</f>
        <v>0</v>
      </c>
      <c r="I76" s="181">
        <f>J76-H76</f>
        <v>0</v>
      </c>
      <c r="J76" s="181">
        <f>F76*G76</f>
        <v>0</v>
      </c>
      <c r="K76" s="181">
        <v>0.01406</v>
      </c>
      <c r="L76" s="181">
        <f>F76*K76</f>
        <v>0.853442</v>
      </c>
      <c r="M76" s="182" t="s">
        <v>985</v>
      </c>
      <c r="N76" s="12" t="s">
        <v>7</v>
      </c>
      <c r="O76" s="6">
        <f>IF(N76="5",I76,0)</f>
        <v>0</v>
      </c>
      <c r="Z76" s="6">
        <f>IF(AD76=0,J76,0)</f>
        <v>0</v>
      </c>
      <c r="AA76" s="6">
        <f>IF(AD76=15,J76,0)</f>
        <v>0</v>
      </c>
      <c r="AB76" s="6">
        <f>IF(AD76=21,J76,0)</f>
        <v>0</v>
      </c>
      <c r="AD76" s="16">
        <v>21</v>
      </c>
      <c r="AE76" s="16">
        <f>G76*0.487840425531915</f>
        <v>0</v>
      </c>
      <c r="AF76" s="16">
        <f>G76*(1-0.487840425531915)</f>
        <v>0</v>
      </c>
      <c r="AM76" s="16">
        <f>F76*AE76</f>
        <v>0</v>
      </c>
      <c r="AN76" s="16">
        <f>F76*AF76</f>
        <v>0</v>
      </c>
      <c r="AO76" s="17" t="s">
        <v>1007</v>
      </c>
      <c r="AP76" s="17" t="s">
        <v>1029</v>
      </c>
      <c r="AQ76" s="11" t="s">
        <v>1039</v>
      </c>
    </row>
    <row r="77" spans="1:13" ht="12.75">
      <c r="A77" s="183"/>
      <c r="B77" s="183"/>
      <c r="C77" s="183"/>
      <c r="D77" s="184" t="s">
        <v>605</v>
      </c>
      <c r="E77" s="183"/>
      <c r="F77" s="185">
        <v>60.7</v>
      </c>
      <c r="G77" s="183"/>
      <c r="H77" s="183"/>
      <c r="I77" s="183"/>
      <c r="J77" s="183"/>
      <c r="K77" s="183"/>
      <c r="L77" s="183"/>
      <c r="M77" s="183"/>
    </row>
    <row r="78" spans="1:43" ht="12.75">
      <c r="A78" s="180" t="s">
        <v>36</v>
      </c>
      <c r="B78" s="180" t="s">
        <v>282</v>
      </c>
      <c r="C78" s="180" t="s">
        <v>318</v>
      </c>
      <c r="D78" s="180" t="s">
        <v>606</v>
      </c>
      <c r="E78" s="180" t="s">
        <v>954</v>
      </c>
      <c r="F78" s="181">
        <v>38.9</v>
      </c>
      <c r="G78" s="181"/>
      <c r="H78" s="181">
        <f>F78*AE78</f>
        <v>0</v>
      </c>
      <c r="I78" s="181">
        <f>J78-H78</f>
        <v>0</v>
      </c>
      <c r="J78" s="181">
        <f>F78*G78</f>
        <v>0</v>
      </c>
      <c r="K78" s="181">
        <v>0.01125</v>
      </c>
      <c r="L78" s="181">
        <f>F78*K78</f>
        <v>0.437625</v>
      </c>
      <c r="M78" s="182" t="s">
        <v>985</v>
      </c>
      <c r="N78" s="12" t="s">
        <v>7</v>
      </c>
      <c r="O78" s="6">
        <f>IF(N78="5",I78,0)</f>
        <v>0</v>
      </c>
      <c r="Z78" s="6">
        <f>IF(AD78=0,J78,0)</f>
        <v>0</v>
      </c>
      <c r="AA78" s="6">
        <f>IF(AD78=15,J78,0)</f>
        <v>0</v>
      </c>
      <c r="AB78" s="6">
        <f>IF(AD78=21,J78,0)</f>
        <v>0</v>
      </c>
      <c r="AD78" s="16">
        <v>21</v>
      </c>
      <c r="AE78" s="16">
        <f>G78*0.454080332409972</f>
        <v>0</v>
      </c>
      <c r="AF78" s="16">
        <f>G78*(1-0.454080332409972)</f>
        <v>0</v>
      </c>
      <c r="AM78" s="16">
        <f>F78*AE78</f>
        <v>0</v>
      </c>
      <c r="AN78" s="16">
        <f>F78*AF78</f>
        <v>0</v>
      </c>
      <c r="AO78" s="17" t="s">
        <v>1007</v>
      </c>
      <c r="AP78" s="17" t="s">
        <v>1029</v>
      </c>
      <c r="AQ78" s="11" t="s">
        <v>1039</v>
      </c>
    </row>
    <row r="79" spans="1:13" ht="12.75">
      <c r="A79" s="183"/>
      <c r="B79" s="183"/>
      <c r="C79" s="183"/>
      <c r="D79" s="184" t="s">
        <v>607</v>
      </c>
      <c r="E79" s="183"/>
      <c r="F79" s="185">
        <v>38.9</v>
      </c>
      <c r="G79" s="183"/>
      <c r="H79" s="183"/>
      <c r="I79" s="183"/>
      <c r="J79" s="183"/>
      <c r="K79" s="183"/>
      <c r="L79" s="183"/>
      <c r="M79" s="183"/>
    </row>
    <row r="80" spans="1:43" ht="12.75">
      <c r="A80" s="180" t="s">
        <v>37</v>
      </c>
      <c r="B80" s="180" t="s">
        <v>282</v>
      </c>
      <c r="C80" s="180" t="s">
        <v>319</v>
      </c>
      <c r="D80" s="180" t="s">
        <v>608</v>
      </c>
      <c r="E80" s="180" t="s">
        <v>954</v>
      </c>
      <c r="F80" s="181">
        <v>55.35</v>
      </c>
      <c r="G80" s="181"/>
      <c r="H80" s="181">
        <f>F80*AE80</f>
        <v>0</v>
      </c>
      <c r="I80" s="181">
        <f>J80-H80</f>
        <v>0</v>
      </c>
      <c r="J80" s="181">
        <f>F80*G80</f>
        <v>0</v>
      </c>
      <c r="K80" s="181">
        <v>0.00723</v>
      </c>
      <c r="L80" s="181">
        <f>F80*K80</f>
        <v>0.40018050000000005</v>
      </c>
      <c r="M80" s="182" t="s">
        <v>985</v>
      </c>
      <c r="N80" s="12" t="s">
        <v>7</v>
      </c>
      <c r="O80" s="6">
        <f>IF(N80="5",I80,0)</f>
        <v>0</v>
      </c>
      <c r="Z80" s="6">
        <f>IF(AD80=0,J80,0)</f>
        <v>0</v>
      </c>
      <c r="AA80" s="6">
        <f>IF(AD80=15,J80,0)</f>
        <v>0</v>
      </c>
      <c r="AB80" s="6">
        <f>IF(AD80=21,J80,0)</f>
        <v>0</v>
      </c>
      <c r="AD80" s="16">
        <v>21</v>
      </c>
      <c r="AE80" s="16">
        <f>G80*0.49742300515399</f>
        <v>0</v>
      </c>
      <c r="AF80" s="16">
        <f>G80*(1-0.49742300515399)</f>
        <v>0</v>
      </c>
      <c r="AM80" s="16">
        <f>F80*AE80</f>
        <v>0</v>
      </c>
      <c r="AN80" s="16">
        <f>F80*AF80</f>
        <v>0</v>
      </c>
      <c r="AO80" s="17" t="s">
        <v>1007</v>
      </c>
      <c r="AP80" s="17" t="s">
        <v>1029</v>
      </c>
      <c r="AQ80" s="11" t="s">
        <v>1039</v>
      </c>
    </row>
    <row r="81" spans="1:13" ht="12.75">
      <c r="A81" s="183"/>
      <c r="B81" s="183"/>
      <c r="C81" s="183"/>
      <c r="D81" s="184" t="s">
        <v>609</v>
      </c>
      <c r="E81" s="183"/>
      <c r="F81" s="185">
        <v>55.35</v>
      </c>
      <c r="G81" s="183"/>
      <c r="H81" s="183"/>
      <c r="I81" s="183"/>
      <c r="J81" s="183"/>
      <c r="K81" s="183"/>
      <c r="L81" s="183"/>
      <c r="M81" s="183"/>
    </row>
    <row r="82" spans="1:37" ht="12.75">
      <c r="A82" s="174"/>
      <c r="B82" s="175" t="s">
        <v>282</v>
      </c>
      <c r="C82" s="175" t="s">
        <v>33</v>
      </c>
      <c r="D82" s="176" t="s">
        <v>610</v>
      </c>
      <c r="E82" s="177"/>
      <c r="F82" s="177"/>
      <c r="G82" s="177"/>
      <c r="H82" s="178">
        <f>SUM(H83:H95)</f>
        <v>0</v>
      </c>
      <c r="I82" s="178">
        <f>SUM(I83:I95)</f>
        <v>0</v>
      </c>
      <c r="J82" s="178">
        <f>H82+I82</f>
        <v>0</v>
      </c>
      <c r="K82" s="179"/>
      <c r="L82" s="178">
        <f>SUM(L83:L95)</f>
        <v>246.0000384</v>
      </c>
      <c r="M82" s="179"/>
      <c r="P82" s="18">
        <f>IF(Q82="PR",J82,SUM(O83:O95))</f>
        <v>0</v>
      </c>
      <c r="Q82" s="11" t="s">
        <v>992</v>
      </c>
      <c r="R82" s="18">
        <f>IF(Q82="HS",H82,0)</f>
        <v>0</v>
      </c>
      <c r="S82" s="18">
        <f>IF(Q82="HS",I82-P82,0)</f>
        <v>0</v>
      </c>
      <c r="T82" s="18">
        <f>IF(Q82="PS",H82,0)</f>
        <v>0</v>
      </c>
      <c r="U82" s="18">
        <f>IF(Q82="PS",I82-P82,0)</f>
        <v>0</v>
      </c>
      <c r="V82" s="18">
        <f>IF(Q82="MP",H82,0)</f>
        <v>0</v>
      </c>
      <c r="W82" s="18">
        <f>IF(Q82="MP",I82-P82,0)</f>
        <v>0</v>
      </c>
      <c r="X82" s="18">
        <f>IF(Q82="OM",H82,0)</f>
        <v>0</v>
      </c>
      <c r="Y82" s="11" t="s">
        <v>282</v>
      </c>
      <c r="AI82" s="18">
        <f>SUM(Z83:Z95)</f>
        <v>0</v>
      </c>
      <c r="AJ82" s="18">
        <f>SUM(AA83:AA95)</f>
        <v>0</v>
      </c>
      <c r="AK82" s="18">
        <f>SUM(AB83:AB95)</f>
        <v>0</v>
      </c>
    </row>
    <row r="83" spans="1:43" ht="12.75">
      <c r="A83" s="180" t="s">
        <v>38</v>
      </c>
      <c r="B83" s="180" t="s">
        <v>282</v>
      </c>
      <c r="C83" s="180" t="s">
        <v>320</v>
      </c>
      <c r="D83" s="180" t="s">
        <v>611</v>
      </c>
      <c r="E83" s="180" t="s">
        <v>953</v>
      </c>
      <c r="F83" s="181">
        <v>0.76</v>
      </c>
      <c r="G83" s="181"/>
      <c r="H83" s="181">
        <f>F83*AE83</f>
        <v>0</v>
      </c>
      <c r="I83" s="181">
        <f>J83-H83</f>
        <v>0</v>
      </c>
      <c r="J83" s="181">
        <f>F83*G83</f>
        <v>0</v>
      </c>
      <c r="K83" s="181">
        <v>2.525</v>
      </c>
      <c r="L83" s="181">
        <f>F83*K83</f>
        <v>1.919</v>
      </c>
      <c r="M83" s="182" t="s">
        <v>985</v>
      </c>
      <c r="N83" s="12" t="s">
        <v>7</v>
      </c>
      <c r="O83" s="6">
        <f>IF(N83="5",I83,0)</f>
        <v>0</v>
      </c>
      <c r="Z83" s="6">
        <f>IF(AD83=0,J83,0)</f>
        <v>0</v>
      </c>
      <c r="AA83" s="6">
        <f>IF(AD83=15,J83,0)</f>
        <v>0</v>
      </c>
      <c r="AB83" s="6">
        <f>IF(AD83=21,J83,0)</f>
        <v>0</v>
      </c>
      <c r="AD83" s="16">
        <v>21</v>
      </c>
      <c r="AE83" s="16">
        <f>G83*0.900010096105307</f>
        <v>0</v>
      </c>
      <c r="AF83" s="16">
        <f>G83*(1-0.900010096105307)</f>
        <v>0</v>
      </c>
      <c r="AM83" s="16">
        <f>F83*AE83</f>
        <v>0</v>
      </c>
      <c r="AN83" s="16">
        <f>F83*AF83</f>
        <v>0</v>
      </c>
      <c r="AO83" s="17" t="s">
        <v>1008</v>
      </c>
      <c r="AP83" s="17" t="s">
        <v>1029</v>
      </c>
      <c r="AQ83" s="11" t="s">
        <v>1039</v>
      </c>
    </row>
    <row r="84" spans="1:13" ht="12.75">
      <c r="A84" s="183"/>
      <c r="B84" s="183"/>
      <c r="C84" s="183"/>
      <c r="D84" s="184" t="s">
        <v>612</v>
      </c>
      <c r="E84" s="183"/>
      <c r="F84" s="185">
        <v>0.76</v>
      </c>
      <c r="G84" s="183"/>
      <c r="H84" s="183"/>
      <c r="I84" s="183"/>
      <c r="J84" s="183"/>
      <c r="K84" s="183"/>
      <c r="L84" s="183"/>
      <c r="M84" s="183"/>
    </row>
    <row r="85" spans="1:43" ht="12.75">
      <c r="A85" s="180" t="s">
        <v>39</v>
      </c>
      <c r="B85" s="180" t="s">
        <v>282</v>
      </c>
      <c r="C85" s="180" t="s">
        <v>321</v>
      </c>
      <c r="D85" s="180" t="s">
        <v>613</v>
      </c>
      <c r="E85" s="180" t="s">
        <v>953</v>
      </c>
      <c r="F85" s="181">
        <v>84.98</v>
      </c>
      <c r="G85" s="181"/>
      <c r="H85" s="181">
        <f>F85*AE85</f>
        <v>0</v>
      </c>
      <c r="I85" s="181">
        <f>J85-H85</f>
        <v>0</v>
      </c>
      <c r="J85" s="181">
        <f>F85*G85</f>
        <v>0</v>
      </c>
      <c r="K85" s="181">
        <v>2.525</v>
      </c>
      <c r="L85" s="181">
        <f>F85*K85</f>
        <v>214.5745</v>
      </c>
      <c r="M85" s="182" t="s">
        <v>985</v>
      </c>
      <c r="N85" s="12" t="s">
        <v>7</v>
      </c>
      <c r="O85" s="6">
        <f>IF(N85="5",I85,0)</f>
        <v>0</v>
      </c>
      <c r="Z85" s="6">
        <f>IF(AD85=0,J85,0)</f>
        <v>0</v>
      </c>
      <c r="AA85" s="6">
        <f>IF(AD85=15,J85,0)</f>
        <v>0</v>
      </c>
      <c r="AB85" s="6">
        <f>IF(AD85=21,J85,0)</f>
        <v>0</v>
      </c>
      <c r="AD85" s="16">
        <v>21</v>
      </c>
      <c r="AE85" s="16">
        <f>G85*0.917165009940358</f>
        <v>0</v>
      </c>
      <c r="AF85" s="16">
        <f>G85*(1-0.917165009940358)</f>
        <v>0</v>
      </c>
      <c r="AM85" s="16">
        <f>F85*AE85</f>
        <v>0</v>
      </c>
      <c r="AN85" s="16">
        <f>F85*AF85</f>
        <v>0</v>
      </c>
      <c r="AO85" s="17" t="s">
        <v>1008</v>
      </c>
      <c r="AP85" s="17" t="s">
        <v>1029</v>
      </c>
      <c r="AQ85" s="11" t="s">
        <v>1039</v>
      </c>
    </row>
    <row r="86" spans="1:13" ht="12.75">
      <c r="A86" s="183"/>
      <c r="B86" s="183"/>
      <c r="C86" s="183"/>
      <c r="D86" s="184" t="s">
        <v>614</v>
      </c>
      <c r="E86" s="183"/>
      <c r="F86" s="185">
        <v>52.51</v>
      </c>
      <c r="G86" s="183"/>
      <c r="H86" s="183"/>
      <c r="I86" s="183"/>
      <c r="J86" s="183"/>
      <c r="K86" s="183"/>
      <c r="L86" s="183"/>
      <c r="M86" s="183"/>
    </row>
    <row r="87" spans="1:13" ht="12.75">
      <c r="A87" s="183"/>
      <c r="B87" s="183"/>
      <c r="C87" s="183"/>
      <c r="D87" s="184" t="s">
        <v>615</v>
      </c>
      <c r="E87" s="183"/>
      <c r="F87" s="185">
        <v>32.47</v>
      </c>
      <c r="G87" s="183"/>
      <c r="H87" s="183"/>
      <c r="I87" s="183"/>
      <c r="J87" s="183"/>
      <c r="K87" s="183"/>
      <c r="L87" s="183"/>
      <c r="M87" s="183"/>
    </row>
    <row r="88" spans="1:43" ht="12.75">
      <c r="A88" s="180" t="s">
        <v>40</v>
      </c>
      <c r="B88" s="180" t="s">
        <v>282</v>
      </c>
      <c r="C88" s="180" t="s">
        <v>322</v>
      </c>
      <c r="D88" s="180" t="s">
        <v>616</v>
      </c>
      <c r="E88" s="180" t="s">
        <v>952</v>
      </c>
      <c r="F88" s="181">
        <v>566.51</v>
      </c>
      <c r="G88" s="181"/>
      <c r="H88" s="181">
        <f>F88*AE88</f>
        <v>0</v>
      </c>
      <c r="I88" s="181">
        <f>J88-H88</f>
        <v>0</v>
      </c>
      <c r="J88" s="181">
        <f>F88*G88</f>
        <v>0</v>
      </c>
      <c r="K88" s="181">
        <v>0.03916</v>
      </c>
      <c r="L88" s="181">
        <f>F88*K88</f>
        <v>22.1845316</v>
      </c>
      <c r="M88" s="182" t="s">
        <v>985</v>
      </c>
      <c r="N88" s="12" t="s">
        <v>7</v>
      </c>
      <c r="O88" s="6">
        <f>IF(N88="5",I88,0)</f>
        <v>0</v>
      </c>
      <c r="Z88" s="6">
        <f>IF(AD88=0,J88,0)</f>
        <v>0</v>
      </c>
      <c r="AA88" s="6">
        <f>IF(AD88=15,J88,0)</f>
        <v>0</v>
      </c>
      <c r="AB88" s="6">
        <f>IF(AD88=21,J88,0)</f>
        <v>0</v>
      </c>
      <c r="AD88" s="16">
        <v>21</v>
      </c>
      <c r="AE88" s="16">
        <f>G88*0.362691853600944</f>
        <v>0</v>
      </c>
      <c r="AF88" s="16">
        <f>G88*(1-0.362691853600944)</f>
        <v>0</v>
      </c>
      <c r="AM88" s="16">
        <f>F88*AE88</f>
        <v>0</v>
      </c>
      <c r="AN88" s="16">
        <f>F88*AF88</f>
        <v>0</v>
      </c>
      <c r="AO88" s="17" t="s">
        <v>1008</v>
      </c>
      <c r="AP88" s="17" t="s">
        <v>1029</v>
      </c>
      <c r="AQ88" s="11" t="s">
        <v>1039</v>
      </c>
    </row>
    <row r="89" spans="1:13" ht="12.75">
      <c r="A89" s="183"/>
      <c r="B89" s="183"/>
      <c r="C89" s="183"/>
      <c r="D89" s="184" t="s">
        <v>617</v>
      </c>
      <c r="E89" s="183"/>
      <c r="F89" s="185">
        <v>350.07</v>
      </c>
      <c r="G89" s="183"/>
      <c r="H89" s="183"/>
      <c r="I89" s="183"/>
      <c r="J89" s="183"/>
      <c r="K89" s="183"/>
      <c r="L89" s="183"/>
      <c r="M89" s="183"/>
    </row>
    <row r="90" spans="1:13" ht="12.75">
      <c r="A90" s="183"/>
      <c r="B90" s="183"/>
      <c r="C90" s="183"/>
      <c r="D90" s="184" t="s">
        <v>618</v>
      </c>
      <c r="E90" s="183"/>
      <c r="F90" s="185">
        <v>216.44</v>
      </c>
      <c r="G90" s="183"/>
      <c r="H90" s="183"/>
      <c r="I90" s="183"/>
      <c r="J90" s="183"/>
      <c r="K90" s="183"/>
      <c r="L90" s="183"/>
      <c r="M90" s="183"/>
    </row>
    <row r="91" spans="1:43" ht="12.75">
      <c r="A91" s="256" t="s">
        <v>41</v>
      </c>
      <c r="B91" s="256" t="s">
        <v>282</v>
      </c>
      <c r="C91" s="256" t="s">
        <v>323</v>
      </c>
      <c r="D91" s="256" t="s">
        <v>619</v>
      </c>
      <c r="E91" s="256" t="s">
        <v>952</v>
      </c>
      <c r="F91" s="257">
        <v>566.51</v>
      </c>
      <c r="G91" s="181"/>
      <c r="H91" s="181">
        <f>F91*AE91</f>
        <v>0</v>
      </c>
      <c r="I91" s="181">
        <f>J91-H91</f>
        <v>0</v>
      </c>
      <c r="J91" s="181">
        <f>F91*G91</f>
        <v>0</v>
      </c>
      <c r="K91" s="181">
        <v>0</v>
      </c>
      <c r="L91" s="181">
        <f>F91*K91</f>
        <v>0</v>
      </c>
      <c r="M91" s="182" t="s">
        <v>985</v>
      </c>
      <c r="N91" s="12" t="s">
        <v>7</v>
      </c>
      <c r="O91" s="6">
        <f>IF(N91="5",I91,0)</f>
        <v>0</v>
      </c>
      <c r="Z91" s="6">
        <f>IF(AD91=0,J91,0)</f>
        <v>0</v>
      </c>
      <c r="AA91" s="6">
        <f>IF(AD91=15,J91,0)</f>
        <v>0</v>
      </c>
      <c r="AB91" s="6">
        <f>IF(AD91=21,J91,0)</f>
        <v>0</v>
      </c>
      <c r="AD91" s="16">
        <v>21</v>
      </c>
      <c r="AE91" s="16">
        <f>G91*0</f>
        <v>0</v>
      </c>
      <c r="AF91" s="16">
        <f>G91*(1-0)</f>
        <v>0</v>
      </c>
      <c r="AM91" s="16">
        <f>F91*AE91</f>
        <v>0</v>
      </c>
      <c r="AN91" s="16">
        <f>F91*AF91</f>
        <v>0</v>
      </c>
      <c r="AO91" s="17" t="s">
        <v>1008</v>
      </c>
      <c r="AP91" s="17" t="s">
        <v>1029</v>
      </c>
      <c r="AQ91" s="11" t="s">
        <v>1039</v>
      </c>
    </row>
    <row r="92" spans="1:13" ht="12.75">
      <c r="A92" s="258"/>
      <c r="B92" s="258"/>
      <c r="C92" s="258"/>
      <c r="D92" s="259" t="s">
        <v>620</v>
      </c>
      <c r="E92" s="258"/>
      <c r="F92" s="260">
        <v>566.51</v>
      </c>
      <c r="G92" s="183"/>
      <c r="H92" s="183"/>
      <c r="I92" s="183"/>
      <c r="J92" s="183"/>
      <c r="K92" s="183"/>
      <c r="L92" s="183"/>
      <c r="M92" s="183"/>
    </row>
    <row r="93" spans="1:43" ht="12.75">
      <c r="A93" s="180" t="s">
        <v>42</v>
      </c>
      <c r="B93" s="180" t="s">
        <v>282</v>
      </c>
      <c r="C93" s="180" t="s">
        <v>324</v>
      </c>
      <c r="D93" s="180" t="s">
        <v>621</v>
      </c>
      <c r="E93" s="180" t="s">
        <v>955</v>
      </c>
      <c r="F93" s="181">
        <v>5.93</v>
      </c>
      <c r="G93" s="181"/>
      <c r="H93" s="181">
        <f>F93*AE93</f>
        <v>0</v>
      </c>
      <c r="I93" s="181">
        <f>J93-H93</f>
        <v>0</v>
      </c>
      <c r="J93" s="181">
        <f>F93*G93</f>
        <v>0</v>
      </c>
      <c r="K93" s="181">
        <v>1.02116</v>
      </c>
      <c r="L93" s="181">
        <f>F93*K93</f>
        <v>6.0554788</v>
      </c>
      <c r="M93" s="182" t="s">
        <v>985</v>
      </c>
      <c r="N93" s="12" t="s">
        <v>7</v>
      </c>
      <c r="O93" s="6">
        <f>IF(N93="5",I93,0)</f>
        <v>0</v>
      </c>
      <c r="Z93" s="6">
        <f>IF(AD93=0,J93,0)</f>
        <v>0</v>
      </c>
      <c r="AA93" s="6">
        <f>IF(AD93=15,J93,0)</f>
        <v>0</v>
      </c>
      <c r="AB93" s="6">
        <f>IF(AD93=21,J93,0)</f>
        <v>0</v>
      </c>
      <c r="AD93" s="16">
        <v>21</v>
      </c>
      <c r="AE93" s="16">
        <f>G93*0.73155726128339</f>
        <v>0</v>
      </c>
      <c r="AF93" s="16">
        <f>G93*(1-0.73155726128339)</f>
        <v>0</v>
      </c>
      <c r="AM93" s="16">
        <f>F93*AE93</f>
        <v>0</v>
      </c>
      <c r="AN93" s="16">
        <f>F93*AF93</f>
        <v>0</v>
      </c>
      <c r="AO93" s="17" t="s">
        <v>1008</v>
      </c>
      <c r="AP93" s="17" t="s">
        <v>1029</v>
      </c>
      <c r="AQ93" s="11" t="s">
        <v>1039</v>
      </c>
    </row>
    <row r="94" spans="1:13" ht="12.75">
      <c r="A94" s="183"/>
      <c r="B94" s="183"/>
      <c r="C94" s="183"/>
      <c r="D94" s="184" t="s">
        <v>622</v>
      </c>
      <c r="E94" s="183"/>
      <c r="F94" s="185">
        <v>5.93</v>
      </c>
      <c r="G94" s="183"/>
      <c r="H94" s="183"/>
      <c r="I94" s="183"/>
      <c r="J94" s="183"/>
      <c r="K94" s="183"/>
      <c r="L94" s="183"/>
      <c r="M94" s="183"/>
    </row>
    <row r="95" spans="1:43" ht="12.75">
      <c r="A95" s="180" t="s">
        <v>43</v>
      </c>
      <c r="B95" s="180" t="s">
        <v>282</v>
      </c>
      <c r="C95" s="180" t="s">
        <v>325</v>
      </c>
      <c r="D95" s="180" t="s">
        <v>623</v>
      </c>
      <c r="E95" s="180" t="s">
        <v>955</v>
      </c>
      <c r="F95" s="181">
        <v>1.2</v>
      </c>
      <c r="G95" s="181"/>
      <c r="H95" s="181">
        <f>F95*AE95</f>
        <v>0</v>
      </c>
      <c r="I95" s="181">
        <f>J95-H95</f>
        <v>0</v>
      </c>
      <c r="J95" s="181">
        <f>F95*G95</f>
        <v>0</v>
      </c>
      <c r="K95" s="181">
        <v>1.05544</v>
      </c>
      <c r="L95" s="181">
        <f>F95*K95</f>
        <v>1.2665279999999999</v>
      </c>
      <c r="M95" s="182" t="s">
        <v>985</v>
      </c>
      <c r="N95" s="12" t="s">
        <v>7</v>
      </c>
      <c r="O95" s="6">
        <f>IF(N95="5",I95,0)</f>
        <v>0</v>
      </c>
      <c r="Z95" s="6">
        <f>IF(AD95=0,J95,0)</f>
        <v>0</v>
      </c>
      <c r="AA95" s="6">
        <f>IF(AD95=15,J95,0)</f>
        <v>0</v>
      </c>
      <c r="AB95" s="6">
        <f>IF(AD95=21,J95,0)</f>
        <v>0</v>
      </c>
      <c r="AD95" s="16">
        <v>21</v>
      </c>
      <c r="AE95" s="16">
        <f>G95*0.844703657061311</f>
        <v>0</v>
      </c>
      <c r="AF95" s="16">
        <f>G95*(1-0.844703657061311)</f>
        <v>0</v>
      </c>
      <c r="AM95" s="16">
        <f>F95*AE95</f>
        <v>0</v>
      </c>
      <c r="AN95" s="16">
        <f>F95*AF95</f>
        <v>0</v>
      </c>
      <c r="AO95" s="17" t="s">
        <v>1008</v>
      </c>
      <c r="AP95" s="17" t="s">
        <v>1029</v>
      </c>
      <c r="AQ95" s="11" t="s">
        <v>1039</v>
      </c>
    </row>
    <row r="96" spans="1:13" ht="12.75">
      <c r="A96" s="183"/>
      <c r="B96" s="183"/>
      <c r="C96" s="183"/>
      <c r="D96" s="184" t="s">
        <v>624</v>
      </c>
      <c r="E96" s="183"/>
      <c r="F96" s="185">
        <v>1.2</v>
      </c>
      <c r="G96" s="183"/>
      <c r="H96" s="183"/>
      <c r="I96" s="183"/>
      <c r="J96" s="183"/>
      <c r="K96" s="183"/>
      <c r="L96" s="183"/>
      <c r="M96" s="183"/>
    </row>
    <row r="97" spans="1:37" ht="12.75">
      <c r="A97" s="174"/>
      <c r="B97" s="175" t="s">
        <v>282</v>
      </c>
      <c r="C97" s="175" t="s">
        <v>38</v>
      </c>
      <c r="D97" s="176" t="s">
        <v>625</v>
      </c>
      <c r="E97" s="177"/>
      <c r="F97" s="177"/>
      <c r="G97" s="177"/>
      <c r="H97" s="178">
        <f>SUM(H98:H104)</f>
        <v>0</v>
      </c>
      <c r="I97" s="178">
        <f>SUM(I98:I104)</f>
        <v>0</v>
      </c>
      <c r="J97" s="178">
        <f>H97+I97</f>
        <v>0</v>
      </c>
      <c r="K97" s="179"/>
      <c r="L97" s="178">
        <f>SUM(L98:L104)</f>
        <v>31.3198155</v>
      </c>
      <c r="M97" s="179"/>
      <c r="P97" s="18">
        <f>IF(Q97="PR",J97,SUM(O98:O104))</f>
        <v>0</v>
      </c>
      <c r="Q97" s="11" t="s">
        <v>992</v>
      </c>
      <c r="R97" s="18">
        <f>IF(Q97="HS",H97,0)</f>
        <v>0</v>
      </c>
      <c r="S97" s="18">
        <f>IF(Q97="HS",I97-P97,0)</f>
        <v>0</v>
      </c>
      <c r="T97" s="18">
        <f>IF(Q97="PS",H97,0)</f>
        <v>0</v>
      </c>
      <c r="U97" s="18">
        <f>IF(Q97="PS",I97-P97,0)</f>
        <v>0</v>
      </c>
      <c r="V97" s="18">
        <f>IF(Q97="MP",H97,0)</f>
        <v>0</v>
      </c>
      <c r="W97" s="18">
        <f>IF(Q97="MP",I97-P97,0)</f>
        <v>0</v>
      </c>
      <c r="X97" s="18">
        <f>IF(Q97="OM",H97,0)</f>
        <v>0</v>
      </c>
      <c r="Y97" s="11" t="s">
        <v>282</v>
      </c>
      <c r="AI97" s="18">
        <f>SUM(Z98:Z104)</f>
        <v>0</v>
      </c>
      <c r="AJ97" s="18">
        <f>SUM(AA98:AA104)</f>
        <v>0</v>
      </c>
      <c r="AK97" s="18">
        <f>SUM(AB98:AB104)</f>
        <v>0</v>
      </c>
    </row>
    <row r="98" spans="1:43" ht="12.75">
      <c r="A98" s="180" t="s">
        <v>44</v>
      </c>
      <c r="B98" s="180" t="s">
        <v>282</v>
      </c>
      <c r="C98" s="180" t="s">
        <v>326</v>
      </c>
      <c r="D98" s="180" t="s">
        <v>626</v>
      </c>
      <c r="E98" s="180" t="s">
        <v>953</v>
      </c>
      <c r="F98" s="181">
        <v>11.7</v>
      </c>
      <c r="G98" s="181"/>
      <c r="H98" s="181">
        <f>F98*AE98</f>
        <v>0</v>
      </c>
      <c r="I98" s="181">
        <f>J98-H98</f>
        <v>0</v>
      </c>
      <c r="J98" s="181">
        <f>F98*G98</f>
        <v>0</v>
      </c>
      <c r="K98" s="181">
        <v>2.525</v>
      </c>
      <c r="L98" s="181">
        <f>F98*K98</f>
        <v>29.542499999999997</v>
      </c>
      <c r="M98" s="182" t="s">
        <v>985</v>
      </c>
      <c r="N98" s="12" t="s">
        <v>7</v>
      </c>
      <c r="O98" s="6">
        <f>IF(N98="5",I98,0)</f>
        <v>0</v>
      </c>
      <c r="Z98" s="6">
        <f>IF(AD98=0,J98,0)</f>
        <v>0</v>
      </c>
      <c r="AA98" s="6">
        <f>IF(AD98=15,J98,0)</f>
        <v>0</v>
      </c>
      <c r="AB98" s="6">
        <f>IF(AD98=21,J98,0)</f>
        <v>0</v>
      </c>
      <c r="AD98" s="16">
        <v>21</v>
      </c>
      <c r="AE98" s="16">
        <f>G98*0.952409836065574</f>
        <v>0</v>
      </c>
      <c r="AF98" s="16">
        <f>G98*(1-0.952409836065574)</f>
        <v>0</v>
      </c>
      <c r="AM98" s="16">
        <f>F98*AE98</f>
        <v>0</v>
      </c>
      <c r="AN98" s="16">
        <f>F98*AF98</f>
        <v>0</v>
      </c>
      <c r="AO98" s="17" t="s">
        <v>1009</v>
      </c>
      <c r="AP98" s="17" t="s">
        <v>1030</v>
      </c>
      <c r="AQ98" s="11" t="s">
        <v>1039</v>
      </c>
    </row>
    <row r="99" spans="1:13" ht="12.75">
      <c r="A99" s="183"/>
      <c r="B99" s="183"/>
      <c r="C99" s="183"/>
      <c r="D99" s="184" t="s">
        <v>627</v>
      </c>
      <c r="E99" s="183"/>
      <c r="F99" s="185">
        <v>11.7</v>
      </c>
      <c r="G99" s="183"/>
      <c r="H99" s="183"/>
      <c r="I99" s="183"/>
      <c r="J99" s="183"/>
      <c r="K99" s="183"/>
      <c r="L99" s="183"/>
      <c r="M99" s="183"/>
    </row>
    <row r="100" spans="1:43" ht="12.75">
      <c r="A100" s="180" t="s">
        <v>45</v>
      </c>
      <c r="B100" s="180" t="s">
        <v>282</v>
      </c>
      <c r="C100" s="180" t="s">
        <v>327</v>
      </c>
      <c r="D100" s="180" t="s">
        <v>628</v>
      </c>
      <c r="E100" s="180" t="s">
        <v>952</v>
      </c>
      <c r="F100" s="181">
        <v>42.9</v>
      </c>
      <c r="G100" s="181"/>
      <c r="H100" s="181">
        <f>F100*AE100</f>
        <v>0</v>
      </c>
      <c r="I100" s="181">
        <f>J100-H100</f>
        <v>0</v>
      </c>
      <c r="J100" s="181">
        <f>F100*G100</f>
        <v>0</v>
      </c>
      <c r="K100" s="181">
        <v>0.0145</v>
      </c>
      <c r="L100" s="181">
        <f>F100*K100</f>
        <v>0.62205</v>
      </c>
      <c r="M100" s="182" t="s">
        <v>985</v>
      </c>
      <c r="N100" s="12" t="s">
        <v>7</v>
      </c>
      <c r="O100" s="6">
        <f>IF(N100="5",I100,0)</f>
        <v>0</v>
      </c>
      <c r="Z100" s="6">
        <f>IF(AD100=0,J100,0)</f>
        <v>0</v>
      </c>
      <c r="AA100" s="6">
        <f>IF(AD100=15,J100,0)</f>
        <v>0</v>
      </c>
      <c r="AB100" s="6">
        <f>IF(AD100=21,J100,0)</f>
        <v>0</v>
      </c>
      <c r="AD100" s="16">
        <v>21</v>
      </c>
      <c r="AE100" s="16">
        <f>G100*0.240014939939035</f>
        <v>0</v>
      </c>
      <c r="AF100" s="16">
        <f>G100*(1-0.240014939939035)</f>
        <v>0</v>
      </c>
      <c r="AM100" s="16">
        <f>F100*AE100</f>
        <v>0</v>
      </c>
      <c r="AN100" s="16">
        <f>F100*AF100</f>
        <v>0</v>
      </c>
      <c r="AO100" s="17" t="s">
        <v>1009</v>
      </c>
      <c r="AP100" s="17" t="s">
        <v>1030</v>
      </c>
      <c r="AQ100" s="11" t="s">
        <v>1039</v>
      </c>
    </row>
    <row r="101" spans="1:13" ht="12.75">
      <c r="A101" s="183"/>
      <c r="B101" s="183"/>
      <c r="C101" s="183"/>
      <c r="D101" s="184" t="s">
        <v>629</v>
      </c>
      <c r="E101" s="183"/>
      <c r="F101" s="185">
        <v>42.9</v>
      </c>
      <c r="G101" s="183"/>
      <c r="H101" s="183"/>
      <c r="I101" s="183"/>
      <c r="J101" s="183"/>
      <c r="K101" s="183"/>
      <c r="L101" s="183"/>
      <c r="M101" s="183"/>
    </row>
    <row r="102" spans="1:43" ht="12.75">
      <c r="A102" s="180" t="s">
        <v>46</v>
      </c>
      <c r="B102" s="180" t="s">
        <v>282</v>
      </c>
      <c r="C102" s="180" t="s">
        <v>328</v>
      </c>
      <c r="D102" s="180" t="s">
        <v>630</v>
      </c>
      <c r="E102" s="180" t="s">
        <v>952</v>
      </c>
      <c r="F102" s="181">
        <v>42.9</v>
      </c>
      <c r="G102" s="181"/>
      <c r="H102" s="181">
        <f>F102*AE102</f>
        <v>0</v>
      </c>
      <c r="I102" s="181">
        <f>J102-H102</f>
        <v>0</v>
      </c>
      <c r="J102" s="181">
        <f>F102*G102</f>
        <v>0</v>
      </c>
      <c r="K102" s="181">
        <v>0.00096</v>
      </c>
      <c r="L102" s="181">
        <f>F102*K102</f>
        <v>0.041184</v>
      </c>
      <c r="M102" s="182" t="s">
        <v>985</v>
      </c>
      <c r="N102" s="12" t="s">
        <v>7</v>
      </c>
      <c r="O102" s="6">
        <f>IF(N102="5",I102,0)</f>
        <v>0</v>
      </c>
      <c r="Z102" s="6">
        <f>IF(AD102=0,J102,0)</f>
        <v>0</v>
      </c>
      <c r="AA102" s="6">
        <f>IF(AD102=15,J102,0)</f>
        <v>0</v>
      </c>
      <c r="AB102" s="6">
        <f>IF(AD102=21,J102,0)</f>
        <v>0</v>
      </c>
      <c r="AD102" s="16">
        <v>21</v>
      </c>
      <c r="AE102" s="16">
        <f>G102*0.198946809024591</f>
        <v>0</v>
      </c>
      <c r="AF102" s="16">
        <f>G102*(1-0.198946809024591)</f>
        <v>0</v>
      </c>
      <c r="AM102" s="16">
        <f>F102*AE102</f>
        <v>0</v>
      </c>
      <c r="AN102" s="16">
        <f>F102*AF102</f>
        <v>0</v>
      </c>
      <c r="AO102" s="17" t="s">
        <v>1009</v>
      </c>
      <c r="AP102" s="17" t="s">
        <v>1030</v>
      </c>
      <c r="AQ102" s="11" t="s">
        <v>1039</v>
      </c>
    </row>
    <row r="103" spans="1:13" ht="12.75">
      <c r="A103" s="183"/>
      <c r="B103" s="183"/>
      <c r="C103" s="183"/>
      <c r="D103" s="184" t="s">
        <v>631</v>
      </c>
      <c r="E103" s="183"/>
      <c r="F103" s="185">
        <v>42.9</v>
      </c>
      <c r="G103" s="183"/>
      <c r="H103" s="183"/>
      <c r="I103" s="183"/>
      <c r="J103" s="183"/>
      <c r="K103" s="183"/>
      <c r="L103" s="183"/>
      <c r="M103" s="183"/>
    </row>
    <row r="104" spans="1:43" ht="12.75">
      <c r="A104" s="180" t="s">
        <v>47</v>
      </c>
      <c r="B104" s="180" t="s">
        <v>282</v>
      </c>
      <c r="C104" s="180" t="s">
        <v>329</v>
      </c>
      <c r="D104" s="180" t="s">
        <v>632</v>
      </c>
      <c r="E104" s="180" t="s">
        <v>955</v>
      </c>
      <c r="F104" s="181">
        <v>1.05</v>
      </c>
      <c r="G104" s="181"/>
      <c r="H104" s="181">
        <f>F104*AE104</f>
        <v>0</v>
      </c>
      <c r="I104" s="181">
        <f>J104-H104</f>
        <v>0</v>
      </c>
      <c r="J104" s="181">
        <f>F104*G104</f>
        <v>0</v>
      </c>
      <c r="K104" s="181">
        <v>1.06103</v>
      </c>
      <c r="L104" s="181">
        <f>F104*K104</f>
        <v>1.1140815</v>
      </c>
      <c r="M104" s="182" t="s">
        <v>985</v>
      </c>
      <c r="N104" s="12" t="s">
        <v>7</v>
      </c>
      <c r="O104" s="6">
        <f>IF(N104="5",I104,0)</f>
        <v>0</v>
      </c>
      <c r="Z104" s="6">
        <f>IF(AD104=0,J104,0)</f>
        <v>0</v>
      </c>
      <c r="AA104" s="6">
        <f>IF(AD104=15,J104,0)</f>
        <v>0</v>
      </c>
      <c r="AB104" s="6">
        <f>IF(AD104=21,J104,0)</f>
        <v>0</v>
      </c>
      <c r="AD104" s="16">
        <v>21</v>
      </c>
      <c r="AE104" s="16">
        <f>G104*0.785928594043117</f>
        <v>0</v>
      </c>
      <c r="AF104" s="16">
        <f>G104*(1-0.785928594043117)</f>
        <v>0</v>
      </c>
      <c r="AM104" s="16">
        <f>F104*AE104</f>
        <v>0</v>
      </c>
      <c r="AN104" s="16">
        <f>F104*AF104</f>
        <v>0</v>
      </c>
      <c r="AO104" s="17" t="s">
        <v>1009</v>
      </c>
      <c r="AP104" s="17" t="s">
        <v>1030</v>
      </c>
      <c r="AQ104" s="11" t="s">
        <v>1039</v>
      </c>
    </row>
    <row r="105" spans="1:13" ht="12.75">
      <c r="A105" s="183"/>
      <c r="B105" s="183"/>
      <c r="C105" s="183"/>
      <c r="D105" s="184" t="s">
        <v>633</v>
      </c>
      <c r="E105" s="183"/>
      <c r="F105" s="185">
        <v>1.05</v>
      </c>
      <c r="G105" s="183"/>
      <c r="H105" s="183"/>
      <c r="I105" s="183"/>
      <c r="J105" s="183"/>
      <c r="K105" s="183"/>
      <c r="L105" s="183"/>
      <c r="M105" s="183"/>
    </row>
    <row r="106" spans="1:37" ht="12.75">
      <c r="A106" s="174"/>
      <c r="B106" s="175" t="s">
        <v>282</v>
      </c>
      <c r="C106" s="175" t="s">
        <v>49</v>
      </c>
      <c r="D106" s="176" t="s">
        <v>634</v>
      </c>
      <c r="E106" s="177"/>
      <c r="F106" s="177"/>
      <c r="G106" s="177"/>
      <c r="H106" s="178">
        <f>SUM(H107:H107)</f>
        <v>0</v>
      </c>
      <c r="I106" s="178">
        <f>SUM(I107:I107)</f>
        <v>0</v>
      </c>
      <c r="J106" s="178">
        <f>H106+I106</f>
        <v>0</v>
      </c>
      <c r="K106" s="179"/>
      <c r="L106" s="178">
        <f>SUM(L107:L107)</f>
        <v>0.34580000000000005</v>
      </c>
      <c r="M106" s="179"/>
      <c r="P106" s="18">
        <f>IF(Q106="PR",J106,SUM(O107:O107))</f>
        <v>0</v>
      </c>
      <c r="Q106" s="11" t="s">
        <v>992</v>
      </c>
      <c r="R106" s="18">
        <f>IF(Q106="HS",H106,0)</f>
        <v>0</v>
      </c>
      <c r="S106" s="18">
        <f>IF(Q106="HS",I106-P106,0)</f>
        <v>0</v>
      </c>
      <c r="T106" s="18">
        <f>IF(Q106="PS",H106,0)</f>
        <v>0</v>
      </c>
      <c r="U106" s="18">
        <f>IF(Q106="PS",I106-P106,0)</f>
        <v>0</v>
      </c>
      <c r="V106" s="18">
        <f>IF(Q106="MP",H106,0)</f>
        <v>0</v>
      </c>
      <c r="W106" s="18">
        <f>IF(Q106="MP",I106-P106,0)</f>
        <v>0</v>
      </c>
      <c r="X106" s="18">
        <f>IF(Q106="OM",H106,0)</f>
        <v>0</v>
      </c>
      <c r="Y106" s="11" t="s">
        <v>282</v>
      </c>
      <c r="AI106" s="18">
        <f>SUM(Z107:Z107)</f>
        <v>0</v>
      </c>
      <c r="AJ106" s="18">
        <f>SUM(AA107:AA107)</f>
        <v>0</v>
      </c>
      <c r="AK106" s="18">
        <f>SUM(AB107:AB107)</f>
        <v>0</v>
      </c>
    </row>
    <row r="107" spans="1:43" ht="12.75">
      <c r="A107" s="180" t="s">
        <v>48</v>
      </c>
      <c r="B107" s="180" t="s">
        <v>282</v>
      </c>
      <c r="C107" s="180" t="s">
        <v>330</v>
      </c>
      <c r="D107" s="180" t="s">
        <v>635</v>
      </c>
      <c r="E107" s="180" t="s">
        <v>956</v>
      </c>
      <c r="F107" s="181">
        <v>2.6</v>
      </c>
      <c r="G107" s="181"/>
      <c r="H107" s="181">
        <f>F107*AE107</f>
        <v>0</v>
      </c>
      <c r="I107" s="181">
        <f>J107-H107</f>
        <v>0</v>
      </c>
      <c r="J107" s="181">
        <f>F107*G107</f>
        <v>0</v>
      </c>
      <c r="K107" s="181">
        <v>0.133</v>
      </c>
      <c r="L107" s="181">
        <f>F107*K107</f>
        <v>0.34580000000000005</v>
      </c>
      <c r="M107" s="182" t="s">
        <v>985</v>
      </c>
      <c r="N107" s="12" t="s">
        <v>9</v>
      </c>
      <c r="O107" s="6">
        <f>IF(N107="5",I107,0)</f>
        <v>0</v>
      </c>
      <c r="Z107" s="6">
        <f>IF(AD107=0,J107,0)</f>
        <v>0</v>
      </c>
      <c r="AA107" s="6">
        <f>IF(AD107=15,J107,0)</f>
        <v>0</v>
      </c>
      <c r="AB107" s="6">
        <f>IF(AD107=21,J107,0)</f>
        <v>0</v>
      </c>
      <c r="AD107" s="16">
        <v>21</v>
      </c>
      <c r="AE107" s="16">
        <f>G107*0.762105084008904</f>
        <v>0</v>
      </c>
      <c r="AF107" s="16">
        <f>G107*(1-0.762105084008904)</f>
        <v>0</v>
      </c>
      <c r="AM107" s="16">
        <f>F107*AE107</f>
        <v>0</v>
      </c>
      <c r="AN107" s="16">
        <f>F107*AF107</f>
        <v>0</v>
      </c>
      <c r="AO107" s="17" t="s">
        <v>1010</v>
      </c>
      <c r="AP107" s="17" t="s">
        <v>1031</v>
      </c>
      <c r="AQ107" s="11" t="s">
        <v>1039</v>
      </c>
    </row>
    <row r="108" spans="1:13" ht="12.75">
      <c r="A108" s="183"/>
      <c r="B108" s="183"/>
      <c r="C108" s="183"/>
      <c r="D108" s="184" t="s">
        <v>636</v>
      </c>
      <c r="E108" s="183"/>
      <c r="F108" s="185">
        <v>2.6</v>
      </c>
      <c r="G108" s="183"/>
      <c r="H108" s="183"/>
      <c r="I108" s="183"/>
      <c r="J108" s="183"/>
      <c r="K108" s="183"/>
      <c r="L108" s="183"/>
      <c r="M108" s="183"/>
    </row>
    <row r="109" spans="1:37" ht="12.75">
      <c r="A109" s="174"/>
      <c r="B109" s="175" t="s">
        <v>282</v>
      </c>
      <c r="C109" s="175" t="s">
        <v>62</v>
      </c>
      <c r="D109" s="176" t="s">
        <v>637</v>
      </c>
      <c r="E109" s="177"/>
      <c r="F109" s="177"/>
      <c r="G109" s="177"/>
      <c r="H109" s="178">
        <f>SUM(H110:H112)</f>
        <v>0</v>
      </c>
      <c r="I109" s="178">
        <f>SUM(I110:I112)</f>
        <v>0</v>
      </c>
      <c r="J109" s="178">
        <f>H109+I109</f>
        <v>0</v>
      </c>
      <c r="K109" s="179"/>
      <c r="L109" s="178">
        <f>SUM(L110:L112)</f>
        <v>233.18435900000003</v>
      </c>
      <c r="M109" s="179"/>
      <c r="P109" s="18">
        <f>IF(Q109="PR",J109,SUM(O110:O112))</f>
        <v>0</v>
      </c>
      <c r="Q109" s="11" t="s">
        <v>992</v>
      </c>
      <c r="R109" s="18">
        <f>IF(Q109="HS",H109,0)</f>
        <v>0</v>
      </c>
      <c r="S109" s="18">
        <f>IF(Q109="HS",I109-P109,0)</f>
        <v>0</v>
      </c>
      <c r="T109" s="18">
        <f>IF(Q109="PS",H109,0)</f>
        <v>0</v>
      </c>
      <c r="U109" s="18">
        <f>IF(Q109="PS",I109-P109,0)</f>
        <v>0</v>
      </c>
      <c r="V109" s="18">
        <f>IF(Q109="MP",H109,0)</f>
        <v>0</v>
      </c>
      <c r="W109" s="18">
        <f>IF(Q109="MP",I109-P109,0)</f>
        <v>0</v>
      </c>
      <c r="X109" s="18">
        <f>IF(Q109="OM",H109,0)</f>
        <v>0</v>
      </c>
      <c r="Y109" s="11" t="s">
        <v>282</v>
      </c>
      <c r="AI109" s="18">
        <f>SUM(Z110:Z112)</f>
        <v>0</v>
      </c>
      <c r="AJ109" s="18">
        <f>SUM(AA110:AA112)</f>
        <v>0</v>
      </c>
      <c r="AK109" s="18">
        <f>SUM(AB110:AB112)</f>
        <v>0</v>
      </c>
    </row>
    <row r="110" spans="1:43" ht="12.75">
      <c r="A110" s="180" t="s">
        <v>49</v>
      </c>
      <c r="B110" s="180" t="s">
        <v>282</v>
      </c>
      <c r="C110" s="180" t="s">
        <v>331</v>
      </c>
      <c r="D110" s="180" t="s">
        <v>638</v>
      </c>
      <c r="E110" s="180" t="s">
        <v>952</v>
      </c>
      <c r="F110" s="181">
        <v>240.55</v>
      </c>
      <c r="G110" s="181"/>
      <c r="H110" s="181">
        <f>F110*AE110</f>
        <v>0</v>
      </c>
      <c r="I110" s="181">
        <f>J110-H110</f>
        <v>0</v>
      </c>
      <c r="J110" s="181">
        <f>F110*G110</f>
        <v>0</v>
      </c>
      <c r="K110" s="181">
        <v>0.60104</v>
      </c>
      <c r="L110" s="181">
        <f>F110*K110</f>
        <v>144.580172</v>
      </c>
      <c r="M110" s="182" t="s">
        <v>985</v>
      </c>
      <c r="N110" s="12" t="s">
        <v>7</v>
      </c>
      <c r="O110" s="6">
        <f>IF(N110="5",I110,0)</f>
        <v>0</v>
      </c>
      <c r="Z110" s="6">
        <f>IF(AD110=0,J110,0)</f>
        <v>0</v>
      </c>
      <c r="AA110" s="6">
        <f>IF(AD110=15,J110,0)</f>
        <v>0</v>
      </c>
      <c r="AB110" s="6">
        <f>IF(AD110=21,J110,0)</f>
        <v>0</v>
      </c>
      <c r="AD110" s="16">
        <v>21</v>
      </c>
      <c r="AE110" s="16">
        <f>G110*0.830129448696695</f>
        <v>0</v>
      </c>
      <c r="AF110" s="16">
        <f>G110*(1-0.830129448696695)</f>
        <v>0</v>
      </c>
      <c r="AM110" s="16">
        <f>F110*AE110</f>
        <v>0</v>
      </c>
      <c r="AN110" s="16">
        <f>F110*AF110</f>
        <v>0</v>
      </c>
      <c r="AO110" s="17" t="s">
        <v>1011</v>
      </c>
      <c r="AP110" s="17" t="s">
        <v>1032</v>
      </c>
      <c r="AQ110" s="11" t="s">
        <v>1039</v>
      </c>
    </row>
    <row r="111" spans="1:13" ht="12.75">
      <c r="A111" s="183"/>
      <c r="B111" s="183"/>
      <c r="C111" s="183"/>
      <c r="D111" s="184" t="s">
        <v>595</v>
      </c>
      <c r="E111" s="183"/>
      <c r="F111" s="185">
        <v>240.55</v>
      </c>
      <c r="G111" s="183"/>
      <c r="H111" s="183"/>
      <c r="I111" s="183"/>
      <c r="J111" s="183"/>
      <c r="K111" s="183"/>
      <c r="L111" s="183"/>
      <c r="M111" s="183"/>
    </row>
    <row r="112" spans="1:43" ht="12.75">
      <c r="A112" s="180" t="s">
        <v>50</v>
      </c>
      <c r="B112" s="180" t="s">
        <v>282</v>
      </c>
      <c r="C112" s="180" t="s">
        <v>332</v>
      </c>
      <c r="D112" s="180" t="s">
        <v>639</v>
      </c>
      <c r="E112" s="180" t="s">
        <v>952</v>
      </c>
      <c r="F112" s="181">
        <v>240.55</v>
      </c>
      <c r="G112" s="181"/>
      <c r="H112" s="181">
        <f>F112*AE112</f>
        <v>0</v>
      </c>
      <c r="I112" s="181">
        <f>J112-H112</f>
        <v>0</v>
      </c>
      <c r="J112" s="181">
        <f>F112*G112</f>
        <v>0</v>
      </c>
      <c r="K112" s="181">
        <v>0.36834</v>
      </c>
      <c r="L112" s="181">
        <f>F112*K112</f>
        <v>88.60418700000001</v>
      </c>
      <c r="M112" s="182" t="s">
        <v>985</v>
      </c>
      <c r="N112" s="12" t="s">
        <v>7</v>
      </c>
      <c r="O112" s="6">
        <f>IF(N112="5",I112,0)</f>
        <v>0</v>
      </c>
      <c r="Z112" s="6">
        <f>IF(AD112=0,J112,0)</f>
        <v>0</v>
      </c>
      <c r="AA112" s="6">
        <f>IF(AD112=15,J112,0)</f>
        <v>0</v>
      </c>
      <c r="AB112" s="6">
        <f>IF(AD112=21,J112,0)</f>
        <v>0</v>
      </c>
      <c r="AD112" s="16">
        <v>21</v>
      </c>
      <c r="AE112" s="16">
        <f>G112*0.835534441805226</f>
        <v>0</v>
      </c>
      <c r="AF112" s="16">
        <f>G112*(1-0.835534441805226)</f>
        <v>0</v>
      </c>
      <c r="AM112" s="16">
        <f>F112*AE112</f>
        <v>0</v>
      </c>
      <c r="AN112" s="16">
        <f>F112*AF112</f>
        <v>0</v>
      </c>
      <c r="AO112" s="17" t="s">
        <v>1011</v>
      </c>
      <c r="AP112" s="17" t="s">
        <v>1032</v>
      </c>
      <c r="AQ112" s="11" t="s">
        <v>1039</v>
      </c>
    </row>
    <row r="113" spans="1:13" ht="12.75">
      <c r="A113" s="183"/>
      <c r="B113" s="183"/>
      <c r="C113" s="183"/>
      <c r="D113" s="184" t="s">
        <v>595</v>
      </c>
      <c r="E113" s="183"/>
      <c r="F113" s="185">
        <v>240.55</v>
      </c>
      <c r="G113" s="183"/>
      <c r="H113" s="183"/>
      <c r="I113" s="183"/>
      <c r="J113" s="183"/>
      <c r="K113" s="183"/>
      <c r="L113" s="183"/>
      <c r="M113" s="183"/>
    </row>
    <row r="114" spans="1:37" ht="12.75">
      <c r="A114" s="174"/>
      <c r="B114" s="175" t="s">
        <v>282</v>
      </c>
      <c r="C114" s="175" t="s">
        <v>69</v>
      </c>
      <c r="D114" s="176" t="s">
        <v>640</v>
      </c>
      <c r="E114" s="177"/>
      <c r="F114" s="177"/>
      <c r="G114" s="177"/>
      <c r="H114" s="178">
        <f>SUM(H115:H136)</f>
        <v>0</v>
      </c>
      <c r="I114" s="178">
        <f>SUM(I115:I136)</f>
        <v>0</v>
      </c>
      <c r="J114" s="178">
        <f>H114+I114</f>
        <v>0</v>
      </c>
      <c r="K114" s="179"/>
      <c r="L114" s="178">
        <f>SUM(L115:L136)</f>
        <v>1390.5633034999998</v>
      </c>
      <c r="M114" s="179"/>
      <c r="P114" s="18">
        <f>IF(Q114="PR",J114,SUM(O115:O136))</f>
        <v>0</v>
      </c>
      <c r="Q114" s="11" t="s">
        <v>992</v>
      </c>
      <c r="R114" s="18">
        <f>IF(Q114="HS",H114,0)</f>
        <v>0</v>
      </c>
      <c r="S114" s="18">
        <f>IF(Q114="HS",I114-P114,0)</f>
        <v>0</v>
      </c>
      <c r="T114" s="18">
        <f>IF(Q114="PS",H114,0)</f>
        <v>0</v>
      </c>
      <c r="U114" s="18">
        <f>IF(Q114="PS",I114-P114,0)</f>
        <v>0</v>
      </c>
      <c r="V114" s="18">
        <f>IF(Q114="MP",H114,0)</f>
        <v>0</v>
      </c>
      <c r="W114" s="18">
        <f>IF(Q114="MP",I114-P114,0)</f>
        <v>0</v>
      </c>
      <c r="X114" s="18">
        <f>IF(Q114="OM",H114,0)</f>
        <v>0</v>
      </c>
      <c r="Y114" s="11" t="s">
        <v>282</v>
      </c>
      <c r="AI114" s="18">
        <f>SUM(Z115:Z136)</f>
        <v>0</v>
      </c>
      <c r="AJ114" s="18">
        <f>SUM(AA115:AA136)</f>
        <v>0</v>
      </c>
      <c r="AK114" s="18">
        <f>SUM(AB115:AB136)</f>
        <v>0</v>
      </c>
    </row>
    <row r="115" spans="1:43" ht="12.75">
      <c r="A115" s="180" t="s">
        <v>51</v>
      </c>
      <c r="B115" s="180" t="s">
        <v>282</v>
      </c>
      <c r="C115" s="180" t="s">
        <v>333</v>
      </c>
      <c r="D115" s="180" t="s">
        <v>641</v>
      </c>
      <c r="E115" s="180" t="s">
        <v>953</v>
      </c>
      <c r="F115" s="181">
        <v>211.77</v>
      </c>
      <c r="G115" s="181"/>
      <c r="H115" s="181">
        <f>F115*AE115</f>
        <v>0</v>
      </c>
      <c r="I115" s="181">
        <f>J115-H115</f>
        <v>0</v>
      </c>
      <c r="J115" s="181">
        <f>F115*G115</f>
        <v>0</v>
      </c>
      <c r="K115" s="181">
        <v>1.837</v>
      </c>
      <c r="L115" s="181">
        <f>F115*K115</f>
        <v>389.02149000000003</v>
      </c>
      <c r="M115" s="182" t="s">
        <v>985</v>
      </c>
      <c r="N115" s="12" t="s">
        <v>7</v>
      </c>
      <c r="O115" s="6">
        <f>IF(N115="5",I115,0)</f>
        <v>0</v>
      </c>
      <c r="Z115" s="6">
        <f>IF(AD115=0,J115,0)</f>
        <v>0</v>
      </c>
      <c r="AA115" s="6">
        <f>IF(AD115=15,J115,0)</f>
        <v>0</v>
      </c>
      <c r="AB115" s="6">
        <f>IF(AD115=21,J115,0)</f>
        <v>0</v>
      </c>
      <c r="AD115" s="16">
        <v>21</v>
      </c>
      <c r="AE115" s="16">
        <f>G115*0.541866618376442</f>
        <v>0</v>
      </c>
      <c r="AF115" s="16">
        <f>G115*(1-0.541866618376442)</f>
        <v>0</v>
      </c>
      <c r="AM115" s="16">
        <f>F115*AE115</f>
        <v>0</v>
      </c>
      <c r="AN115" s="16">
        <f>F115*AF115</f>
        <v>0</v>
      </c>
      <c r="AO115" s="17" t="s">
        <v>1012</v>
      </c>
      <c r="AP115" s="17" t="s">
        <v>1033</v>
      </c>
      <c r="AQ115" s="11" t="s">
        <v>1039</v>
      </c>
    </row>
    <row r="116" spans="1:13" ht="12.75">
      <c r="A116" s="183"/>
      <c r="B116" s="183"/>
      <c r="C116" s="183"/>
      <c r="D116" s="184" t="s">
        <v>642</v>
      </c>
      <c r="E116" s="183"/>
      <c r="F116" s="185">
        <v>211.77</v>
      </c>
      <c r="G116" s="183"/>
      <c r="H116" s="183"/>
      <c r="I116" s="183"/>
      <c r="J116" s="183"/>
      <c r="K116" s="183"/>
      <c r="L116" s="183"/>
      <c r="M116" s="183"/>
    </row>
    <row r="117" spans="1:43" ht="12.75">
      <c r="A117" s="180" t="s">
        <v>52</v>
      </c>
      <c r="B117" s="180" t="s">
        <v>282</v>
      </c>
      <c r="C117" s="180" t="s">
        <v>334</v>
      </c>
      <c r="D117" s="180" t="s">
        <v>643</v>
      </c>
      <c r="E117" s="180" t="s">
        <v>953</v>
      </c>
      <c r="F117" s="181">
        <v>64.39</v>
      </c>
      <c r="G117" s="181"/>
      <c r="H117" s="181">
        <f>F117*AE117</f>
        <v>0</v>
      </c>
      <c r="I117" s="181">
        <f>J117-H117</f>
        <v>0</v>
      </c>
      <c r="J117" s="181">
        <f>F117*G117</f>
        <v>0</v>
      </c>
      <c r="K117" s="181">
        <v>1.837</v>
      </c>
      <c r="L117" s="181">
        <f>F117*K117</f>
        <v>118.28443</v>
      </c>
      <c r="M117" s="182" t="s">
        <v>985</v>
      </c>
      <c r="N117" s="12" t="s">
        <v>7</v>
      </c>
      <c r="O117" s="6">
        <f>IF(N117="5",I117,0)</f>
        <v>0</v>
      </c>
      <c r="Z117" s="6">
        <f>IF(AD117=0,J117,0)</f>
        <v>0</v>
      </c>
      <c r="AA117" s="6">
        <f>IF(AD117=15,J117,0)</f>
        <v>0</v>
      </c>
      <c r="AB117" s="6">
        <f>IF(AD117=21,J117,0)</f>
        <v>0</v>
      </c>
      <c r="AD117" s="16">
        <v>21</v>
      </c>
      <c r="AE117" s="16">
        <f>G117*0.565887186722466</f>
        <v>0</v>
      </c>
      <c r="AF117" s="16">
        <f>G117*(1-0.565887186722466)</f>
        <v>0</v>
      </c>
      <c r="AM117" s="16">
        <f>F117*AE117</f>
        <v>0</v>
      </c>
      <c r="AN117" s="16">
        <f>F117*AF117</f>
        <v>0</v>
      </c>
      <c r="AO117" s="17" t="s">
        <v>1012</v>
      </c>
      <c r="AP117" s="17" t="s">
        <v>1033</v>
      </c>
      <c r="AQ117" s="11" t="s">
        <v>1039</v>
      </c>
    </row>
    <row r="118" spans="1:13" ht="12.75">
      <c r="A118" s="183"/>
      <c r="B118" s="183"/>
      <c r="C118" s="183"/>
      <c r="D118" s="184" t="s">
        <v>644</v>
      </c>
      <c r="E118" s="183"/>
      <c r="F118" s="185">
        <v>64.39</v>
      </c>
      <c r="G118" s="183"/>
      <c r="H118" s="183"/>
      <c r="I118" s="183"/>
      <c r="J118" s="183"/>
      <c r="K118" s="183"/>
      <c r="L118" s="183"/>
      <c r="M118" s="183"/>
    </row>
    <row r="119" spans="1:43" ht="12.75">
      <c r="A119" s="180" t="s">
        <v>53</v>
      </c>
      <c r="B119" s="180" t="s">
        <v>282</v>
      </c>
      <c r="C119" s="180" t="s">
        <v>335</v>
      </c>
      <c r="D119" s="180" t="s">
        <v>645</v>
      </c>
      <c r="E119" s="180" t="s">
        <v>953</v>
      </c>
      <c r="F119" s="181">
        <v>114.48</v>
      </c>
      <c r="G119" s="181"/>
      <c r="H119" s="181">
        <f>F119*AE119</f>
        <v>0</v>
      </c>
      <c r="I119" s="181">
        <f>J119-H119</f>
        <v>0</v>
      </c>
      <c r="J119" s="181">
        <f>F119*G119</f>
        <v>0</v>
      </c>
      <c r="K119" s="181">
        <v>2.525</v>
      </c>
      <c r="L119" s="181">
        <f>F119*K119</f>
        <v>289.062</v>
      </c>
      <c r="M119" s="182" t="s">
        <v>985</v>
      </c>
      <c r="N119" s="12" t="s">
        <v>7</v>
      </c>
      <c r="O119" s="6">
        <f>IF(N119="5",I119,0)</f>
        <v>0</v>
      </c>
      <c r="Z119" s="6">
        <f>IF(AD119=0,J119,0)</f>
        <v>0</v>
      </c>
      <c r="AA119" s="6">
        <f>IF(AD119=15,J119,0)</f>
        <v>0</v>
      </c>
      <c r="AB119" s="6">
        <f>IF(AD119=21,J119,0)</f>
        <v>0</v>
      </c>
      <c r="AD119" s="16">
        <v>21</v>
      </c>
      <c r="AE119" s="16">
        <f>G119*0.795651673118069</f>
        <v>0</v>
      </c>
      <c r="AF119" s="16">
        <f>G119*(1-0.795651673118069)</f>
        <v>0</v>
      </c>
      <c r="AM119" s="16">
        <f>F119*AE119</f>
        <v>0</v>
      </c>
      <c r="AN119" s="16">
        <f>F119*AF119</f>
        <v>0</v>
      </c>
      <c r="AO119" s="17" t="s">
        <v>1012</v>
      </c>
      <c r="AP119" s="17" t="s">
        <v>1033</v>
      </c>
      <c r="AQ119" s="11" t="s">
        <v>1039</v>
      </c>
    </row>
    <row r="120" spans="1:13" ht="12.75">
      <c r="A120" s="183"/>
      <c r="B120" s="183"/>
      <c r="C120" s="183"/>
      <c r="D120" s="184" t="s">
        <v>646</v>
      </c>
      <c r="E120" s="183"/>
      <c r="F120" s="185">
        <v>114.48</v>
      </c>
      <c r="G120" s="183"/>
      <c r="H120" s="183"/>
      <c r="I120" s="183"/>
      <c r="J120" s="183"/>
      <c r="K120" s="183"/>
      <c r="L120" s="183"/>
      <c r="M120" s="183"/>
    </row>
    <row r="121" spans="1:43" ht="12.75">
      <c r="A121" s="180" t="s">
        <v>54</v>
      </c>
      <c r="B121" s="180" t="s">
        <v>282</v>
      </c>
      <c r="C121" s="180" t="s">
        <v>336</v>
      </c>
      <c r="D121" s="180" t="s">
        <v>647</v>
      </c>
      <c r="E121" s="180" t="s">
        <v>953</v>
      </c>
      <c r="F121" s="181">
        <v>114.48</v>
      </c>
      <c r="G121" s="181"/>
      <c r="H121" s="181">
        <f>F121*AE121</f>
        <v>0</v>
      </c>
      <c r="I121" s="181">
        <f>J121-H121</f>
        <v>0</v>
      </c>
      <c r="J121" s="181">
        <f>F121*G121</f>
        <v>0</v>
      </c>
      <c r="K121" s="181">
        <v>0</v>
      </c>
      <c r="L121" s="181">
        <f>F121*K121</f>
        <v>0</v>
      </c>
      <c r="M121" s="182" t="s">
        <v>985</v>
      </c>
      <c r="N121" s="12" t="s">
        <v>7</v>
      </c>
      <c r="O121" s="6">
        <f>IF(N121="5",I121,0)</f>
        <v>0</v>
      </c>
      <c r="Z121" s="6">
        <f>IF(AD121=0,J121,0)</f>
        <v>0</v>
      </c>
      <c r="AA121" s="6">
        <f>IF(AD121=15,J121,0)</f>
        <v>0</v>
      </c>
      <c r="AB121" s="6">
        <f>IF(AD121=21,J121,0)</f>
        <v>0</v>
      </c>
      <c r="AD121" s="16">
        <v>21</v>
      </c>
      <c r="AE121" s="16">
        <f>G121*0</f>
        <v>0</v>
      </c>
      <c r="AF121" s="16">
        <f>G121*(1-0)</f>
        <v>0</v>
      </c>
      <c r="AM121" s="16">
        <f>F121*AE121</f>
        <v>0</v>
      </c>
      <c r="AN121" s="16">
        <f>F121*AF121</f>
        <v>0</v>
      </c>
      <c r="AO121" s="17" t="s">
        <v>1012</v>
      </c>
      <c r="AP121" s="17" t="s">
        <v>1033</v>
      </c>
      <c r="AQ121" s="11" t="s">
        <v>1039</v>
      </c>
    </row>
    <row r="122" spans="1:13" ht="12.75">
      <c r="A122" s="183"/>
      <c r="B122" s="183"/>
      <c r="C122" s="183"/>
      <c r="D122" s="184" t="s">
        <v>648</v>
      </c>
      <c r="E122" s="183"/>
      <c r="F122" s="185">
        <v>114.48</v>
      </c>
      <c r="G122" s="183"/>
      <c r="H122" s="183"/>
      <c r="I122" s="183"/>
      <c r="J122" s="183"/>
      <c r="K122" s="183"/>
      <c r="L122" s="183"/>
      <c r="M122" s="183"/>
    </row>
    <row r="123" spans="1:43" ht="12.75">
      <c r="A123" s="180" t="s">
        <v>55</v>
      </c>
      <c r="B123" s="180" t="s">
        <v>282</v>
      </c>
      <c r="C123" s="180" t="s">
        <v>337</v>
      </c>
      <c r="D123" s="180" t="s">
        <v>649</v>
      </c>
      <c r="E123" s="180" t="s">
        <v>955</v>
      </c>
      <c r="F123" s="181">
        <v>3.02</v>
      </c>
      <c r="G123" s="181"/>
      <c r="H123" s="181">
        <f>F123*AE123</f>
        <v>0</v>
      </c>
      <c r="I123" s="181">
        <f>J123-H123</f>
        <v>0</v>
      </c>
      <c r="J123" s="181">
        <f>F123*G123</f>
        <v>0</v>
      </c>
      <c r="K123" s="181">
        <v>1.06625</v>
      </c>
      <c r="L123" s="181">
        <f>F123*K123</f>
        <v>3.2200749999999996</v>
      </c>
      <c r="M123" s="182" t="s">
        <v>985</v>
      </c>
      <c r="N123" s="12" t="s">
        <v>7</v>
      </c>
      <c r="O123" s="6">
        <f>IF(N123="5",I123,0)</f>
        <v>0</v>
      </c>
      <c r="Z123" s="6">
        <f>IF(AD123=0,J123,0)</f>
        <v>0</v>
      </c>
      <c r="AA123" s="6">
        <f>IF(AD123=15,J123,0)</f>
        <v>0</v>
      </c>
      <c r="AB123" s="6">
        <f>IF(AD123=21,J123,0)</f>
        <v>0</v>
      </c>
      <c r="AD123" s="16">
        <v>21</v>
      </c>
      <c r="AE123" s="16">
        <f>G123*0.837105885806424</f>
        <v>0</v>
      </c>
      <c r="AF123" s="16">
        <f>G123*(1-0.837105885806424)</f>
        <v>0</v>
      </c>
      <c r="AM123" s="16">
        <f>F123*AE123</f>
        <v>0</v>
      </c>
      <c r="AN123" s="16">
        <f>F123*AF123</f>
        <v>0</v>
      </c>
      <c r="AO123" s="17" t="s">
        <v>1012</v>
      </c>
      <c r="AP123" s="17" t="s">
        <v>1033</v>
      </c>
      <c r="AQ123" s="11" t="s">
        <v>1039</v>
      </c>
    </row>
    <row r="124" spans="1:13" ht="12.75">
      <c r="A124" s="183"/>
      <c r="B124" s="183"/>
      <c r="C124" s="183"/>
      <c r="D124" s="184" t="s">
        <v>650</v>
      </c>
      <c r="E124" s="183"/>
      <c r="F124" s="185">
        <v>3.02</v>
      </c>
      <c r="G124" s="183"/>
      <c r="H124" s="183"/>
      <c r="I124" s="183"/>
      <c r="J124" s="183"/>
      <c r="K124" s="183"/>
      <c r="L124" s="183"/>
      <c r="M124" s="183"/>
    </row>
    <row r="125" spans="1:43" ht="12.75">
      <c r="A125" s="180" t="s">
        <v>56</v>
      </c>
      <c r="B125" s="180" t="s">
        <v>282</v>
      </c>
      <c r="C125" s="180" t="s">
        <v>338</v>
      </c>
      <c r="D125" s="180" t="s">
        <v>651</v>
      </c>
      <c r="E125" s="180" t="s">
        <v>953</v>
      </c>
      <c r="F125" s="181">
        <v>216.07</v>
      </c>
      <c r="G125" s="181"/>
      <c r="H125" s="181">
        <f>F125*AE125</f>
        <v>0</v>
      </c>
      <c r="I125" s="181">
        <f>J125-H125</f>
        <v>0</v>
      </c>
      <c r="J125" s="181">
        <f>F125*G125</f>
        <v>0</v>
      </c>
      <c r="K125" s="181">
        <v>2.3634</v>
      </c>
      <c r="L125" s="181">
        <f>F125*K125</f>
        <v>510.659838</v>
      </c>
      <c r="M125" s="182" t="s">
        <v>985</v>
      </c>
      <c r="N125" s="12" t="s">
        <v>7</v>
      </c>
      <c r="O125" s="6">
        <f>IF(N125="5",I125,0)</f>
        <v>0</v>
      </c>
      <c r="Z125" s="6">
        <f>IF(AD125=0,J125,0)</f>
        <v>0</v>
      </c>
      <c r="AA125" s="6">
        <f>IF(AD125=15,J125,0)</f>
        <v>0</v>
      </c>
      <c r="AB125" s="6">
        <f>IF(AD125=21,J125,0)</f>
        <v>0</v>
      </c>
      <c r="AD125" s="16">
        <v>21</v>
      </c>
      <c r="AE125" s="16">
        <f>G125*0.793852838546343</f>
        <v>0</v>
      </c>
      <c r="AF125" s="16">
        <f>G125*(1-0.793852838546343)</f>
        <v>0</v>
      </c>
      <c r="AM125" s="16">
        <f>F125*AE125</f>
        <v>0</v>
      </c>
      <c r="AN125" s="16">
        <f>F125*AF125</f>
        <v>0</v>
      </c>
      <c r="AO125" s="17" t="s">
        <v>1012</v>
      </c>
      <c r="AP125" s="17" t="s">
        <v>1033</v>
      </c>
      <c r="AQ125" s="11" t="s">
        <v>1039</v>
      </c>
    </row>
    <row r="126" spans="1:13" ht="12.75">
      <c r="A126" s="183"/>
      <c r="B126" s="183"/>
      <c r="C126" s="183"/>
      <c r="D126" s="184" t="s">
        <v>652</v>
      </c>
      <c r="E126" s="183"/>
      <c r="F126" s="185">
        <v>216.07</v>
      </c>
      <c r="G126" s="183"/>
      <c r="H126" s="183"/>
      <c r="I126" s="183"/>
      <c r="J126" s="183"/>
      <c r="K126" s="183"/>
      <c r="L126" s="183"/>
      <c r="M126" s="183"/>
    </row>
    <row r="127" spans="1:43" ht="12.75">
      <c r="A127" s="180" t="s">
        <v>57</v>
      </c>
      <c r="B127" s="180" t="s">
        <v>282</v>
      </c>
      <c r="C127" s="180" t="s">
        <v>339</v>
      </c>
      <c r="D127" s="180" t="s">
        <v>653</v>
      </c>
      <c r="E127" s="180" t="s">
        <v>952</v>
      </c>
      <c r="F127" s="181">
        <v>1287.82</v>
      </c>
      <c r="G127" s="181"/>
      <c r="H127" s="181">
        <f>F127*AE127</f>
        <v>0</v>
      </c>
      <c r="I127" s="181">
        <f>J127-H127</f>
        <v>0</v>
      </c>
      <c r="J127" s="181">
        <f>F127*G127</f>
        <v>0</v>
      </c>
      <c r="K127" s="181">
        <v>0.005</v>
      </c>
      <c r="L127" s="181">
        <f>F127*K127</f>
        <v>6.4391</v>
      </c>
      <c r="M127" s="182" t="s">
        <v>985</v>
      </c>
      <c r="N127" s="12" t="s">
        <v>7</v>
      </c>
      <c r="O127" s="6">
        <f>IF(N127="5",I127,0)</f>
        <v>0</v>
      </c>
      <c r="Z127" s="6">
        <f>IF(AD127=0,J127,0)</f>
        <v>0</v>
      </c>
      <c r="AA127" s="6">
        <f>IF(AD127=15,J127,0)</f>
        <v>0</v>
      </c>
      <c r="AB127" s="6">
        <f>IF(AD127=21,J127,0)</f>
        <v>0</v>
      </c>
      <c r="AD127" s="16">
        <v>21</v>
      </c>
      <c r="AE127" s="16">
        <f>G127*0.415051633894469</f>
        <v>0</v>
      </c>
      <c r="AF127" s="16">
        <f>G127*(1-0.415051633894469)</f>
        <v>0</v>
      </c>
      <c r="AM127" s="16">
        <f>F127*AE127</f>
        <v>0</v>
      </c>
      <c r="AN127" s="16">
        <f>F127*AF127</f>
        <v>0</v>
      </c>
      <c r="AO127" s="17" t="s">
        <v>1012</v>
      </c>
      <c r="AP127" s="17" t="s">
        <v>1033</v>
      </c>
      <c r="AQ127" s="11" t="s">
        <v>1039</v>
      </c>
    </row>
    <row r="128" spans="1:13" ht="12.75">
      <c r="A128" s="183"/>
      <c r="B128" s="183"/>
      <c r="C128" s="183"/>
      <c r="D128" s="184" t="s">
        <v>654</v>
      </c>
      <c r="E128" s="183"/>
      <c r="F128" s="185">
        <v>1287.82</v>
      </c>
      <c r="G128" s="183"/>
      <c r="H128" s="183"/>
      <c r="I128" s="183"/>
      <c r="J128" s="183"/>
      <c r="K128" s="183"/>
      <c r="L128" s="183"/>
      <c r="M128" s="183"/>
    </row>
    <row r="129" spans="1:43" ht="12.75">
      <c r="A129" s="180" t="s">
        <v>58</v>
      </c>
      <c r="B129" s="180" t="s">
        <v>282</v>
      </c>
      <c r="C129" s="180" t="s">
        <v>340</v>
      </c>
      <c r="D129" s="180" t="s">
        <v>655</v>
      </c>
      <c r="E129" s="180" t="s">
        <v>954</v>
      </c>
      <c r="F129" s="181">
        <v>1301.25</v>
      </c>
      <c r="G129" s="181"/>
      <c r="H129" s="181">
        <f>F129*AE129</f>
        <v>0</v>
      </c>
      <c r="I129" s="181">
        <f>J129-H129</f>
        <v>0</v>
      </c>
      <c r="J129" s="181">
        <f>F129*G129</f>
        <v>0</v>
      </c>
      <c r="K129" s="181">
        <v>0.00257</v>
      </c>
      <c r="L129" s="181">
        <f>F129*K129</f>
        <v>3.3442125</v>
      </c>
      <c r="M129" s="182" t="s">
        <v>985</v>
      </c>
      <c r="N129" s="12" t="s">
        <v>7</v>
      </c>
      <c r="O129" s="6">
        <f>IF(N129="5",I129,0)</f>
        <v>0</v>
      </c>
      <c r="Z129" s="6">
        <f>IF(AD129=0,J129,0)</f>
        <v>0</v>
      </c>
      <c r="AA129" s="6">
        <f>IF(AD129=15,J129,0)</f>
        <v>0</v>
      </c>
      <c r="AB129" s="6">
        <f>IF(AD129=21,J129,0)</f>
        <v>0</v>
      </c>
      <c r="AD129" s="16">
        <v>21</v>
      </c>
      <c r="AE129" s="16">
        <f>G129*0.526710253548078</f>
        <v>0</v>
      </c>
      <c r="AF129" s="16">
        <f>G129*(1-0.526710253548078)</f>
        <v>0</v>
      </c>
      <c r="AM129" s="16">
        <f>F129*AE129</f>
        <v>0</v>
      </c>
      <c r="AN129" s="16">
        <f>F129*AF129</f>
        <v>0</v>
      </c>
      <c r="AO129" s="17" t="s">
        <v>1012</v>
      </c>
      <c r="AP129" s="17" t="s">
        <v>1033</v>
      </c>
      <c r="AQ129" s="11" t="s">
        <v>1039</v>
      </c>
    </row>
    <row r="130" spans="1:13" ht="12.75">
      <c r="A130" s="183"/>
      <c r="B130" s="183"/>
      <c r="C130" s="183"/>
      <c r="D130" s="184" t="s">
        <v>656</v>
      </c>
      <c r="E130" s="183"/>
      <c r="F130" s="185">
        <v>925.87</v>
      </c>
      <c r="G130" s="183"/>
      <c r="H130" s="183"/>
      <c r="I130" s="183"/>
      <c r="J130" s="183"/>
      <c r="K130" s="183"/>
      <c r="L130" s="183"/>
      <c r="M130" s="183"/>
    </row>
    <row r="131" spans="1:13" ht="12.75">
      <c r="A131" s="183"/>
      <c r="B131" s="183"/>
      <c r="C131" s="183"/>
      <c r="D131" s="184" t="s">
        <v>657</v>
      </c>
      <c r="E131" s="183"/>
      <c r="F131" s="185">
        <v>375.38</v>
      </c>
      <c r="G131" s="183"/>
      <c r="H131" s="183"/>
      <c r="I131" s="183"/>
      <c r="J131" s="183"/>
      <c r="K131" s="183"/>
      <c r="L131" s="183"/>
      <c r="M131" s="183"/>
    </row>
    <row r="132" spans="1:43" ht="12.75">
      <c r="A132" s="180" t="s">
        <v>59</v>
      </c>
      <c r="B132" s="180" t="s">
        <v>282</v>
      </c>
      <c r="C132" s="180" t="s">
        <v>341</v>
      </c>
      <c r="D132" s="180" t="s">
        <v>658</v>
      </c>
      <c r="E132" s="180" t="s">
        <v>954</v>
      </c>
      <c r="F132" s="181">
        <v>145.85</v>
      </c>
      <c r="G132" s="181"/>
      <c r="H132" s="181">
        <f>F132*AE132</f>
        <v>0</v>
      </c>
      <c r="I132" s="181">
        <f>J132-H132</f>
        <v>0</v>
      </c>
      <c r="J132" s="181">
        <f>F132*G132</f>
        <v>0</v>
      </c>
      <c r="K132" s="181">
        <v>0.35948</v>
      </c>
      <c r="L132" s="181">
        <f>F132*K132</f>
        <v>52.430158</v>
      </c>
      <c r="M132" s="182" t="s">
        <v>985</v>
      </c>
      <c r="N132" s="12" t="s">
        <v>9</v>
      </c>
      <c r="O132" s="6">
        <f>IF(N132="5",I132,0)</f>
        <v>0</v>
      </c>
      <c r="Z132" s="6">
        <f>IF(AD132=0,J132,0)</f>
        <v>0</v>
      </c>
      <c r="AA132" s="6">
        <f>IF(AD132=15,J132,0)</f>
        <v>0</v>
      </c>
      <c r="AB132" s="6">
        <f>IF(AD132=21,J132,0)</f>
        <v>0</v>
      </c>
      <c r="AD132" s="16">
        <v>21</v>
      </c>
      <c r="AE132" s="16">
        <f>G132*0.635464983651433</f>
        <v>0</v>
      </c>
      <c r="AF132" s="16">
        <f>G132*(1-0.635464983651433)</f>
        <v>0</v>
      </c>
      <c r="AM132" s="16">
        <f>F132*AE132</f>
        <v>0</v>
      </c>
      <c r="AN132" s="16">
        <f>F132*AF132</f>
        <v>0</v>
      </c>
      <c r="AO132" s="17" t="s">
        <v>1012</v>
      </c>
      <c r="AP132" s="17" t="s">
        <v>1033</v>
      </c>
      <c r="AQ132" s="11" t="s">
        <v>1039</v>
      </c>
    </row>
    <row r="133" spans="1:13" ht="12.75">
      <c r="A133" s="183"/>
      <c r="B133" s="183"/>
      <c r="C133" s="183"/>
      <c r="D133" s="184" t="s">
        <v>659</v>
      </c>
      <c r="E133" s="183"/>
      <c r="F133" s="185">
        <v>145.85</v>
      </c>
      <c r="G133" s="183"/>
      <c r="H133" s="183"/>
      <c r="I133" s="183"/>
      <c r="J133" s="183"/>
      <c r="K133" s="183"/>
      <c r="L133" s="183"/>
      <c r="M133" s="183"/>
    </row>
    <row r="134" spans="1:43" ht="12.75">
      <c r="A134" s="180" t="s">
        <v>60</v>
      </c>
      <c r="B134" s="180" t="s">
        <v>282</v>
      </c>
      <c r="C134" s="180" t="s">
        <v>342</v>
      </c>
      <c r="D134" s="180" t="s">
        <v>660</v>
      </c>
      <c r="E134" s="180" t="s">
        <v>952</v>
      </c>
      <c r="F134" s="181">
        <v>36.5</v>
      </c>
      <c r="G134" s="181"/>
      <c r="H134" s="181">
        <f>F134*AE134</f>
        <v>0</v>
      </c>
      <c r="I134" s="181">
        <f>J134-H134</f>
        <v>0</v>
      </c>
      <c r="J134" s="181">
        <f>F134*G134</f>
        <v>0</v>
      </c>
      <c r="K134" s="181">
        <v>0</v>
      </c>
      <c r="L134" s="181">
        <f>F134*K134</f>
        <v>0</v>
      </c>
      <c r="M134" s="182" t="s">
        <v>985</v>
      </c>
      <c r="N134" s="12" t="s">
        <v>7</v>
      </c>
      <c r="O134" s="6">
        <f>IF(N134="5",I134,0)</f>
        <v>0</v>
      </c>
      <c r="Z134" s="6">
        <f>IF(AD134=0,J134,0)</f>
        <v>0</v>
      </c>
      <c r="AA134" s="6">
        <f>IF(AD134=15,J134,0)</f>
        <v>0</v>
      </c>
      <c r="AB134" s="6">
        <f>IF(AD134=21,J134,0)</f>
        <v>0</v>
      </c>
      <c r="AD134" s="16">
        <v>21</v>
      </c>
      <c r="AE134" s="16">
        <f>G134*0.268235842460965</f>
        <v>0</v>
      </c>
      <c r="AF134" s="16">
        <f>G134*(1-0.268235842460965)</f>
        <v>0</v>
      </c>
      <c r="AM134" s="16">
        <f>F134*AE134</f>
        <v>0</v>
      </c>
      <c r="AN134" s="16">
        <f>F134*AF134</f>
        <v>0</v>
      </c>
      <c r="AO134" s="17" t="s">
        <v>1012</v>
      </c>
      <c r="AP134" s="17" t="s">
        <v>1033</v>
      </c>
      <c r="AQ134" s="11" t="s">
        <v>1039</v>
      </c>
    </row>
    <row r="135" spans="1:13" ht="12.75">
      <c r="A135" s="183"/>
      <c r="B135" s="183"/>
      <c r="C135" s="183"/>
      <c r="D135" s="184" t="s">
        <v>661</v>
      </c>
      <c r="E135" s="183"/>
      <c r="F135" s="185">
        <v>36.5</v>
      </c>
      <c r="G135" s="183"/>
      <c r="H135" s="183"/>
      <c r="I135" s="183"/>
      <c r="J135" s="183"/>
      <c r="K135" s="183"/>
      <c r="L135" s="183"/>
      <c r="M135" s="183"/>
    </row>
    <row r="136" spans="1:43" ht="12.75">
      <c r="A136" s="180" t="s">
        <v>61</v>
      </c>
      <c r="B136" s="180" t="s">
        <v>282</v>
      </c>
      <c r="C136" s="180" t="s">
        <v>343</v>
      </c>
      <c r="D136" s="180" t="s">
        <v>662</v>
      </c>
      <c r="E136" s="180" t="s">
        <v>954</v>
      </c>
      <c r="F136" s="181">
        <v>150</v>
      </c>
      <c r="G136" s="181"/>
      <c r="H136" s="181">
        <f>F136*AE136</f>
        <v>0</v>
      </c>
      <c r="I136" s="181">
        <f>J136-H136</f>
        <v>0</v>
      </c>
      <c r="J136" s="181">
        <f>F136*G136</f>
        <v>0</v>
      </c>
      <c r="K136" s="181">
        <v>0.12068</v>
      </c>
      <c r="L136" s="181">
        <f>F136*K136</f>
        <v>18.102</v>
      </c>
      <c r="M136" s="182" t="s">
        <v>985</v>
      </c>
      <c r="N136" s="12" t="s">
        <v>7</v>
      </c>
      <c r="O136" s="6">
        <f>IF(N136="5",I136,0)</f>
        <v>0</v>
      </c>
      <c r="Z136" s="6">
        <f>IF(AD136=0,J136,0)</f>
        <v>0</v>
      </c>
      <c r="AA136" s="6">
        <f>IF(AD136=15,J136,0)</f>
        <v>0</v>
      </c>
      <c r="AB136" s="6">
        <f>IF(AD136=21,J136,0)</f>
        <v>0</v>
      </c>
      <c r="AD136" s="16">
        <v>21</v>
      </c>
      <c r="AE136" s="16">
        <f>G136*0.766612466124661</f>
        <v>0</v>
      </c>
      <c r="AF136" s="16">
        <f>G136*(1-0.766612466124661)</f>
        <v>0</v>
      </c>
      <c r="AM136" s="16">
        <f>F136*AE136</f>
        <v>0</v>
      </c>
      <c r="AN136" s="16">
        <f>F136*AF136</f>
        <v>0</v>
      </c>
      <c r="AO136" s="17" t="s">
        <v>1012</v>
      </c>
      <c r="AP136" s="17" t="s">
        <v>1033</v>
      </c>
      <c r="AQ136" s="11" t="s">
        <v>1039</v>
      </c>
    </row>
    <row r="137" spans="1:13" ht="12.75">
      <c r="A137" s="183"/>
      <c r="B137" s="183"/>
      <c r="C137" s="183"/>
      <c r="D137" s="184" t="s">
        <v>156</v>
      </c>
      <c r="E137" s="183"/>
      <c r="F137" s="185">
        <v>150</v>
      </c>
      <c r="G137" s="183"/>
      <c r="H137" s="183"/>
      <c r="I137" s="183"/>
      <c r="J137" s="183"/>
      <c r="K137" s="183"/>
      <c r="L137" s="183"/>
      <c r="M137" s="183"/>
    </row>
    <row r="138" spans="1:37" ht="12.75">
      <c r="A138" s="174"/>
      <c r="B138" s="175" t="s">
        <v>282</v>
      </c>
      <c r="C138" s="175" t="s">
        <v>344</v>
      </c>
      <c r="D138" s="176" t="s">
        <v>663</v>
      </c>
      <c r="E138" s="177"/>
      <c r="F138" s="177"/>
      <c r="G138" s="177"/>
      <c r="H138" s="178">
        <f>SUM(H139:H149)</f>
        <v>0</v>
      </c>
      <c r="I138" s="178">
        <f>SUM(I139:I149)</f>
        <v>0</v>
      </c>
      <c r="J138" s="178">
        <f>H138+I138</f>
        <v>0</v>
      </c>
      <c r="K138" s="179"/>
      <c r="L138" s="178">
        <f>SUM(L139:L149)</f>
        <v>12.015789999999999</v>
      </c>
      <c r="M138" s="179"/>
      <c r="P138" s="18">
        <f>IF(Q138="PR",J138,SUM(O139:O149))</f>
        <v>0</v>
      </c>
      <c r="Q138" s="11" t="s">
        <v>993</v>
      </c>
      <c r="R138" s="18">
        <f>IF(Q138="HS",H138,0)</f>
        <v>0</v>
      </c>
      <c r="S138" s="18">
        <f>IF(Q138="HS",I138-P138,0)</f>
        <v>0</v>
      </c>
      <c r="T138" s="18">
        <f>IF(Q138="PS",H138,0)</f>
        <v>0</v>
      </c>
      <c r="U138" s="18">
        <f>IF(Q138="PS",I138-P138,0)</f>
        <v>0</v>
      </c>
      <c r="V138" s="18">
        <f>IF(Q138="MP",H138,0)</f>
        <v>0</v>
      </c>
      <c r="W138" s="18">
        <f>IF(Q138="MP",I138-P138,0)</f>
        <v>0</v>
      </c>
      <c r="X138" s="18">
        <f>IF(Q138="OM",H138,0)</f>
        <v>0</v>
      </c>
      <c r="Y138" s="11" t="s">
        <v>282</v>
      </c>
      <c r="AI138" s="18">
        <f>SUM(Z139:Z149)</f>
        <v>0</v>
      </c>
      <c r="AJ138" s="18">
        <f>SUM(AA139:AA149)</f>
        <v>0</v>
      </c>
      <c r="AK138" s="18">
        <f>SUM(AB139:AB149)</f>
        <v>0</v>
      </c>
    </row>
    <row r="139" spans="1:43" ht="12.75">
      <c r="A139" s="180" t="s">
        <v>62</v>
      </c>
      <c r="B139" s="180" t="s">
        <v>282</v>
      </c>
      <c r="C139" s="180" t="s">
        <v>345</v>
      </c>
      <c r="D139" s="180" t="s">
        <v>664</v>
      </c>
      <c r="E139" s="180" t="s">
        <v>952</v>
      </c>
      <c r="F139" s="181">
        <v>1287.82</v>
      </c>
      <c r="G139" s="181"/>
      <c r="H139" s="181">
        <f>F139*AE139</f>
        <v>0</v>
      </c>
      <c r="I139" s="181">
        <f>J139-H139</f>
        <v>0</v>
      </c>
      <c r="J139" s="181">
        <f>F139*G139</f>
        <v>0</v>
      </c>
      <c r="K139" s="181">
        <v>0</v>
      </c>
      <c r="L139" s="181">
        <f>F139*K139</f>
        <v>0</v>
      </c>
      <c r="M139" s="182" t="s">
        <v>985</v>
      </c>
      <c r="N139" s="12" t="s">
        <v>7</v>
      </c>
      <c r="O139" s="6">
        <f>IF(N139="5",I139,0)</f>
        <v>0</v>
      </c>
      <c r="Z139" s="6">
        <f>IF(AD139=0,J139,0)</f>
        <v>0</v>
      </c>
      <c r="AA139" s="6">
        <f>IF(AD139=15,J139,0)</f>
        <v>0</v>
      </c>
      <c r="AB139" s="6">
        <f>IF(AD139=21,J139,0)</f>
        <v>0</v>
      </c>
      <c r="AD139" s="16">
        <v>21</v>
      </c>
      <c r="AE139" s="16">
        <f>G139*0</f>
        <v>0</v>
      </c>
      <c r="AF139" s="16">
        <f>G139*(1-0)</f>
        <v>0</v>
      </c>
      <c r="AM139" s="16">
        <f>F139*AE139</f>
        <v>0</v>
      </c>
      <c r="AN139" s="16">
        <f>F139*AF139</f>
        <v>0</v>
      </c>
      <c r="AO139" s="17" t="s">
        <v>1013</v>
      </c>
      <c r="AP139" s="17" t="s">
        <v>1034</v>
      </c>
      <c r="AQ139" s="11" t="s">
        <v>1039</v>
      </c>
    </row>
    <row r="140" spans="1:13" ht="12.75">
      <c r="A140" s="183"/>
      <c r="B140" s="183"/>
      <c r="C140" s="183"/>
      <c r="D140" s="184" t="s">
        <v>654</v>
      </c>
      <c r="E140" s="183"/>
      <c r="F140" s="185">
        <v>1287.82</v>
      </c>
      <c r="G140" s="183"/>
      <c r="H140" s="183"/>
      <c r="I140" s="183"/>
      <c r="J140" s="183"/>
      <c r="K140" s="183"/>
      <c r="L140" s="183"/>
      <c r="M140" s="183"/>
    </row>
    <row r="141" spans="1:43" ht="12.75">
      <c r="A141" s="192" t="s">
        <v>63</v>
      </c>
      <c r="B141" s="192" t="s">
        <v>282</v>
      </c>
      <c r="C141" s="192" t="s">
        <v>346</v>
      </c>
      <c r="D141" s="192" t="s">
        <v>665</v>
      </c>
      <c r="E141" s="192" t="s">
        <v>952</v>
      </c>
      <c r="F141" s="193">
        <v>1480.99</v>
      </c>
      <c r="G141" s="193"/>
      <c r="H141" s="193">
        <f>F141*AE141</f>
        <v>0</v>
      </c>
      <c r="I141" s="193">
        <f>J141-H141</f>
        <v>0</v>
      </c>
      <c r="J141" s="193">
        <f>F141*G141</f>
        <v>0</v>
      </c>
      <c r="K141" s="193">
        <v>0.0076</v>
      </c>
      <c r="L141" s="193">
        <f>F141*K141</f>
        <v>11.255524</v>
      </c>
      <c r="M141" s="194" t="s">
        <v>986</v>
      </c>
      <c r="N141" s="13" t="s">
        <v>989</v>
      </c>
      <c r="O141" s="7">
        <f>IF(N141="5",I141,0)</f>
        <v>0</v>
      </c>
      <c r="Z141" s="7">
        <f>IF(AD141=0,J141,0)</f>
        <v>0</v>
      </c>
      <c r="AA141" s="7">
        <f>IF(AD141=15,J141,0)</f>
        <v>0</v>
      </c>
      <c r="AB141" s="7">
        <f>IF(AD141=21,J141,0)</f>
        <v>0</v>
      </c>
      <c r="AD141" s="16">
        <v>21</v>
      </c>
      <c r="AE141" s="16">
        <f>G141*1</f>
        <v>0</v>
      </c>
      <c r="AF141" s="16">
        <f>G141*(1-1)</f>
        <v>0</v>
      </c>
      <c r="AM141" s="16">
        <f>F141*AE141</f>
        <v>0</v>
      </c>
      <c r="AN141" s="16">
        <f>F141*AF141</f>
        <v>0</v>
      </c>
      <c r="AO141" s="17" t="s">
        <v>1013</v>
      </c>
      <c r="AP141" s="17" t="s">
        <v>1034</v>
      </c>
      <c r="AQ141" s="11" t="s">
        <v>1039</v>
      </c>
    </row>
    <row r="142" spans="1:13" ht="12.75">
      <c r="A142" s="183"/>
      <c r="B142" s="183"/>
      <c r="C142" s="183"/>
      <c r="D142" s="184" t="s">
        <v>666</v>
      </c>
      <c r="E142" s="183"/>
      <c r="F142" s="185">
        <v>1287.82</v>
      </c>
      <c r="G142" s="183"/>
      <c r="H142" s="183"/>
      <c r="I142" s="183"/>
      <c r="J142" s="183"/>
      <c r="K142" s="183"/>
      <c r="L142" s="183"/>
      <c r="M142" s="183"/>
    </row>
    <row r="143" spans="1:13" ht="12.75">
      <c r="A143" s="183"/>
      <c r="B143" s="183"/>
      <c r="C143" s="183"/>
      <c r="D143" s="184" t="s">
        <v>667</v>
      </c>
      <c r="E143" s="183"/>
      <c r="F143" s="185">
        <v>193.17</v>
      </c>
      <c r="G143" s="183"/>
      <c r="H143" s="183"/>
      <c r="I143" s="183"/>
      <c r="J143" s="183"/>
      <c r="K143" s="183"/>
      <c r="L143" s="183"/>
      <c r="M143" s="183"/>
    </row>
    <row r="144" spans="1:43" ht="12.75">
      <c r="A144" s="180" t="s">
        <v>64</v>
      </c>
      <c r="B144" s="180" t="s">
        <v>282</v>
      </c>
      <c r="C144" s="180" t="s">
        <v>347</v>
      </c>
      <c r="D144" s="180" t="s">
        <v>668</v>
      </c>
      <c r="E144" s="180" t="s">
        <v>952</v>
      </c>
      <c r="F144" s="181">
        <v>2203.67</v>
      </c>
      <c r="G144" s="181"/>
      <c r="H144" s="181">
        <f>F144*AE144</f>
        <v>0</v>
      </c>
      <c r="I144" s="181">
        <f>J144-H144</f>
        <v>0</v>
      </c>
      <c r="J144" s="181">
        <f>F144*G144</f>
        <v>0</v>
      </c>
      <c r="K144" s="181">
        <v>0</v>
      </c>
      <c r="L144" s="181">
        <f>F144*K144</f>
        <v>0</v>
      </c>
      <c r="M144" s="182" t="s">
        <v>985</v>
      </c>
      <c r="N144" s="12" t="s">
        <v>7</v>
      </c>
      <c r="O144" s="6">
        <f>IF(N144="5",I144,0)</f>
        <v>0</v>
      </c>
      <c r="Z144" s="6">
        <f>IF(AD144=0,J144,0)</f>
        <v>0</v>
      </c>
      <c r="AA144" s="6">
        <f>IF(AD144=15,J144,0)</f>
        <v>0</v>
      </c>
      <c r="AB144" s="6">
        <f>IF(AD144=21,J144,0)</f>
        <v>0</v>
      </c>
      <c r="AD144" s="16">
        <v>21</v>
      </c>
      <c r="AE144" s="16">
        <f>G144*0</f>
        <v>0</v>
      </c>
      <c r="AF144" s="16">
        <f>G144*(1-0)</f>
        <v>0</v>
      </c>
      <c r="AM144" s="16">
        <f>F144*AE144</f>
        <v>0</v>
      </c>
      <c r="AN144" s="16">
        <f>F144*AF144</f>
        <v>0</v>
      </c>
      <c r="AO144" s="17" t="s">
        <v>1013</v>
      </c>
      <c r="AP144" s="17" t="s">
        <v>1034</v>
      </c>
      <c r="AQ144" s="11" t="s">
        <v>1039</v>
      </c>
    </row>
    <row r="145" spans="1:13" ht="12.75">
      <c r="A145" s="183"/>
      <c r="B145" s="183"/>
      <c r="C145" s="183"/>
      <c r="D145" s="184" t="s">
        <v>669</v>
      </c>
      <c r="E145" s="183"/>
      <c r="F145" s="185">
        <v>2203.67</v>
      </c>
      <c r="G145" s="183"/>
      <c r="H145" s="183"/>
      <c r="I145" s="183"/>
      <c r="J145" s="183"/>
      <c r="K145" s="183"/>
      <c r="L145" s="183"/>
      <c r="M145" s="183"/>
    </row>
    <row r="146" spans="1:43" ht="12.75">
      <c r="A146" s="192" t="s">
        <v>65</v>
      </c>
      <c r="B146" s="192" t="s">
        <v>282</v>
      </c>
      <c r="C146" s="192" t="s">
        <v>348</v>
      </c>
      <c r="D146" s="192" t="s">
        <v>670</v>
      </c>
      <c r="E146" s="192" t="s">
        <v>952</v>
      </c>
      <c r="F146" s="193">
        <v>2534.22</v>
      </c>
      <c r="G146" s="193"/>
      <c r="H146" s="193">
        <f>F146*AE146</f>
        <v>0</v>
      </c>
      <c r="I146" s="193">
        <f>J146-H146</f>
        <v>0</v>
      </c>
      <c r="J146" s="193">
        <f>F146*G146</f>
        <v>0</v>
      </c>
      <c r="K146" s="193">
        <v>0.0003</v>
      </c>
      <c r="L146" s="193">
        <f>F146*K146</f>
        <v>0.7602659999999999</v>
      </c>
      <c r="M146" s="194" t="s">
        <v>985</v>
      </c>
      <c r="N146" s="13" t="s">
        <v>989</v>
      </c>
      <c r="O146" s="7">
        <f>IF(N146="5",I146,0)</f>
        <v>0</v>
      </c>
      <c r="Z146" s="7">
        <f>IF(AD146=0,J146,0)</f>
        <v>0</v>
      </c>
      <c r="AA146" s="7">
        <f>IF(AD146=15,J146,0)</f>
        <v>0</v>
      </c>
      <c r="AB146" s="7">
        <f>IF(AD146=21,J146,0)</f>
        <v>0</v>
      </c>
      <c r="AD146" s="16">
        <v>21</v>
      </c>
      <c r="AE146" s="16">
        <f>G146*1</f>
        <v>0</v>
      </c>
      <c r="AF146" s="16">
        <f>G146*(1-1)</f>
        <v>0</v>
      </c>
      <c r="AM146" s="16">
        <f>F146*AE146</f>
        <v>0</v>
      </c>
      <c r="AN146" s="16">
        <f>F146*AF146</f>
        <v>0</v>
      </c>
      <c r="AO146" s="17" t="s">
        <v>1013</v>
      </c>
      <c r="AP146" s="17" t="s">
        <v>1034</v>
      </c>
      <c r="AQ146" s="11" t="s">
        <v>1039</v>
      </c>
    </row>
    <row r="147" spans="1:13" ht="12.75">
      <c r="A147" s="183"/>
      <c r="B147" s="183"/>
      <c r="C147" s="183"/>
      <c r="D147" s="184" t="s">
        <v>671</v>
      </c>
      <c r="E147" s="183"/>
      <c r="F147" s="185">
        <v>2203.67</v>
      </c>
      <c r="G147" s="183"/>
      <c r="H147" s="183"/>
      <c r="I147" s="183"/>
      <c r="J147" s="183"/>
      <c r="K147" s="183"/>
      <c r="L147" s="183"/>
      <c r="M147" s="183"/>
    </row>
    <row r="148" spans="1:13" ht="12.75">
      <c r="A148" s="183"/>
      <c r="B148" s="183"/>
      <c r="C148" s="183"/>
      <c r="D148" s="184" t="s">
        <v>672</v>
      </c>
      <c r="E148" s="183"/>
      <c r="F148" s="185">
        <v>330.55</v>
      </c>
      <c r="G148" s="183"/>
      <c r="H148" s="183"/>
      <c r="I148" s="183"/>
      <c r="J148" s="183"/>
      <c r="K148" s="183"/>
      <c r="L148" s="183"/>
      <c r="M148" s="183"/>
    </row>
    <row r="149" spans="1:43" ht="12.75">
      <c r="A149" s="180" t="s">
        <v>66</v>
      </c>
      <c r="B149" s="180" t="s">
        <v>282</v>
      </c>
      <c r="C149" s="180" t="s">
        <v>349</v>
      </c>
      <c r="D149" s="180" t="s">
        <v>673</v>
      </c>
      <c r="E149" s="180" t="s">
        <v>955</v>
      </c>
      <c r="F149" s="181">
        <v>12.01579</v>
      </c>
      <c r="G149" s="181"/>
      <c r="H149" s="181">
        <f>F149*AE149</f>
        <v>0</v>
      </c>
      <c r="I149" s="181">
        <f>J149-H149</f>
        <v>0</v>
      </c>
      <c r="J149" s="181">
        <f>F149*G149</f>
        <v>0</v>
      </c>
      <c r="K149" s="181">
        <v>0</v>
      </c>
      <c r="L149" s="181">
        <f>F149*K149</f>
        <v>0</v>
      </c>
      <c r="M149" s="182" t="s">
        <v>985</v>
      </c>
      <c r="N149" s="12" t="s">
        <v>11</v>
      </c>
      <c r="O149" s="6">
        <f>IF(N149="5",I149,0)</f>
        <v>0</v>
      </c>
      <c r="Z149" s="6">
        <f>IF(AD149=0,J149,0)</f>
        <v>0</v>
      </c>
      <c r="AA149" s="6">
        <f>IF(AD149=15,J149,0)</f>
        <v>0</v>
      </c>
      <c r="AB149" s="6">
        <f>IF(AD149=21,J149,0)</f>
        <v>0</v>
      </c>
      <c r="AD149" s="16">
        <v>21</v>
      </c>
      <c r="AE149" s="16">
        <f>G149*0</f>
        <v>0</v>
      </c>
      <c r="AF149" s="16">
        <f>G149*(1-0)</f>
        <v>0</v>
      </c>
      <c r="AM149" s="16">
        <f>F149*AE149</f>
        <v>0</v>
      </c>
      <c r="AN149" s="16">
        <f>F149*AF149</f>
        <v>0</v>
      </c>
      <c r="AO149" s="17" t="s">
        <v>1013</v>
      </c>
      <c r="AP149" s="17" t="s">
        <v>1034</v>
      </c>
      <c r="AQ149" s="11" t="s">
        <v>1039</v>
      </c>
    </row>
    <row r="150" spans="1:37" ht="12.75">
      <c r="A150" s="174"/>
      <c r="B150" s="175" t="s">
        <v>282</v>
      </c>
      <c r="C150" s="175" t="s">
        <v>350</v>
      </c>
      <c r="D150" s="176" t="s">
        <v>674</v>
      </c>
      <c r="E150" s="177"/>
      <c r="F150" s="177"/>
      <c r="G150" s="177"/>
      <c r="H150" s="178">
        <f>SUM(H151:H178)</f>
        <v>0</v>
      </c>
      <c r="I150" s="178">
        <f>SUM(I151:I178)</f>
        <v>0</v>
      </c>
      <c r="J150" s="178">
        <f>H150+I150</f>
        <v>0</v>
      </c>
      <c r="K150" s="179"/>
      <c r="L150" s="178">
        <f>SUM(L151:L178)</f>
        <v>0.16017320000000002</v>
      </c>
      <c r="M150" s="179"/>
      <c r="P150" s="18">
        <f>IF(Q150="PR",J150,SUM(O151:O178))</f>
        <v>0</v>
      </c>
      <c r="Q150" s="11" t="s">
        <v>993</v>
      </c>
      <c r="R150" s="18">
        <f>IF(Q150="HS",H150,0)</f>
        <v>0</v>
      </c>
      <c r="S150" s="18">
        <f>IF(Q150="HS",I150-P150,0)</f>
        <v>0</v>
      </c>
      <c r="T150" s="18">
        <f>IF(Q150="PS",H150,0)</f>
        <v>0</v>
      </c>
      <c r="U150" s="18">
        <f>IF(Q150="PS",I150-P150,0)</f>
        <v>0</v>
      </c>
      <c r="V150" s="18">
        <f>IF(Q150="MP",H150,0)</f>
        <v>0</v>
      </c>
      <c r="W150" s="18">
        <f>IF(Q150="MP",I150-P150,0)</f>
        <v>0</v>
      </c>
      <c r="X150" s="18">
        <f>IF(Q150="OM",H150,0)</f>
        <v>0</v>
      </c>
      <c r="Y150" s="11" t="s">
        <v>282</v>
      </c>
      <c r="AI150" s="18">
        <f>SUM(Z151:Z178)</f>
        <v>0</v>
      </c>
      <c r="AJ150" s="18">
        <f>SUM(AA151:AA178)</f>
        <v>0</v>
      </c>
      <c r="AK150" s="18">
        <f>SUM(AB151:AB178)</f>
        <v>0</v>
      </c>
    </row>
    <row r="151" spans="1:43" ht="12.75">
      <c r="A151" s="180" t="s">
        <v>67</v>
      </c>
      <c r="B151" s="180" t="s">
        <v>282</v>
      </c>
      <c r="C151" s="180" t="s">
        <v>351</v>
      </c>
      <c r="D151" s="180" t="s">
        <v>675</v>
      </c>
      <c r="E151" s="180" t="s">
        <v>954</v>
      </c>
      <c r="F151" s="181">
        <v>1.5</v>
      </c>
      <c r="G151" s="181"/>
      <c r="H151" s="181">
        <f>F151*AE151</f>
        <v>0</v>
      </c>
      <c r="I151" s="181">
        <f>J151-H151</f>
        <v>0</v>
      </c>
      <c r="J151" s="181">
        <f>F151*G151</f>
        <v>0</v>
      </c>
      <c r="K151" s="181">
        <v>0.01793</v>
      </c>
      <c r="L151" s="181">
        <f>F151*K151</f>
        <v>0.026895000000000002</v>
      </c>
      <c r="M151" s="182" t="s">
        <v>985</v>
      </c>
      <c r="N151" s="12" t="s">
        <v>7</v>
      </c>
      <c r="O151" s="6">
        <f>IF(N151="5",I151,0)</f>
        <v>0</v>
      </c>
      <c r="Z151" s="6">
        <f>IF(AD151=0,J151,0)</f>
        <v>0</v>
      </c>
      <c r="AA151" s="6">
        <f>IF(AD151=15,J151,0)</f>
        <v>0</v>
      </c>
      <c r="AB151" s="6">
        <f>IF(AD151=21,J151,0)</f>
        <v>0</v>
      </c>
      <c r="AD151" s="16">
        <v>21</v>
      </c>
      <c r="AE151" s="16">
        <f>G151*0.606570743405276</f>
        <v>0</v>
      </c>
      <c r="AF151" s="16">
        <f>G151*(1-0.606570743405276)</f>
        <v>0</v>
      </c>
      <c r="AM151" s="16">
        <f>F151*AE151</f>
        <v>0</v>
      </c>
      <c r="AN151" s="16">
        <f>F151*AF151</f>
        <v>0</v>
      </c>
      <c r="AO151" s="17" t="s">
        <v>1014</v>
      </c>
      <c r="AP151" s="17" t="s">
        <v>1035</v>
      </c>
      <c r="AQ151" s="11" t="s">
        <v>1039</v>
      </c>
    </row>
    <row r="152" spans="1:13" ht="12.75">
      <c r="A152" s="183"/>
      <c r="B152" s="183"/>
      <c r="C152" s="183"/>
      <c r="D152" s="184" t="s">
        <v>676</v>
      </c>
      <c r="E152" s="183"/>
      <c r="F152" s="185">
        <v>1.5</v>
      </c>
      <c r="G152" s="183"/>
      <c r="H152" s="183"/>
      <c r="I152" s="183"/>
      <c r="J152" s="183"/>
      <c r="K152" s="183"/>
      <c r="L152" s="183"/>
      <c r="M152" s="183"/>
    </row>
    <row r="153" spans="1:43" ht="12.75">
      <c r="A153" s="180" t="s">
        <v>68</v>
      </c>
      <c r="B153" s="180" t="s">
        <v>282</v>
      </c>
      <c r="C153" s="180" t="s">
        <v>352</v>
      </c>
      <c r="D153" s="180" t="s">
        <v>677</v>
      </c>
      <c r="E153" s="180" t="s">
        <v>957</v>
      </c>
      <c r="F153" s="181">
        <v>1</v>
      </c>
      <c r="G153" s="181"/>
      <c r="H153" s="181">
        <f>F153*AE153</f>
        <v>0</v>
      </c>
      <c r="I153" s="181">
        <f>J153-H153</f>
        <v>0</v>
      </c>
      <c r="J153" s="181">
        <f>F153*G153</f>
        <v>0</v>
      </c>
      <c r="K153" s="181">
        <v>0.00031</v>
      </c>
      <c r="L153" s="181">
        <f>F153*K153</f>
        <v>0.00031</v>
      </c>
      <c r="M153" s="182" t="s">
        <v>985</v>
      </c>
      <c r="N153" s="12" t="s">
        <v>7</v>
      </c>
      <c r="O153" s="6">
        <f>IF(N153="5",I153,0)</f>
        <v>0</v>
      </c>
      <c r="Z153" s="6">
        <f>IF(AD153=0,J153,0)</f>
        <v>0</v>
      </c>
      <c r="AA153" s="6">
        <f>IF(AD153=15,J153,0)</f>
        <v>0</v>
      </c>
      <c r="AB153" s="6">
        <f>IF(AD153=21,J153,0)</f>
        <v>0</v>
      </c>
      <c r="AD153" s="16">
        <v>21</v>
      </c>
      <c r="AE153" s="16">
        <f>G153*0.863639705882353</f>
        <v>0</v>
      </c>
      <c r="AF153" s="16">
        <f>G153*(1-0.863639705882353)</f>
        <v>0</v>
      </c>
      <c r="AM153" s="16">
        <f>F153*AE153</f>
        <v>0</v>
      </c>
      <c r="AN153" s="16">
        <f>F153*AF153</f>
        <v>0</v>
      </c>
      <c r="AO153" s="17" t="s">
        <v>1014</v>
      </c>
      <c r="AP153" s="17" t="s">
        <v>1035</v>
      </c>
      <c r="AQ153" s="11" t="s">
        <v>1039</v>
      </c>
    </row>
    <row r="154" spans="1:13" ht="12.75">
      <c r="A154" s="183"/>
      <c r="B154" s="183"/>
      <c r="C154" s="183"/>
      <c r="D154" s="184" t="s">
        <v>7</v>
      </c>
      <c r="E154" s="183"/>
      <c r="F154" s="185">
        <v>1</v>
      </c>
      <c r="G154" s="183"/>
      <c r="H154" s="183"/>
      <c r="I154" s="183"/>
      <c r="J154" s="183"/>
      <c r="K154" s="183"/>
      <c r="L154" s="183"/>
      <c r="M154" s="183"/>
    </row>
    <row r="155" spans="1:43" ht="12.75">
      <c r="A155" s="180" t="s">
        <v>69</v>
      </c>
      <c r="B155" s="180" t="s">
        <v>282</v>
      </c>
      <c r="C155" s="180" t="s">
        <v>353</v>
      </c>
      <c r="D155" s="180" t="s">
        <v>678</v>
      </c>
      <c r="E155" s="180" t="s">
        <v>957</v>
      </c>
      <c r="F155" s="181">
        <v>1</v>
      </c>
      <c r="G155" s="181"/>
      <c r="H155" s="181">
        <f>F155*AE155</f>
        <v>0</v>
      </c>
      <c r="I155" s="181">
        <f>J155-H155</f>
        <v>0</v>
      </c>
      <c r="J155" s="181">
        <f>F155*G155</f>
        <v>0</v>
      </c>
      <c r="K155" s="181">
        <v>0.00208</v>
      </c>
      <c r="L155" s="181">
        <f>F155*K155</f>
        <v>0.00208</v>
      </c>
      <c r="M155" s="182" t="s">
        <v>985</v>
      </c>
      <c r="N155" s="12" t="s">
        <v>7</v>
      </c>
      <c r="O155" s="6">
        <f>IF(N155="5",I155,0)</f>
        <v>0</v>
      </c>
      <c r="Z155" s="6">
        <f>IF(AD155=0,J155,0)</f>
        <v>0</v>
      </c>
      <c r="AA155" s="6">
        <f>IF(AD155=15,J155,0)</f>
        <v>0</v>
      </c>
      <c r="AB155" s="6">
        <f>IF(AD155=21,J155,0)</f>
        <v>0</v>
      </c>
      <c r="AD155" s="16">
        <v>21</v>
      </c>
      <c r="AE155" s="16">
        <f>G155*0.893408037094281</f>
        <v>0</v>
      </c>
      <c r="AF155" s="16">
        <f>G155*(1-0.893408037094281)</f>
        <v>0</v>
      </c>
      <c r="AM155" s="16">
        <f>F155*AE155</f>
        <v>0</v>
      </c>
      <c r="AN155" s="16">
        <f>F155*AF155</f>
        <v>0</v>
      </c>
      <c r="AO155" s="17" t="s">
        <v>1014</v>
      </c>
      <c r="AP155" s="17" t="s">
        <v>1035</v>
      </c>
      <c r="AQ155" s="11" t="s">
        <v>1039</v>
      </c>
    </row>
    <row r="156" spans="1:13" ht="12.75">
      <c r="A156" s="183"/>
      <c r="B156" s="183"/>
      <c r="C156" s="183"/>
      <c r="D156" s="184" t="s">
        <v>7</v>
      </c>
      <c r="E156" s="183"/>
      <c r="F156" s="185">
        <v>1</v>
      </c>
      <c r="G156" s="183"/>
      <c r="H156" s="183"/>
      <c r="I156" s="183"/>
      <c r="J156" s="183"/>
      <c r="K156" s="183"/>
      <c r="L156" s="183"/>
      <c r="M156" s="183"/>
    </row>
    <row r="157" spans="1:43" ht="12.75">
      <c r="A157" s="180" t="s">
        <v>70</v>
      </c>
      <c r="B157" s="180" t="s">
        <v>282</v>
      </c>
      <c r="C157" s="180" t="s">
        <v>354</v>
      </c>
      <c r="D157" s="180" t="s">
        <v>679</v>
      </c>
      <c r="E157" s="180" t="s">
        <v>954</v>
      </c>
      <c r="F157" s="181">
        <v>28</v>
      </c>
      <c r="G157" s="181"/>
      <c r="H157" s="181">
        <f>F157*AE157</f>
        <v>0</v>
      </c>
      <c r="I157" s="181">
        <f>J157-H157</f>
        <v>0</v>
      </c>
      <c r="J157" s="181">
        <f>F157*G157</f>
        <v>0</v>
      </c>
      <c r="K157" s="181">
        <v>0.00031</v>
      </c>
      <c r="L157" s="181">
        <f>F157*K157</f>
        <v>0.00868</v>
      </c>
      <c r="M157" s="182" t="s">
        <v>985</v>
      </c>
      <c r="N157" s="12" t="s">
        <v>7</v>
      </c>
      <c r="O157" s="6">
        <f>IF(N157="5",I157,0)</f>
        <v>0</v>
      </c>
      <c r="Z157" s="6">
        <f>IF(AD157=0,J157,0)</f>
        <v>0</v>
      </c>
      <c r="AA157" s="6">
        <f>IF(AD157=15,J157,0)</f>
        <v>0</v>
      </c>
      <c r="AB157" s="6">
        <f>IF(AD157=21,J157,0)</f>
        <v>0</v>
      </c>
      <c r="AD157" s="16">
        <v>21</v>
      </c>
      <c r="AE157" s="16">
        <f>G157*0.0673303167420815</f>
        <v>0</v>
      </c>
      <c r="AF157" s="16">
        <f>G157*(1-0.0673303167420815)</f>
        <v>0</v>
      </c>
      <c r="AM157" s="16">
        <f>F157*AE157</f>
        <v>0</v>
      </c>
      <c r="AN157" s="16">
        <f>F157*AF157</f>
        <v>0</v>
      </c>
      <c r="AO157" s="17" t="s">
        <v>1014</v>
      </c>
      <c r="AP157" s="17" t="s">
        <v>1035</v>
      </c>
      <c r="AQ157" s="11" t="s">
        <v>1039</v>
      </c>
    </row>
    <row r="158" spans="1:13" ht="12.75">
      <c r="A158" s="183"/>
      <c r="B158" s="183"/>
      <c r="C158" s="183"/>
      <c r="D158" s="184" t="s">
        <v>34</v>
      </c>
      <c r="E158" s="183"/>
      <c r="F158" s="185">
        <v>28</v>
      </c>
      <c r="G158" s="183"/>
      <c r="H158" s="183"/>
      <c r="I158" s="183"/>
      <c r="J158" s="183"/>
      <c r="K158" s="183"/>
      <c r="L158" s="183"/>
      <c r="M158" s="183"/>
    </row>
    <row r="159" spans="1:43" ht="12.75">
      <c r="A159" s="192" t="s">
        <v>71</v>
      </c>
      <c r="B159" s="192" t="s">
        <v>282</v>
      </c>
      <c r="C159" s="192" t="s">
        <v>355</v>
      </c>
      <c r="D159" s="192" t="s">
        <v>680</v>
      </c>
      <c r="E159" s="192" t="s">
        <v>954</v>
      </c>
      <c r="F159" s="193">
        <v>28.84</v>
      </c>
      <c r="G159" s="193"/>
      <c r="H159" s="193">
        <f>F159*AE159</f>
        <v>0</v>
      </c>
      <c r="I159" s="193">
        <f>J159-H159</f>
        <v>0</v>
      </c>
      <c r="J159" s="193">
        <f>F159*G159</f>
        <v>0</v>
      </c>
      <c r="K159" s="193">
        <v>0.00148</v>
      </c>
      <c r="L159" s="193">
        <f>F159*K159</f>
        <v>0.0426832</v>
      </c>
      <c r="M159" s="194" t="s">
        <v>985</v>
      </c>
      <c r="N159" s="13" t="s">
        <v>989</v>
      </c>
      <c r="O159" s="7">
        <f>IF(N159="5",I159,0)</f>
        <v>0</v>
      </c>
      <c r="Z159" s="7">
        <f>IF(AD159=0,J159,0)</f>
        <v>0</v>
      </c>
      <c r="AA159" s="7">
        <f>IF(AD159=15,J159,0)</f>
        <v>0</v>
      </c>
      <c r="AB159" s="7">
        <f>IF(AD159=21,J159,0)</f>
        <v>0</v>
      </c>
      <c r="AD159" s="16">
        <v>21</v>
      </c>
      <c r="AE159" s="16">
        <f>G159*1</f>
        <v>0</v>
      </c>
      <c r="AF159" s="16">
        <f>G159*(1-1)</f>
        <v>0</v>
      </c>
      <c r="AM159" s="16">
        <f>F159*AE159</f>
        <v>0</v>
      </c>
      <c r="AN159" s="16">
        <f>F159*AF159</f>
        <v>0</v>
      </c>
      <c r="AO159" s="17" t="s">
        <v>1014</v>
      </c>
      <c r="AP159" s="17" t="s">
        <v>1035</v>
      </c>
      <c r="AQ159" s="11" t="s">
        <v>1039</v>
      </c>
    </row>
    <row r="160" spans="1:13" ht="12.75">
      <c r="A160" s="183"/>
      <c r="B160" s="183"/>
      <c r="C160" s="183"/>
      <c r="D160" s="184" t="s">
        <v>34</v>
      </c>
      <c r="E160" s="183"/>
      <c r="F160" s="185">
        <v>28</v>
      </c>
      <c r="G160" s="183"/>
      <c r="H160" s="183"/>
      <c r="I160" s="183"/>
      <c r="J160" s="183"/>
      <c r="K160" s="183"/>
      <c r="L160" s="183"/>
      <c r="M160" s="183"/>
    </row>
    <row r="161" spans="1:13" ht="12.75">
      <c r="A161" s="183"/>
      <c r="B161" s="183"/>
      <c r="C161" s="183"/>
      <c r="D161" s="184" t="s">
        <v>681</v>
      </c>
      <c r="E161" s="183"/>
      <c r="F161" s="185">
        <v>0.84</v>
      </c>
      <c r="G161" s="183"/>
      <c r="H161" s="183"/>
      <c r="I161" s="183"/>
      <c r="J161" s="183"/>
      <c r="K161" s="183"/>
      <c r="L161" s="183"/>
      <c r="M161" s="183"/>
    </row>
    <row r="162" spans="1:43" ht="12.75">
      <c r="A162" s="180" t="s">
        <v>72</v>
      </c>
      <c r="B162" s="180" t="s">
        <v>282</v>
      </c>
      <c r="C162" s="180" t="s">
        <v>356</v>
      </c>
      <c r="D162" s="180" t="s">
        <v>682</v>
      </c>
      <c r="E162" s="180" t="s">
        <v>957</v>
      </c>
      <c r="F162" s="181">
        <v>1</v>
      </c>
      <c r="G162" s="181"/>
      <c r="H162" s="181">
        <f>F162*AE162</f>
        <v>0</v>
      </c>
      <c r="I162" s="181">
        <f>J162-H162</f>
        <v>0</v>
      </c>
      <c r="J162" s="181">
        <f>F162*G162</f>
        <v>0</v>
      </c>
      <c r="K162" s="181">
        <v>8E-05</v>
      </c>
      <c r="L162" s="181">
        <f>F162*K162</f>
        <v>8E-05</v>
      </c>
      <c r="M162" s="182" t="s">
        <v>985</v>
      </c>
      <c r="N162" s="12" t="s">
        <v>7</v>
      </c>
      <c r="O162" s="6">
        <f>IF(N162="5",I162,0)</f>
        <v>0</v>
      </c>
      <c r="Z162" s="6">
        <f>IF(AD162=0,J162,0)</f>
        <v>0</v>
      </c>
      <c r="AA162" s="6">
        <f>IF(AD162=15,J162,0)</f>
        <v>0</v>
      </c>
      <c r="AB162" s="6">
        <f>IF(AD162=21,J162,0)</f>
        <v>0</v>
      </c>
      <c r="AD162" s="16">
        <v>21</v>
      </c>
      <c r="AE162" s="16">
        <f>G162*0.00783705457365607</f>
        <v>0</v>
      </c>
      <c r="AF162" s="16">
        <f>G162*(1-0.00783705457365607)</f>
        <v>0</v>
      </c>
      <c r="AM162" s="16">
        <f>F162*AE162</f>
        <v>0</v>
      </c>
      <c r="AN162" s="16">
        <f>F162*AF162</f>
        <v>0</v>
      </c>
      <c r="AO162" s="17" t="s">
        <v>1014</v>
      </c>
      <c r="AP162" s="17" t="s">
        <v>1035</v>
      </c>
      <c r="AQ162" s="11" t="s">
        <v>1039</v>
      </c>
    </row>
    <row r="163" spans="1:13" ht="12.75">
      <c r="A163" s="183"/>
      <c r="B163" s="183"/>
      <c r="C163" s="183"/>
      <c r="D163" s="184" t="s">
        <v>7</v>
      </c>
      <c r="E163" s="183"/>
      <c r="F163" s="185">
        <v>1</v>
      </c>
      <c r="G163" s="183"/>
      <c r="H163" s="183"/>
      <c r="I163" s="183"/>
      <c r="J163" s="183"/>
      <c r="K163" s="183"/>
      <c r="L163" s="183"/>
      <c r="M163" s="183"/>
    </row>
    <row r="164" spans="1:43" ht="12.75">
      <c r="A164" s="192" t="s">
        <v>73</v>
      </c>
      <c r="B164" s="192" t="s">
        <v>282</v>
      </c>
      <c r="C164" s="192" t="s">
        <v>357</v>
      </c>
      <c r="D164" s="192" t="s">
        <v>683</v>
      </c>
      <c r="E164" s="192" t="s">
        <v>957</v>
      </c>
      <c r="F164" s="193">
        <v>1</v>
      </c>
      <c r="G164" s="193"/>
      <c r="H164" s="193">
        <f>F164*AE164</f>
        <v>0</v>
      </c>
      <c r="I164" s="193">
        <f>J164-H164</f>
        <v>0</v>
      </c>
      <c r="J164" s="193">
        <f>F164*G164</f>
        <v>0</v>
      </c>
      <c r="K164" s="193">
        <v>0.0006</v>
      </c>
      <c r="L164" s="193">
        <f>F164*K164</f>
        <v>0.0006</v>
      </c>
      <c r="M164" s="194" t="s">
        <v>985</v>
      </c>
      <c r="N164" s="13" t="s">
        <v>989</v>
      </c>
      <c r="O164" s="7">
        <f>IF(N164="5",I164,0)</f>
        <v>0</v>
      </c>
      <c r="Z164" s="7">
        <f>IF(AD164=0,J164,0)</f>
        <v>0</v>
      </c>
      <c r="AA164" s="7">
        <f>IF(AD164=15,J164,0)</f>
        <v>0</v>
      </c>
      <c r="AB164" s="7">
        <f>IF(AD164=21,J164,0)</f>
        <v>0</v>
      </c>
      <c r="AD164" s="16">
        <v>21</v>
      </c>
      <c r="AE164" s="16">
        <f>G164*1</f>
        <v>0</v>
      </c>
      <c r="AF164" s="16">
        <f>G164*(1-1)</f>
        <v>0</v>
      </c>
      <c r="AM164" s="16">
        <f>F164*AE164</f>
        <v>0</v>
      </c>
      <c r="AN164" s="16">
        <f>F164*AF164</f>
        <v>0</v>
      </c>
      <c r="AO164" s="17" t="s">
        <v>1014</v>
      </c>
      <c r="AP164" s="17" t="s">
        <v>1035</v>
      </c>
      <c r="AQ164" s="11" t="s">
        <v>1039</v>
      </c>
    </row>
    <row r="165" spans="1:13" ht="12.75">
      <c r="A165" s="183"/>
      <c r="B165" s="183"/>
      <c r="C165" s="183"/>
      <c r="D165" s="184" t="s">
        <v>7</v>
      </c>
      <c r="E165" s="183"/>
      <c r="F165" s="185">
        <v>1</v>
      </c>
      <c r="G165" s="183"/>
      <c r="H165" s="183"/>
      <c r="I165" s="183"/>
      <c r="J165" s="183"/>
      <c r="K165" s="183"/>
      <c r="L165" s="183"/>
      <c r="M165" s="183"/>
    </row>
    <row r="166" spans="1:43" ht="12.75">
      <c r="A166" s="180" t="s">
        <v>74</v>
      </c>
      <c r="B166" s="180" t="s">
        <v>282</v>
      </c>
      <c r="C166" s="180" t="s">
        <v>358</v>
      </c>
      <c r="D166" s="180" t="s">
        <v>684</v>
      </c>
      <c r="E166" s="180" t="s">
        <v>954</v>
      </c>
      <c r="F166" s="181">
        <v>1.5</v>
      </c>
      <c r="G166" s="181"/>
      <c r="H166" s="181">
        <f>F166*AE166</f>
        <v>0</v>
      </c>
      <c r="I166" s="181">
        <f>J166-H166</f>
        <v>0</v>
      </c>
      <c r="J166" s="181">
        <f>F166*G166</f>
        <v>0</v>
      </c>
      <c r="K166" s="181">
        <v>0.00019</v>
      </c>
      <c r="L166" s="181">
        <f>F166*K166</f>
        <v>0.000285</v>
      </c>
      <c r="M166" s="182" t="s">
        <v>985</v>
      </c>
      <c r="N166" s="12" t="s">
        <v>7</v>
      </c>
      <c r="O166" s="6">
        <f>IF(N166="5",I166,0)</f>
        <v>0</v>
      </c>
      <c r="Z166" s="6">
        <f>IF(AD166=0,J166,0)</f>
        <v>0</v>
      </c>
      <c r="AA166" s="6">
        <f>IF(AD166=15,J166,0)</f>
        <v>0</v>
      </c>
      <c r="AB166" s="6">
        <f>IF(AD166=21,J166,0)</f>
        <v>0</v>
      </c>
      <c r="AD166" s="16">
        <v>21</v>
      </c>
      <c r="AE166" s="16">
        <f>G166*0.697931034482759</f>
        <v>0</v>
      </c>
      <c r="AF166" s="16">
        <f>G166*(1-0.697931034482759)</f>
        <v>0</v>
      </c>
      <c r="AM166" s="16">
        <f>F166*AE166</f>
        <v>0</v>
      </c>
      <c r="AN166" s="16">
        <f>F166*AF166</f>
        <v>0</v>
      </c>
      <c r="AO166" s="17" t="s">
        <v>1014</v>
      </c>
      <c r="AP166" s="17" t="s">
        <v>1035</v>
      </c>
      <c r="AQ166" s="11" t="s">
        <v>1039</v>
      </c>
    </row>
    <row r="167" spans="1:13" ht="12.75">
      <c r="A167" s="183"/>
      <c r="B167" s="183"/>
      <c r="C167" s="183"/>
      <c r="D167" s="184" t="s">
        <v>676</v>
      </c>
      <c r="E167" s="183"/>
      <c r="F167" s="185">
        <v>1.5</v>
      </c>
      <c r="G167" s="183"/>
      <c r="H167" s="183"/>
      <c r="I167" s="183"/>
      <c r="J167" s="183"/>
      <c r="K167" s="183"/>
      <c r="L167" s="183"/>
      <c r="M167" s="183"/>
    </row>
    <row r="168" spans="1:43" ht="12.75">
      <c r="A168" s="180" t="s">
        <v>75</v>
      </c>
      <c r="B168" s="180" t="s">
        <v>282</v>
      </c>
      <c r="C168" s="180" t="s">
        <v>359</v>
      </c>
      <c r="D168" s="180" t="s">
        <v>685</v>
      </c>
      <c r="E168" s="180" t="s">
        <v>954</v>
      </c>
      <c r="F168" s="181">
        <v>38</v>
      </c>
      <c r="G168" s="181"/>
      <c r="H168" s="181">
        <f>F168*AE168</f>
        <v>0</v>
      </c>
      <c r="I168" s="181">
        <f>J168-H168</f>
        <v>0</v>
      </c>
      <c r="J168" s="181">
        <f>F168*G168</f>
        <v>0</v>
      </c>
      <c r="K168" s="181">
        <v>0.00024</v>
      </c>
      <c r="L168" s="181">
        <f>F168*K168</f>
        <v>0.00912</v>
      </c>
      <c r="M168" s="182" t="s">
        <v>985</v>
      </c>
      <c r="N168" s="12" t="s">
        <v>7</v>
      </c>
      <c r="O168" s="6">
        <f>IF(N168="5",I168,0)</f>
        <v>0</v>
      </c>
      <c r="Z168" s="6">
        <f>IF(AD168=0,J168,0)</f>
        <v>0</v>
      </c>
      <c r="AA168" s="6">
        <f>IF(AD168=15,J168,0)</f>
        <v>0</v>
      </c>
      <c r="AB168" s="6">
        <f>IF(AD168=21,J168,0)</f>
        <v>0</v>
      </c>
      <c r="AD168" s="16">
        <v>21</v>
      </c>
      <c r="AE168" s="16">
        <f>G168*0.606838709677419</f>
        <v>0</v>
      </c>
      <c r="AF168" s="16">
        <f>G168*(1-0.606838709677419)</f>
        <v>0</v>
      </c>
      <c r="AM168" s="16">
        <f>F168*AE168</f>
        <v>0</v>
      </c>
      <c r="AN168" s="16">
        <f>F168*AF168</f>
        <v>0</v>
      </c>
      <c r="AO168" s="17" t="s">
        <v>1014</v>
      </c>
      <c r="AP168" s="17" t="s">
        <v>1035</v>
      </c>
      <c r="AQ168" s="11" t="s">
        <v>1039</v>
      </c>
    </row>
    <row r="169" spans="1:13" ht="12.75">
      <c r="A169" s="183"/>
      <c r="B169" s="183"/>
      <c r="C169" s="183"/>
      <c r="D169" s="184" t="s">
        <v>44</v>
      </c>
      <c r="E169" s="183"/>
      <c r="F169" s="185">
        <v>38</v>
      </c>
      <c r="G169" s="183"/>
      <c r="H169" s="183"/>
      <c r="I169" s="183"/>
      <c r="J169" s="183"/>
      <c r="K169" s="183"/>
      <c r="L169" s="183"/>
      <c r="M169" s="183"/>
    </row>
    <row r="170" spans="1:43" ht="12.75">
      <c r="A170" s="180" t="s">
        <v>76</v>
      </c>
      <c r="B170" s="180" t="s">
        <v>282</v>
      </c>
      <c r="C170" s="180" t="s">
        <v>360</v>
      </c>
      <c r="D170" s="180" t="s">
        <v>686</v>
      </c>
      <c r="E170" s="180" t="s">
        <v>957</v>
      </c>
      <c r="F170" s="181">
        <v>1</v>
      </c>
      <c r="G170" s="181"/>
      <c r="H170" s="181">
        <f>F170*AE170</f>
        <v>0</v>
      </c>
      <c r="I170" s="181">
        <f>J170-H170</f>
        <v>0</v>
      </c>
      <c r="J170" s="181">
        <f>F170*G170</f>
        <v>0</v>
      </c>
      <c r="K170" s="181">
        <v>0.03</v>
      </c>
      <c r="L170" s="181">
        <f>F170*K170</f>
        <v>0.03</v>
      </c>
      <c r="M170" s="182" t="s">
        <v>985</v>
      </c>
      <c r="N170" s="12" t="s">
        <v>7</v>
      </c>
      <c r="O170" s="6">
        <f>IF(N170="5",I170,0)</f>
        <v>0</v>
      </c>
      <c r="Z170" s="6">
        <f>IF(AD170=0,J170,0)</f>
        <v>0</v>
      </c>
      <c r="AA170" s="6">
        <f>IF(AD170=15,J170,0)</f>
        <v>0</v>
      </c>
      <c r="AB170" s="6">
        <f>IF(AD170=21,J170,0)</f>
        <v>0</v>
      </c>
      <c r="AD170" s="16">
        <v>21</v>
      </c>
      <c r="AE170" s="16">
        <f>G170*0.936104446012703</f>
        <v>0</v>
      </c>
      <c r="AF170" s="16">
        <f>G170*(1-0.936104446012703)</f>
        <v>0</v>
      </c>
      <c r="AM170" s="16">
        <f>F170*AE170</f>
        <v>0</v>
      </c>
      <c r="AN170" s="16">
        <f>F170*AF170</f>
        <v>0</v>
      </c>
      <c r="AO170" s="17" t="s">
        <v>1014</v>
      </c>
      <c r="AP170" s="17" t="s">
        <v>1035</v>
      </c>
      <c r="AQ170" s="11" t="s">
        <v>1039</v>
      </c>
    </row>
    <row r="171" spans="1:13" ht="12.75">
      <c r="A171" s="183"/>
      <c r="B171" s="183"/>
      <c r="C171" s="183"/>
      <c r="D171" s="184" t="s">
        <v>7</v>
      </c>
      <c r="E171" s="183"/>
      <c r="F171" s="185">
        <v>1</v>
      </c>
      <c r="G171" s="183"/>
      <c r="H171" s="183"/>
      <c r="I171" s="183"/>
      <c r="J171" s="183"/>
      <c r="K171" s="183"/>
      <c r="L171" s="183"/>
      <c r="M171" s="183"/>
    </row>
    <row r="172" spans="1:43" ht="12.75">
      <c r="A172" s="180" t="s">
        <v>77</v>
      </c>
      <c r="B172" s="180" t="s">
        <v>282</v>
      </c>
      <c r="C172" s="180" t="s">
        <v>361</v>
      </c>
      <c r="D172" s="180" t="s">
        <v>687</v>
      </c>
      <c r="E172" s="180" t="s">
        <v>958</v>
      </c>
      <c r="F172" s="181">
        <v>25</v>
      </c>
      <c r="G172" s="181"/>
      <c r="H172" s="181">
        <f>F172*AE172</f>
        <v>0</v>
      </c>
      <c r="I172" s="181">
        <f>J172-H172</f>
        <v>0</v>
      </c>
      <c r="J172" s="181">
        <f>F172*G172</f>
        <v>0</v>
      </c>
      <c r="K172" s="181">
        <v>0.00105</v>
      </c>
      <c r="L172" s="181">
        <f>F172*K172</f>
        <v>0.02625</v>
      </c>
      <c r="M172" s="182" t="s">
        <v>985</v>
      </c>
      <c r="N172" s="12" t="s">
        <v>9</v>
      </c>
      <c r="O172" s="6">
        <f>IF(N172="5",I172,0)</f>
        <v>0</v>
      </c>
      <c r="Z172" s="6">
        <f>IF(AD172=0,J172,0)</f>
        <v>0</v>
      </c>
      <c r="AA172" s="6">
        <f>IF(AD172=15,J172,0)</f>
        <v>0</v>
      </c>
      <c r="AB172" s="6">
        <f>IF(AD172=21,J172,0)</f>
        <v>0</v>
      </c>
      <c r="AD172" s="16">
        <v>21</v>
      </c>
      <c r="AE172" s="16">
        <f>G172*0.558530255429586</f>
        <v>0</v>
      </c>
      <c r="AF172" s="16">
        <f>G172*(1-0.558530255429586)</f>
        <v>0</v>
      </c>
      <c r="AM172" s="16">
        <f>F172*AE172</f>
        <v>0</v>
      </c>
      <c r="AN172" s="16">
        <f>F172*AF172</f>
        <v>0</v>
      </c>
      <c r="AO172" s="17" t="s">
        <v>1014</v>
      </c>
      <c r="AP172" s="17" t="s">
        <v>1035</v>
      </c>
      <c r="AQ172" s="11" t="s">
        <v>1039</v>
      </c>
    </row>
    <row r="173" spans="1:13" ht="12.75">
      <c r="A173" s="183"/>
      <c r="B173" s="183"/>
      <c r="C173" s="183"/>
      <c r="D173" s="184" t="s">
        <v>688</v>
      </c>
      <c r="E173" s="183"/>
      <c r="F173" s="185">
        <v>25</v>
      </c>
      <c r="G173" s="183"/>
      <c r="H173" s="183"/>
      <c r="I173" s="183"/>
      <c r="J173" s="183"/>
      <c r="K173" s="183"/>
      <c r="L173" s="183"/>
      <c r="M173" s="183"/>
    </row>
    <row r="174" spans="1:43" ht="12.75">
      <c r="A174" s="180" t="s">
        <v>78</v>
      </c>
      <c r="B174" s="180" t="s">
        <v>282</v>
      </c>
      <c r="C174" s="180" t="s">
        <v>362</v>
      </c>
      <c r="D174" s="180" t="s">
        <v>689</v>
      </c>
      <c r="E174" s="180" t="s">
        <v>954</v>
      </c>
      <c r="F174" s="181">
        <v>38</v>
      </c>
      <c r="G174" s="181"/>
      <c r="H174" s="181">
        <f>F174*AE174</f>
        <v>0</v>
      </c>
      <c r="I174" s="181">
        <f>J174-H174</f>
        <v>0</v>
      </c>
      <c r="J174" s="181">
        <f>F174*G174</f>
        <v>0</v>
      </c>
      <c r="K174" s="181">
        <v>0.00034</v>
      </c>
      <c r="L174" s="181">
        <f>F174*K174</f>
        <v>0.012920000000000001</v>
      </c>
      <c r="M174" s="182" t="s">
        <v>985</v>
      </c>
      <c r="N174" s="12" t="s">
        <v>7</v>
      </c>
      <c r="O174" s="6">
        <f>IF(N174="5",I174,0)</f>
        <v>0</v>
      </c>
      <c r="Z174" s="6">
        <f>IF(AD174=0,J174,0)</f>
        <v>0</v>
      </c>
      <c r="AA174" s="6">
        <f>IF(AD174=15,J174,0)</f>
        <v>0</v>
      </c>
      <c r="AB174" s="6">
        <f>IF(AD174=21,J174,0)</f>
        <v>0</v>
      </c>
      <c r="AD174" s="16">
        <v>21</v>
      </c>
      <c r="AE174" s="16">
        <f>G174*0.23125</f>
        <v>0</v>
      </c>
      <c r="AF174" s="16">
        <f>G174*(1-0.23125)</f>
        <v>0</v>
      </c>
      <c r="AM174" s="16">
        <f>F174*AE174</f>
        <v>0</v>
      </c>
      <c r="AN174" s="16">
        <f>F174*AF174</f>
        <v>0</v>
      </c>
      <c r="AO174" s="17" t="s">
        <v>1014</v>
      </c>
      <c r="AP174" s="17" t="s">
        <v>1035</v>
      </c>
      <c r="AQ174" s="11" t="s">
        <v>1039</v>
      </c>
    </row>
    <row r="175" spans="1:13" ht="12.75">
      <c r="A175" s="183"/>
      <c r="B175" s="183"/>
      <c r="C175" s="183"/>
      <c r="D175" s="184" t="s">
        <v>44</v>
      </c>
      <c r="E175" s="183"/>
      <c r="F175" s="185">
        <v>38</v>
      </c>
      <c r="G175" s="183"/>
      <c r="H175" s="183"/>
      <c r="I175" s="183"/>
      <c r="J175" s="183"/>
      <c r="K175" s="183"/>
      <c r="L175" s="183"/>
      <c r="M175" s="183"/>
    </row>
    <row r="176" spans="1:43" ht="12.75">
      <c r="A176" s="180" t="s">
        <v>79</v>
      </c>
      <c r="B176" s="180" t="s">
        <v>282</v>
      </c>
      <c r="C176" s="180" t="s">
        <v>363</v>
      </c>
      <c r="D176" s="180" t="s">
        <v>690</v>
      </c>
      <c r="E176" s="180" t="s">
        <v>954</v>
      </c>
      <c r="F176" s="181">
        <v>1.5</v>
      </c>
      <c r="G176" s="181"/>
      <c r="H176" s="181">
        <f>F176*AE176</f>
        <v>0</v>
      </c>
      <c r="I176" s="181">
        <f>J176-H176</f>
        <v>0</v>
      </c>
      <c r="J176" s="181">
        <f>F176*G176</f>
        <v>0</v>
      </c>
      <c r="K176" s="181">
        <v>0.00018</v>
      </c>
      <c r="L176" s="181">
        <f>F176*K176</f>
        <v>0.00027</v>
      </c>
      <c r="M176" s="182" t="s">
        <v>985</v>
      </c>
      <c r="N176" s="12" t="s">
        <v>7</v>
      </c>
      <c r="O176" s="6">
        <f>IF(N176="5",I176,0)</f>
        <v>0</v>
      </c>
      <c r="Z176" s="6">
        <f>IF(AD176=0,J176,0)</f>
        <v>0</v>
      </c>
      <c r="AA176" s="6">
        <f>IF(AD176=15,J176,0)</f>
        <v>0</v>
      </c>
      <c r="AB176" s="6">
        <f>IF(AD176=21,J176,0)</f>
        <v>0</v>
      </c>
      <c r="AD176" s="16">
        <v>21</v>
      </c>
      <c r="AE176" s="16">
        <f>G176*0.235834124723014</f>
        <v>0</v>
      </c>
      <c r="AF176" s="16">
        <f>G176*(1-0.235834124723014)</f>
        <v>0</v>
      </c>
      <c r="AM176" s="16">
        <f>F176*AE176</f>
        <v>0</v>
      </c>
      <c r="AN176" s="16">
        <f>F176*AF176</f>
        <v>0</v>
      </c>
      <c r="AO176" s="17" t="s">
        <v>1014</v>
      </c>
      <c r="AP176" s="17" t="s">
        <v>1035</v>
      </c>
      <c r="AQ176" s="11" t="s">
        <v>1039</v>
      </c>
    </row>
    <row r="177" spans="1:13" ht="12.75">
      <c r="A177" s="183"/>
      <c r="B177" s="183"/>
      <c r="C177" s="183"/>
      <c r="D177" s="184" t="s">
        <v>676</v>
      </c>
      <c r="E177" s="183"/>
      <c r="F177" s="185">
        <v>1.5</v>
      </c>
      <c r="G177" s="183"/>
      <c r="H177" s="183"/>
      <c r="I177" s="183"/>
      <c r="J177" s="183"/>
      <c r="K177" s="183"/>
      <c r="L177" s="183"/>
      <c r="M177" s="183"/>
    </row>
    <row r="178" spans="1:43" ht="12.75">
      <c r="A178" s="180" t="s">
        <v>80</v>
      </c>
      <c r="B178" s="180" t="s">
        <v>282</v>
      </c>
      <c r="C178" s="180" t="s">
        <v>364</v>
      </c>
      <c r="D178" s="180" t="s">
        <v>691</v>
      </c>
      <c r="E178" s="180" t="s">
        <v>955</v>
      </c>
      <c r="F178" s="181">
        <v>0.16017</v>
      </c>
      <c r="G178" s="181"/>
      <c r="H178" s="181">
        <f>F178*AE178</f>
        <v>0</v>
      </c>
      <c r="I178" s="181">
        <f>J178-H178</f>
        <v>0</v>
      </c>
      <c r="J178" s="181">
        <f>F178*G178</f>
        <v>0</v>
      </c>
      <c r="K178" s="181">
        <v>0</v>
      </c>
      <c r="L178" s="181">
        <f>F178*K178</f>
        <v>0</v>
      </c>
      <c r="M178" s="182" t="s">
        <v>985</v>
      </c>
      <c r="N178" s="12" t="s">
        <v>11</v>
      </c>
      <c r="O178" s="6">
        <f>IF(N178="5",I178,0)</f>
        <v>0</v>
      </c>
      <c r="Z178" s="6">
        <f>IF(AD178=0,J178,0)</f>
        <v>0</v>
      </c>
      <c r="AA178" s="6">
        <f>IF(AD178=15,J178,0)</f>
        <v>0</v>
      </c>
      <c r="AB178" s="6">
        <f>IF(AD178=21,J178,0)</f>
        <v>0</v>
      </c>
      <c r="AD178" s="16">
        <v>21</v>
      </c>
      <c r="AE178" s="16">
        <f>G178*0</f>
        <v>0</v>
      </c>
      <c r="AF178" s="16">
        <f>G178*(1-0)</f>
        <v>0</v>
      </c>
      <c r="AM178" s="16">
        <f>F178*AE178</f>
        <v>0</v>
      </c>
      <c r="AN178" s="16">
        <f>F178*AF178</f>
        <v>0</v>
      </c>
      <c r="AO178" s="17" t="s">
        <v>1014</v>
      </c>
      <c r="AP178" s="17" t="s">
        <v>1035</v>
      </c>
      <c r="AQ178" s="11" t="s">
        <v>1039</v>
      </c>
    </row>
    <row r="179" spans="1:37" ht="12.75">
      <c r="A179" s="174"/>
      <c r="B179" s="175" t="s">
        <v>282</v>
      </c>
      <c r="C179" s="175" t="s">
        <v>97</v>
      </c>
      <c r="D179" s="176" t="s">
        <v>692</v>
      </c>
      <c r="E179" s="177"/>
      <c r="F179" s="177"/>
      <c r="G179" s="177"/>
      <c r="H179" s="178">
        <f>SUM(H180:H182)</f>
        <v>0</v>
      </c>
      <c r="I179" s="178">
        <f>SUM(I180:I182)</f>
        <v>0</v>
      </c>
      <c r="J179" s="178">
        <f>H179+I179</f>
        <v>0</v>
      </c>
      <c r="K179" s="179"/>
      <c r="L179" s="178">
        <f>SUM(L180:L182)</f>
        <v>18.554450000000003</v>
      </c>
      <c r="M179" s="179"/>
      <c r="P179" s="18">
        <f>IF(Q179="PR",J179,SUM(O180:O182))</f>
        <v>0</v>
      </c>
      <c r="Q179" s="11" t="s">
        <v>992</v>
      </c>
      <c r="R179" s="18">
        <f>IF(Q179="HS",H179,0)</f>
        <v>0</v>
      </c>
      <c r="S179" s="18">
        <f>IF(Q179="HS",I179-P179,0)</f>
        <v>0</v>
      </c>
      <c r="T179" s="18">
        <f>IF(Q179="PS",H179,0)</f>
        <v>0</v>
      </c>
      <c r="U179" s="18">
        <f>IF(Q179="PS",I179-P179,0)</f>
        <v>0</v>
      </c>
      <c r="V179" s="18">
        <f>IF(Q179="MP",H179,0)</f>
        <v>0</v>
      </c>
      <c r="W179" s="18">
        <f>IF(Q179="MP",I179-P179,0)</f>
        <v>0</v>
      </c>
      <c r="X179" s="18">
        <f>IF(Q179="OM",H179,0)</f>
        <v>0</v>
      </c>
      <c r="Y179" s="11" t="s">
        <v>282</v>
      </c>
      <c r="AI179" s="18">
        <f>SUM(Z180:Z182)</f>
        <v>0</v>
      </c>
      <c r="AJ179" s="18">
        <f>SUM(AA180:AA182)</f>
        <v>0</v>
      </c>
      <c r="AK179" s="18">
        <f>SUM(AB180:AB182)</f>
        <v>0</v>
      </c>
    </row>
    <row r="180" spans="1:43" ht="12.75">
      <c r="A180" s="180" t="s">
        <v>81</v>
      </c>
      <c r="B180" s="180" t="s">
        <v>282</v>
      </c>
      <c r="C180" s="180" t="s">
        <v>365</v>
      </c>
      <c r="D180" s="180" t="s">
        <v>693</v>
      </c>
      <c r="E180" s="180" t="s">
        <v>954</v>
      </c>
      <c r="F180" s="181">
        <v>100</v>
      </c>
      <c r="G180" s="181"/>
      <c r="H180" s="181">
        <f>F180*AE180</f>
        <v>0</v>
      </c>
      <c r="I180" s="181">
        <f>J180-H180</f>
        <v>0</v>
      </c>
      <c r="J180" s="181">
        <f>F180*G180</f>
        <v>0</v>
      </c>
      <c r="K180" s="181">
        <v>0.00044</v>
      </c>
      <c r="L180" s="181">
        <f>F180*K180</f>
        <v>0.044000000000000004</v>
      </c>
      <c r="M180" s="182" t="s">
        <v>985</v>
      </c>
      <c r="N180" s="12" t="s">
        <v>7</v>
      </c>
      <c r="O180" s="6">
        <f>IF(N180="5",I180,0)</f>
        <v>0</v>
      </c>
      <c r="Z180" s="6">
        <f>IF(AD180=0,J180,0)</f>
        <v>0</v>
      </c>
      <c r="AA180" s="6">
        <f>IF(AD180=15,J180,0)</f>
        <v>0</v>
      </c>
      <c r="AB180" s="6">
        <f>IF(AD180=21,J180,0)</f>
        <v>0</v>
      </c>
      <c r="AD180" s="16">
        <v>21</v>
      </c>
      <c r="AE180" s="16">
        <f>G180*0.736764705882353</f>
        <v>0</v>
      </c>
      <c r="AF180" s="16">
        <f>G180*(1-0.736764705882353)</f>
        <v>0</v>
      </c>
      <c r="AM180" s="16">
        <f>F180*AE180</f>
        <v>0</v>
      </c>
      <c r="AN180" s="16">
        <f>F180*AF180</f>
        <v>0</v>
      </c>
      <c r="AO180" s="17" t="s">
        <v>1015</v>
      </c>
      <c r="AP180" s="17" t="s">
        <v>1036</v>
      </c>
      <c r="AQ180" s="11" t="s">
        <v>1039</v>
      </c>
    </row>
    <row r="181" spans="1:13" ht="12.75">
      <c r="A181" s="183"/>
      <c r="B181" s="183"/>
      <c r="C181" s="183"/>
      <c r="D181" s="184" t="s">
        <v>106</v>
      </c>
      <c r="E181" s="183"/>
      <c r="F181" s="185">
        <v>100</v>
      </c>
      <c r="G181" s="183"/>
      <c r="H181" s="183"/>
      <c r="I181" s="183"/>
      <c r="J181" s="183"/>
      <c r="K181" s="183"/>
      <c r="L181" s="183"/>
      <c r="M181" s="183"/>
    </row>
    <row r="182" spans="1:43" ht="12.75">
      <c r="A182" s="180" t="s">
        <v>82</v>
      </c>
      <c r="B182" s="180" t="s">
        <v>282</v>
      </c>
      <c r="C182" s="180" t="s">
        <v>366</v>
      </c>
      <c r="D182" s="180" t="s">
        <v>694</v>
      </c>
      <c r="E182" s="180" t="s">
        <v>954</v>
      </c>
      <c r="F182" s="181">
        <v>85.4</v>
      </c>
      <c r="G182" s="181"/>
      <c r="H182" s="181">
        <f>F182*AE182</f>
        <v>0</v>
      </c>
      <c r="I182" s="181">
        <f>J182-H182</f>
        <v>0</v>
      </c>
      <c r="J182" s="181">
        <f>F182*G182</f>
        <v>0</v>
      </c>
      <c r="K182" s="181">
        <v>0.21675</v>
      </c>
      <c r="L182" s="181">
        <f>F182*K182</f>
        <v>18.510450000000002</v>
      </c>
      <c r="M182" s="182" t="s">
        <v>985</v>
      </c>
      <c r="N182" s="12" t="s">
        <v>7</v>
      </c>
      <c r="O182" s="6">
        <f>IF(N182="5",I182,0)</f>
        <v>0</v>
      </c>
      <c r="Z182" s="6">
        <f>IF(AD182=0,J182,0)</f>
        <v>0</v>
      </c>
      <c r="AA182" s="6">
        <f>IF(AD182=15,J182,0)</f>
        <v>0</v>
      </c>
      <c r="AB182" s="6">
        <f>IF(AD182=21,J182,0)</f>
        <v>0</v>
      </c>
      <c r="AD182" s="16">
        <v>21</v>
      </c>
      <c r="AE182" s="16">
        <f>G182*0.802592741268979</f>
        <v>0</v>
      </c>
      <c r="AF182" s="16">
        <f>G182*(1-0.802592741268979)</f>
        <v>0</v>
      </c>
      <c r="AM182" s="16">
        <f>F182*AE182</f>
        <v>0</v>
      </c>
      <c r="AN182" s="16">
        <f>F182*AF182</f>
        <v>0</v>
      </c>
      <c r="AO182" s="17" t="s">
        <v>1015</v>
      </c>
      <c r="AP182" s="17" t="s">
        <v>1036</v>
      </c>
      <c r="AQ182" s="11" t="s">
        <v>1039</v>
      </c>
    </row>
    <row r="183" spans="1:13" ht="12.75">
      <c r="A183" s="183"/>
      <c r="B183" s="183"/>
      <c r="C183" s="183"/>
      <c r="D183" s="184" t="s">
        <v>695</v>
      </c>
      <c r="E183" s="183"/>
      <c r="F183" s="185">
        <v>85.4</v>
      </c>
      <c r="G183" s="183"/>
      <c r="H183" s="183"/>
      <c r="I183" s="183"/>
      <c r="J183" s="183"/>
      <c r="K183" s="183"/>
      <c r="L183" s="183"/>
      <c r="M183" s="183"/>
    </row>
    <row r="184" spans="1:37" ht="12.75">
      <c r="A184" s="174"/>
      <c r="B184" s="175" t="s">
        <v>282</v>
      </c>
      <c r="C184" s="175" t="s">
        <v>101</v>
      </c>
      <c r="D184" s="176" t="s">
        <v>696</v>
      </c>
      <c r="E184" s="177"/>
      <c r="F184" s="177"/>
      <c r="G184" s="177"/>
      <c r="H184" s="178">
        <f>SUM(H185:H202)</f>
        <v>0</v>
      </c>
      <c r="I184" s="178">
        <f>SUM(I185:I202)</f>
        <v>0</v>
      </c>
      <c r="J184" s="178">
        <f>H184+I184</f>
        <v>0</v>
      </c>
      <c r="K184" s="179"/>
      <c r="L184" s="178">
        <f>SUM(L185:L202)</f>
        <v>7.7297660000000015</v>
      </c>
      <c r="M184" s="179"/>
      <c r="P184" s="18">
        <f>IF(Q184="PR",J184,SUM(O185:O202))</f>
        <v>0</v>
      </c>
      <c r="Q184" s="11" t="s">
        <v>992</v>
      </c>
      <c r="R184" s="18">
        <f>IF(Q184="HS",H184,0)</f>
        <v>0</v>
      </c>
      <c r="S184" s="18">
        <f>IF(Q184="HS",I184-P184,0)</f>
        <v>0</v>
      </c>
      <c r="T184" s="18">
        <f>IF(Q184="PS",H184,0)</f>
        <v>0</v>
      </c>
      <c r="U184" s="18">
        <f>IF(Q184="PS",I184-P184,0)</f>
        <v>0</v>
      </c>
      <c r="V184" s="18">
        <f>IF(Q184="MP",H184,0)</f>
        <v>0</v>
      </c>
      <c r="W184" s="18">
        <f>IF(Q184="MP",I184-P184,0)</f>
        <v>0</v>
      </c>
      <c r="X184" s="18">
        <f>IF(Q184="OM",H184,0)</f>
        <v>0</v>
      </c>
      <c r="Y184" s="11" t="s">
        <v>282</v>
      </c>
      <c r="AI184" s="18">
        <f>SUM(Z185:Z202)</f>
        <v>0</v>
      </c>
      <c r="AJ184" s="18">
        <f>SUM(AA185:AA202)</f>
        <v>0</v>
      </c>
      <c r="AK184" s="18">
        <f>SUM(AB185:AB202)</f>
        <v>0</v>
      </c>
    </row>
    <row r="185" spans="1:43" ht="12.75">
      <c r="A185" s="180" t="s">
        <v>83</v>
      </c>
      <c r="B185" s="180" t="s">
        <v>282</v>
      </c>
      <c r="C185" s="180" t="s">
        <v>367</v>
      </c>
      <c r="D185" s="180" t="s">
        <v>697</v>
      </c>
      <c r="E185" s="180" t="s">
        <v>954</v>
      </c>
      <c r="F185" s="181">
        <v>128</v>
      </c>
      <c r="G185" s="181"/>
      <c r="H185" s="181">
        <f>F185*AE185</f>
        <v>0</v>
      </c>
      <c r="I185" s="181">
        <f>J185-H185</f>
        <v>0</v>
      </c>
      <c r="J185" s="181">
        <f>F185*G185</f>
        <v>0</v>
      </c>
      <c r="K185" s="181">
        <v>0.05029</v>
      </c>
      <c r="L185" s="181">
        <f>F185*K185</f>
        <v>6.43712</v>
      </c>
      <c r="M185" s="182" t="s">
        <v>985</v>
      </c>
      <c r="N185" s="12" t="s">
        <v>7</v>
      </c>
      <c r="O185" s="6">
        <f>IF(N185="5",I185,0)</f>
        <v>0</v>
      </c>
      <c r="Z185" s="6">
        <f>IF(AD185=0,J185,0)</f>
        <v>0</v>
      </c>
      <c r="AA185" s="6">
        <f>IF(AD185=15,J185,0)</f>
        <v>0</v>
      </c>
      <c r="AB185" s="6">
        <f>IF(AD185=21,J185,0)</f>
        <v>0</v>
      </c>
      <c r="AD185" s="16">
        <v>21</v>
      </c>
      <c r="AE185" s="16">
        <f>G185*0.426004767743852</f>
        <v>0</v>
      </c>
      <c r="AF185" s="16">
        <f>G185*(1-0.426004767743852)</f>
        <v>0</v>
      </c>
      <c r="AM185" s="16">
        <f>F185*AE185</f>
        <v>0</v>
      </c>
      <c r="AN185" s="16">
        <f>F185*AF185</f>
        <v>0</v>
      </c>
      <c r="AO185" s="17" t="s">
        <v>1016</v>
      </c>
      <c r="AP185" s="17" t="s">
        <v>1036</v>
      </c>
      <c r="AQ185" s="11" t="s">
        <v>1039</v>
      </c>
    </row>
    <row r="186" spans="1:13" ht="12.75">
      <c r="A186" s="183"/>
      <c r="B186" s="183"/>
      <c r="C186" s="183"/>
      <c r="D186" s="184" t="s">
        <v>134</v>
      </c>
      <c r="E186" s="183"/>
      <c r="F186" s="185">
        <v>128</v>
      </c>
      <c r="G186" s="183"/>
      <c r="H186" s="183"/>
      <c r="I186" s="183"/>
      <c r="J186" s="183"/>
      <c r="K186" s="183"/>
      <c r="L186" s="183"/>
      <c r="M186" s="183"/>
    </row>
    <row r="187" spans="1:43" ht="12.75">
      <c r="A187" s="180" t="s">
        <v>84</v>
      </c>
      <c r="B187" s="180" t="s">
        <v>282</v>
      </c>
      <c r="C187" s="180" t="s">
        <v>368</v>
      </c>
      <c r="D187" s="180" t="s">
        <v>698</v>
      </c>
      <c r="E187" s="180" t="s">
        <v>957</v>
      </c>
      <c r="F187" s="181">
        <v>7</v>
      </c>
      <c r="G187" s="181"/>
      <c r="H187" s="181">
        <f>F187*AE187</f>
        <v>0</v>
      </c>
      <c r="I187" s="181">
        <f>J187-H187</f>
        <v>0</v>
      </c>
      <c r="J187" s="181">
        <f>F187*G187</f>
        <v>0</v>
      </c>
      <c r="K187" s="181">
        <v>0.01</v>
      </c>
      <c r="L187" s="181">
        <f>F187*K187</f>
        <v>0.07</v>
      </c>
      <c r="M187" s="182" t="s">
        <v>985</v>
      </c>
      <c r="N187" s="12" t="s">
        <v>7</v>
      </c>
      <c r="O187" s="6">
        <f>IF(N187="5",I187,0)</f>
        <v>0</v>
      </c>
      <c r="Z187" s="6">
        <f>IF(AD187=0,J187,0)</f>
        <v>0</v>
      </c>
      <c r="AA187" s="6">
        <f>IF(AD187=15,J187,0)</f>
        <v>0</v>
      </c>
      <c r="AB187" s="6">
        <f>IF(AD187=21,J187,0)</f>
        <v>0</v>
      </c>
      <c r="AD187" s="16">
        <v>21</v>
      </c>
      <c r="AE187" s="16">
        <f>G187*0.90330507975749</f>
        <v>0</v>
      </c>
      <c r="AF187" s="16">
        <f>G187*(1-0.90330507975749)</f>
        <v>0</v>
      </c>
      <c r="AM187" s="16">
        <f>F187*AE187</f>
        <v>0</v>
      </c>
      <c r="AN187" s="16">
        <f>F187*AF187</f>
        <v>0</v>
      </c>
      <c r="AO187" s="17" t="s">
        <v>1016</v>
      </c>
      <c r="AP187" s="17" t="s">
        <v>1036</v>
      </c>
      <c r="AQ187" s="11" t="s">
        <v>1039</v>
      </c>
    </row>
    <row r="188" spans="1:13" ht="12.75">
      <c r="A188" s="183"/>
      <c r="B188" s="183"/>
      <c r="C188" s="183"/>
      <c r="D188" s="184" t="s">
        <v>13</v>
      </c>
      <c r="E188" s="183"/>
      <c r="F188" s="185">
        <v>7</v>
      </c>
      <c r="G188" s="183"/>
      <c r="H188" s="183"/>
      <c r="I188" s="183"/>
      <c r="J188" s="183"/>
      <c r="K188" s="183"/>
      <c r="L188" s="183"/>
      <c r="M188" s="183"/>
    </row>
    <row r="189" spans="1:43" ht="12.75">
      <c r="A189" s="180" t="s">
        <v>85</v>
      </c>
      <c r="B189" s="180" t="s">
        <v>282</v>
      </c>
      <c r="C189" s="180" t="s">
        <v>369</v>
      </c>
      <c r="D189" s="180" t="s">
        <v>699</v>
      </c>
      <c r="E189" s="180" t="s">
        <v>952</v>
      </c>
      <c r="F189" s="181">
        <v>915.85</v>
      </c>
      <c r="G189" s="181"/>
      <c r="H189" s="181">
        <f>F189*AE189</f>
        <v>0</v>
      </c>
      <c r="I189" s="181">
        <f>J189-H189</f>
        <v>0</v>
      </c>
      <c r="J189" s="181">
        <f>F189*G189</f>
        <v>0</v>
      </c>
      <c r="K189" s="181">
        <v>4E-05</v>
      </c>
      <c r="L189" s="181">
        <f>F189*K189</f>
        <v>0.03663400000000001</v>
      </c>
      <c r="M189" s="182" t="s">
        <v>985</v>
      </c>
      <c r="N189" s="12" t="s">
        <v>7</v>
      </c>
      <c r="O189" s="6">
        <f>IF(N189="5",I189,0)</f>
        <v>0</v>
      </c>
      <c r="Z189" s="6">
        <f>IF(AD189=0,J189,0)</f>
        <v>0</v>
      </c>
      <c r="AA189" s="6">
        <f>IF(AD189=15,J189,0)</f>
        <v>0</v>
      </c>
      <c r="AB189" s="6">
        <f>IF(AD189=21,J189,0)</f>
        <v>0</v>
      </c>
      <c r="AD189" s="16">
        <v>21</v>
      </c>
      <c r="AE189" s="16">
        <f>G189*0.021141975308642</f>
        <v>0</v>
      </c>
      <c r="AF189" s="16">
        <f>G189*(1-0.021141975308642)</f>
        <v>0</v>
      </c>
      <c r="AM189" s="16">
        <f>F189*AE189</f>
        <v>0</v>
      </c>
      <c r="AN189" s="16">
        <f>F189*AF189</f>
        <v>0</v>
      </c>
      <c r="AO189" s="17" t="s">
        <v>1016</v>
      </c>
      <c r="AP189" s="17" t="s">
        <v>1036</v>
      </c>
      <c r="AQ189" s="11" t="s">
        <v>1039</v>
      </c>
    </row>
    <row r="190" spans="1:13" ht="12.75">
      <c r="A190" s="183"/>
      <c r="B190" s="183"/>
      <c r="C190" s="183"/>
      <c r="D190" s="184" t="s">
        <v>700</v>
      </c>
      <c r="E190" s="183"/>
      <c r="F190" s="185">
        <v>915.85</v>
      </c>
      <c r="G190" s="183"/>
      <c r="H190" s="183"/>
      <c r="I190" s="183"/>
      <c r="J190" s="183"/>
      <c r="K190" s="183"/>
      <c r="L190" s="183"/>
      <c r="M190" s="183"/>
    </row>
    <row r="191" spans="1:43" ht="12.75">
      <c r="A191" s="180" t="s">
        <v>86</v>
      </c>
      <c r="B191" s="180" t="s">
        <v>282</v>
      </c>
      <c r="C191" s="180" t="s">
        <v>370</v>
      </c>
      <c r="D191" s="180" t="s">
        <v>701</v>
      </c>
      <c r="E191" s="180" t="s">
        <v>957</v>
      </c>
      <c r="F191" s="181">
        <v>10</v>
      </c>
      <c r="G191" s="181"/>
      <c r="H191" s="181">
        <f>F191*AE191</f>
        <v>0</v>
      </c>
      <c r="I191" s="181">
        <f>J191-H191</f>
        <v>0</v>
      </c>
      <c r="J191" s="181">
        <f>F191*G191</f>
        <v>0</v>
      </c>
      <c r="K191" s="181">
        <v>0.00021</v>
      </c>
      <c r="L191" s="181">
        <f>F191*K191</f>
        <v>0.0021000000000000003</v>
      </c>
      <c r="M191" s="182" t="s">
        <v>985</v>
      </c>
      <c r="N191" s="12" t="s">
        <v>7</v>
      </c>
      <c r="O191" s="6">
        <f>IF(N191="5",I191,0)</f>
        <v>0</v>
      </c>
      <c r="Z191" s="6">
        <f>IF(AD191=0,J191,0)</f>
        <v>0</v>
      </c>
      <c r="AA191" s="6">
        <f>IF(AD191=15,J191,0)</f>
        <v>0</v>
      </c>
      <c r="AB191" s="6">
        <f>IF(AD191=21,J191,0)</f>
        <v>0</v>
      </c>
      <c r="AD191" s="16">
        <v>21</v>
      </c>
      <c r="AE191" s="16">
        <f>G191*0.44050139275766</f>
        <v>0</v>
      </c>
      <c r="AF191" s="16">
        <f>G191*(1-0.44050139275766)</f>
        <v>0</v>
      </c>
      <c r="AM191" s="16">
        <f>F191*AE191</f>
        <v>0</v>
      </c>
      <c r="AN191" s="16">
        <f>F191*AF191</f>
        <v>0</v>
      </c>
      <c r="AO191" s="17" t="s">
        <v>1016</v>
      </c>
      <c r="AP191" s="17" t="s">
        <v>1036</v>
      </c>
      <c r="AQ191" s="11" t="s">
        <v>1039</v>
      </c>
    </row>
    <row r="192" spans="1:13" ht="12.75">
      <c r="A192" s="183"/>
      <c r="B192" s="183"/>
      <c r="C192" s="183"/>
      <c r="D192" s="184" t="s">
        <v>16</v>
      </c>
      <c r="E192" s="183"/>
      <c r="F192" s="185">
        <v>10</v>
      </c>
      <c r="G192" s="183"/>
      <c r="H192" s="183"/>
      <c r="I192" s="183"/>
      <c r="J192" s="183"/>
      <c r="K192" s="183"/>
      <c r="L192" s="183"/>
      <c r="M192" s="183"/>
    </row>
    <row r="193" spans="1:43" ht="12.75">
      <c r="A193" s="192" t="s">
        <v>87</v>
      </c>
      <c r="B193" s="192" t="s">
        <v>282</v>
      </c>
      <c r="C193" s="192" t="s">
        <v>371</v>
      </c>
      <c r="D193" s="192" t="s">
        <v>702</v>
      </c>
      <c r="E193" s="192" t="s">
        <v>957</v>
      </c>
      <c r="F193" s="193">
        <v>10</v>
      </c>
      <c r="G193" s="193"/>
      <c r="H193" s="193">
        <f>F193*AE193</f>
        <v>0</v>
      </c>
      <c r="I193" s="193">
        <f>J193-H193</f>
        <v>0</v>
      </c>
      <c r="J193" s="193">
        <f>F193*G193</f>
        <v>0</v>
      </c>
      <c r="K193" s="193">
        <v>0.0002</v>
      </c>
      <c r="L193" s="193">
        <f>F193*K193</f>
        <v>0.002</v>
      </c>
      <c r="M193" s="194" t="s">
        <v>985</v>
      </c>
      <c r="N193" s="13" t="s">
        <v>989</v>
      </c>
      <c r="O193" s="7">
        <f>IF(N193="5",I193,0)</f>
        <v>0</v>
      </c>
      <c r="Z193" s="7">
        <f>IF(AD193=0,J193,0)</f>
        <v>0</v>
      </c>
      <c r="AA193" s="7">
        <f>IF(AD193=15,J193,0)</f>
        <v>0</v>
      </c>
      <c r="AB193" s="7">
        <f>IF(AD193=21,J193,0)</f>
        <v>0</v>
      </c>
      <c r="AD193" s="16">
        <v>21</v>
      </c>
      <c r="AE193" s="16">
        <f>G193*1</f>
        <v>0</v>
      </c>
      <c r="AF193" s="16">
        <f>G193*(1-1)</f>
        <v>0</v>
      </c>
      <c r="AM193" s="16">
        <f>F193*AE193</f>
        <v>0</v>
      </c>
      <c r="AN193" s="16">
        <f>F193*AF193</f>
        <v>0</v>
      </c>
      <c r="AO193" s="17" t="s">
        <v>1016</v>
      </c>
      <c r="AP193" s="17" t="s">
        <v>1036</v>
      </c>
      <c r="AQ193" s="11" t="s">
        <v>1039</v>
      </c>
    </row>
    <row r="194" spans="1:13" ht="12.75">
      <c r="A194" s="183"/>
      <c r="B194" s="183"/>
      <c r="C194" s="183"/>
      <c r="D194" s="184" t="s">
        <v>16</v>
      </c>
      <c r="E194" s="183"/>
      <c r="F194" s="185">
        <v>10</v>
      </c>
      <c r="G194" s="183"/>
      <c r="H194" s="183"/>
      <c r="I194" s="183"/>
      <c r="J194" s="183"/>
      <c r="K194" s="183"/>
      <c r="L194" s="183"/>
      <c r="M194" s="183"/>
    </row>
    <row r="195" spans="1:43" ht="12.75">
      <c r="A195" s="180" t="s">
        <v>88</v>
      </c>
      <c r="B195" s="180" t="s">
        <v>282</v>
      </c>
      <c r="C195" s="180" t="s">
        <v>372</v>
      </c>
      <c r="D195" s="180" t="s">
        <v>703</v>
      </c>
      <c r="E195" s="180" t="s">
        <v>957</v>
      </c>
      <c r="F195" s="181">
        <v>203.4</v>
      </c>
      <c r="G195" s="181"/>
      <c r="H195" s="181">
        <f>F195*AE195</f>
        <v>0</v>
      </c>
      <c r="I195" s="181">
        <f>J195-H195</f>
        <v>0</v>
      </c>
      <c r="J195" s="181">
        <f>F195*G195</f>
        <v>0</v>
      </c>
      <c r="K195" s="181">
        <v>0.00468</v>
      </c>
      <c r="L195" s="181">
        <f>F195*K195</f>
        <v>0.9519120000000001</v>
      </c>
      <c r="M195" s="182" t="s">
        <v>985</v>
      </c>
      <c r="N195" s="12" t="s">
        <v>7</v>
      </c>
      <c r="O195" s="6">
        <f>IF(N195="5",I195,0)</f>
        <v>0</v>
      </c>
      <c r="Z195" s="6">
        <f>IF(AD195=0,J195,0)</f>
        <v>0</v>
      </c>
      <c r="AA195" s="6">
        <f>IF(AD195=15,J195,0)</f>
        <v>0</v>
      </c>
      <c r="AB195" s="6">
        <f>IF(AD195=21,J195,0)</f>
        <v>0</v>
      </c>
      <c r="AD195" s="16">
        <v>21</v>
      </c>
      <c r="AE195" s="16">
        <f>G195*0.066036607249671</f>
        <v>0</v>
      </c>
      <c r="AF195" s="16">
        <f>G195*(1-0.066036607249671)</f>
        <v>0</v>
      </c>
      <c r="AM195" s="16">
        <f>F195*AE195</f>
        <v>0</v>
      </c>
      <c r="AN195" s="16">
        <f>F195*AF195</f>
        <v>0</v>
      </c>
      <c r="AO195" s="17" t="s">
        <v>1016</v>
      </c>
      <c r="AP195" s="17" t="s">
        <v>1036</v>
      </c>
      <c r="AQ195" s="11" t="s">
        <v>1039</v>
      </c>
    </row>
    <row r="196" spans="1:13" ht="12.75">
      <c r="A196" s="183"/>
      <c r="B196" s="183"/>
      <c r="C196" s="183"/>
      <c r="D196" s="184" t="s">
        <v>704</v>
      </c>
      <c r="E196" s="183"/>
      <c r="F196" s="185">
        <v>203.4</v>
      </c>
      <c r="G196" s="183"/>
      <c r="H196" s="183"/>
      <c r="I196" s="183"/>
      <c r="J196" s="183"/>
      <c r="K196" s="183"/>
      <c r="L196" s="183"/>
      <c r="M196" s="183"/>
    </row>
    <row r="197" spans="1:43" ht="12.75">
      <c r="A197" s="192" t="s">
        <v>89</v>
      </c>
      <c r="B197" s="192" t="s">
        <v>282</v>
      </c>
      <c r="C197" s="192" t="s">
        <v>373</v>
      </c>
      <c r="D197" s="192" t="s">
        <v>705</v>
      </c>
      <c r="E197" s="192" t="s">
        <v>955</v>
      </c>
      <c r="F197" s="193">
        <v>0.23</v>
      </c>
      <c r="G197" s="193"/>
      <c r="H197" s="193">
        <f>F197*AE197</f>
        <v>0</v>
      </c>
      <c r="I197" s="193">
        <f>J197-H197</f>
        <v>0</v>
      </c>
      <c r="J197" s="193">
        <f>F197*G197</f>
        <v>0</v>
      </c>
      <c r="K197" s="193">
        <v>1</v>
      </c>
      <c r="L197" s="193">
        <f>F197*K197</f>
        <v>0.23</v>
      </c>
      <c r="M197" s="194" t="s">
        <v>985</v>
      </c>
      <c r="N197" s="13" t="s">
        <v>989</v>
      </c>
      <c r="O197" s="7">
        <f>IF(N197="5",I197,0)</f>
        <v>0</v>
      </c>
      <c r="Z197" s="7">
        <f>IF(AD197=0,J197,0)</f>
        <v>0</v>
      </c>
      <c r="AA197" s="7">
        <f>IF(AD197=15,J197,0)</f>
        <v>0</v>
      </c>
      <c r="AB197" s="7">
        <f>IF(AD197=21,J197,0)</f>
        <v>0</v>
      </c>
      <c r="AD197" s="16">
        <v>21</v>
      </c>
      <c r="AE197" s="16">
        <f>G197*1</f>
        <v>0</v>
      </c>
      <c r="AF197" s="16">
        <f>G197*(1-1)</f>
        <v>0</v>
      </c>
      <c r="AM197" s="16">
        <f>F197*AE197</f>
        <v>0</v>
      </c>
      <c r="AN197" s="16">
        <f>F197*AF197</f>
        <v>0</v>
      </c>
      <c r="AO197" s="17" t="s">
        <v>1016</v>
      </c>
      <c r="AP197" s="17" t="s">
        <v>1036</v>
      </c>
      <c r="AQ197" s="11" t="s">
        <v>1039</v>
      </c>
    </row>
    <row r="198" spans="1:13" ht="12.75">
      <c r="A198" s="183"/>
      <c r="B198" s="183"/>
      <c r="C198" s="183"/>
      <c r="D198" s="184" t="s">
        <v>706</v>
      </c>
      <c r="E198" s="183"/>
      <c r="F198" s="185">
        <v>0.21</v>
      </c>
      <c r="G198" s="183"/>
      <c r="H198" s="183"/>
      <c r="I198" s="183"/>
      <c r="J198" s="183"/>
      <c r="K198" s="183"/>
      <c r="L198" s="183"/>
      <c r="M198" s="183"/>
    </row>
    <row r="199" spans="1:13" ht="12.75">
      <c r="A199" s="183"/>
      <c r="B199" s="183"/>
      <c r="C199" s="183"/>
      <c r="D199" s="184" t="s">
        <v>707</v>
      </c>
      <c r="E199" s="183"/>
      <c r="F199" s="185">
        <v>0.02</v>
      </c>
      <c r="G199" s="183"/>
      <c r="H199" s="183"/>
      <c r="I199" s="183"/>
      <c r="J199" s="183"/>
      <c r="K199" s="183"/>
      <c r="L199" s="183"/>
      <c r="M199" s="183"/>
    </row>
    <row r="200" spans="1:43" ht="12.75">
      <c r="A200" s="180" t="s">
        <v>90</v>
      </c>
      <c r="B200" s="180" t="s">
        <v>282</v>
      </c>
      <c r="C200" s="180" t="s">
        <v>374</v>
      </c>
      <c r="D200" s="180" t="s">
        <v>708</v>
      </c>
      <c r="E200" s="180" t="s">
        <v>952</v>
      </c>
      <c r="F200" s="181">
        <v>6.78</v>
      </c>
      <c r="G200" s="181"/>
      <c r="H200" s="181">
        <f>F200*AE200</f>
        <v>0</v>
      </c>
      <c r="I200" s="181">
        <f>J200-H200</f>
        <v>0</v>
      </c>
      <c r="J200" s="181">
        <f>F200*G200</f>
        <v>0</v>
      </c>
      <c r="K200" s="181">
        <v>0</v>
      </c>
      <c r="L200" s="181">
        <f>F200*K200</f>
        <v>0</v>
      </c>
      <c r="M200" s="182" t="s">
        <v>985</v>
      </c>
      <c r="N200" s="12" t="s">
        <v>8</v>
      </c>
      <c r="O200" s="6">
        <f>IF(N200="5",I200,0)</f>
        <v>0</v>
      </c>
      <c r="Z200" s="6">
        <f>IF(AD200=0,J200,0)</f>
        <v>0</v>
      </c>
      <c r="AA200" s="6">
        <f>IF(AD200=15,J200,0)</f>
        <v>0</v>
      </c>
      <c r="AB200" s="6">
        <f>IF(AD200=21,J200,0)</f>
        <v>0</v>
      </c>
      <c r="AD200" s="16">
        <v>21</v>
      </c>
      <c r="AE200" s="16">
        <f>G200*0</f>
        <v>0</v>
      </c>
      <c r="AF200" s="16">
        <f>G200*(1-0)</f>
        <v>0</v>
      </c>
      <c r="AM200" s="16">
        <f>F200*AE200</f>
        <v>0</v>
      </c>
      <c r="AN200" s="16">
        <f>F200*AF200</f>
        <v>0</v>
      </c>
      <c r="AO200" s="17" t="s">
        <v>1016</v>
      </c>
      <c r="AP200" s="17" t="s">
        <v>1036</v>
      </c>
      <c r="AQ200" s="11" t="s">
        <v>1039</v>
      </c>
    </row>
    <row r="201" spans="1:13" ht="12.75">
      <c r="A201" s="183"/>
      <c r="B201" s="183"/>
      <c r="C201" s="183"/>
      <c r="D201" s="184" t="s">
        <v>709</v>
      </c>
      <c r="E201" s="183"/>
      <c r="F201" s="185">
        <v>6.78</v>
      </c>
      <c r="G201" s="183"/>
      <c r="H201" s="183"/>
      <c r="I201" s="183"/>
      <c r="J201" s="183"/>
      <c r="K201" s="183"/>
      <c r="L201" s="183"/>
      <c r="M201" s="183"/>
    </row>
    <row r="202" spans="1:43" ht="12.75">
      <c r="A202" s="180" t="s">
        <v>91</v>
      </c>
      <c r="B202" s="180" t="s">
        <v>282</v>
      </c>
      <c r="C202" s="180" t="s">
        <v>375</v>
      </c>
      <c r="D202" s="180" t="s">
        <v>710</v>
      </c>
      <c r="E202" s="180" t="s">
        <v>955</v>
      </c>
      <c r="F202" s="181">
        <v>1931.86048</v>
      </c>
      <c r="G202" s="181"/>
      <c r="H202" s="181">
        <f>F202*AE202</f>
        <v>0</v>
      </c>
      <c r="I202" s="181">
        <f>J202-H202</f>
        <v>0</v>
      </c>
      <c r="J202" s="181">
        <f>F202*G202</f>
        <v>0</v>
      </c>
      <c r="K202" s="181">
        <v>0</v>
      </c>
      <c r="L202" s="181">
        <f>F202*K202</f>
        <v>0</v>
      </c>
      <c r="M202" s="182" t="s">
        <v>985</v>
      </c>
      <c r="N202" s="12" t="s">
        <v>11</v>
      </c>
      <c r="O202" s="6">
        <f>IF(N202="5",I202,0)</f>
        <v>0</v>
      </c>
      <c r="Z202" s="6">
        <f>IF(AD202=0,J202,0)</f>
        <v>0</v>
      </c>
      <c r="AA202" s="6">
        <f>IF(AD202=15,J202,0)</f>
        <v>0</v>
      </c>
      <c r="AB202" s="6">
        <f>IF(AD202=21,J202,0)</f>
        <v>0</v>
      </c>
      <c r="AD202" s="16">
        <v>21</v>
      </c>
      <c r="AE202" s="16">
        <f>G202*0</f>
        <v>0</v>
      </c>
      <c r="AF202" s="16">
        <f>G202*(1-0)</f>
        <v>0</v>
      </c>
      <c r="AM202" s="16">
        <f>F202*AE202</f>
        <v>0</v>
      </c>
      <c r="AN202" s="16">
        <f>F202*AF202</f>
        <v>0</v>
      </c>
      <c r="AO202" s="17" t="s">
        <v>1016</v>
      </c>
      <c r="AP202" s="17" t="s">
        <v>1036</v>
      </c>
      <c r="AQ202" s="11" t="s">
        <v>1039</v>
      </c>
    </row>
    <row r="203" spans="1:37" ht="12.75">
      <c r="A203" s="174"/>
      <c r="B203" s="175" t="s">
        <v>282</v>
      </c>
      <c r="C203" s="175" t="s">
        <v>376</v>
      </c>
      <c r="D203" s="176" t="s">
        <v>711</v>
      </c>
      <c r="E203" s="177"/>
      <c r="F203" s="177"/>
      <c r="G203" s="177"/>
      <c r="H203" s="178">
        <f>SUM(H204:H369)</f>
        <v>0</v>
      </c>
      <c r="I203" s="178">
        <f>SUM(I204:I369)</f>
        <v>0</v>
      </c>
      <c r="J203" s="178">
        <f>H203+I203</f>
        <v>0</v>
      </c>
      <c r="K203" s="179"/>
      <c r="L203" s="178">
        <f>SUM(L204:L369)</f>
        <v>3.0047938000000003</v>
      </c>
      <c r="M203" s="179"/>
      <c r="P203" s="18">
        <f>IF(Q203="PR",J203,SUM(O204:O369))</f>
        <v>0</v>
      </c>
      <c r="Q203" s="11" t="s">
        <v>994</v>
      </c>
      <c r="R203" s="18">
        <f>IF(Q203="HS",H203,0)</f>
        <v>0</v>
      </c>
      <c r="S203" s="18">
        <f>IF(Q203="HS",I203-P203,0)</f>
        <v>0</v>
      </c>
      <c r="T203" s="18">
        <f>IF(Q203="PS",H203,0)</f>
        <v>0</v>
      </c>
      <c r="U203" s="18">
        <f>IF(Q203="PS",I203-P203,0)</f>
        <v>0</v>
      </c>
      <c r="V203" s="18">
        <f>IF(Q203="MP",H203,0)</f>
        <v>0</v>
      </c>
      <c r="W203" s="18">
        <f>IF(Q203="MP",I203-P203,0)</f>
        <v>0</v>
      </c>
      <c r="X203" s="18">
        <f>IF(Q203="OM",H203,0)</f>
        <v>0</v>
      </c>
      <c r="Y203" s="11" t="s">
        <v>282</v>
      </c>
      <c r="AI203" s="18">
        <f>SUM(Z204:Z369)</f>
        <v>0</v>
      </c>
      <c r="AJ203" s="18">
        <f>SUM(AA204:AA369)</f>
        <v>0</v>
      </c>
      <c r="AK203" s="18">
        <f>SUM(AB204:AB369)</f>
        <v>0</v>
      </c>
    </row>
    <row r="204" spans="1:43" ht="12.75">
      <c r="A204" s="180" t="s">
        <v>92</v>
      </c>
      <c r="B204" s="180" t="s">
        <v>282</v>
      </c>
      <c r="C204" s="180" t="s">
        <v>377</v>
      </c>
      <c r="D204" s="180" t="s">
        <v>712</v>
      </c>
      <c r="E204" s="180" t="s">
        <v>957</v>
      </c>
      <c r="F204" s="181">
        <v>1</v>
      </c>
      <c r="G204" s="181"/>
      <c r="H204" s="181">
        <f>F204*AE204</f>
        <v>0</v>
      </c>
      <c r="I204" s="181">
        <f>J204-H204</f>
        <v>0</v>
      </c>
      <c r="J204" s="181">
        <f>F204*G204</f>
        <v>0</v>
      </c>
      <c r="K204" s="181">
        <v>0</v>
      </c>
      <c r="L204" s="181">
        <f>F204*K204</f>
        <v>0</v>
      </c>
      <c r="M204" s="182" t="s">
        <v>985</v>
      </c>
      <c r="N204" s="12" t="s">
        <v>8</v>
      </c>
      <c r="O204" s="6">
        <f>IF(N204="5",I204,0)</f>
        <v>0</v>
      </c>
      <c r="Z204" s="6">
        <f>IF(AD204=0,J204,0)</f>
        <v>0</v>
      </c>
      <c r="AA204" s="6">
        <f>IF(AD204=15,J204,0)</f>
        <v>0</v>
      </c>
      <c r="AB204" s="6">
        <f>IF(AD204=21,J204,0)</f>
        <v>0</v>
      </c>
      <c r="AD204" s="16">
        <v>21</v>
      </c>
      <c r="AE204" s="16">
        <f>G204*0.998011673401321</f>
        <v>0</v>
      </c>
      <c r="AF204" s="16">
        <f>G204*(1-0.998011673401321)</f>
        <v>0</v>
      </c>
      <c r="AM204" s="16">
        <f>F204*AE204</f>
        <v>0</v>
      </c>
      <c r="AN204" s="16">
        <f>F204*AF204</f>
        <v>0</v>
      </c>
      <c r="AO204" s="17" t="s">
        <v>1017</v>
      </c>
      <c r="AP204" s="17" t="s">
        <v>1036</v>
      </c>
      <c r="AQ204" s="11" t="s">
        <v>1039</v>
      </c>
    </row>
    <row r="205" spans="1:13" ht="12.75">
      <c r="A205" s="183"/>
      <c r="B205" s="183"/>
      <c r="C205" s="183"/>
      <c r="D205" s="184" t="s">
        <v>7</v>
      </c>
      <c r="E205" s="183"/>
      <c r="F205" s="185">
        <v>1</v>
      </c>
      <c r="G205" s="183"/>
      <c r="H205" s="183"/>
      <c r="I205" s="183"/>
      <c r="J205" s="183"/>
      <c r="K205" s="183"/>
      <c r="L205" s="183"/>
      <c r="M205" s="183"/>
    </row>
    <row r="206" spans="1:43" ht="12.75">
      <c r="A206" s="192" t="s">
        <v>93</v>
      </c>
      <c r="B206" s="192" t="s">
        <v>282</v>
      </c>
      <c r="C206" s="192" t="s">
        <v>378</v>
      </c>
      <c r="D206" s="192" t="s">
        <v>713</v>
      </c>
      <c r="E206" s="192" t="s">
        <v>957</v>
      </c>
      <c r="F206" s="193">
        <v>5</v>
      </c>
      <c r="G206" s="193"/>
      <c r="H206" s="193">
        <f>F206*AE206</f>
        <v>0</v>
      </c>
      <c r="I206" s="193">
        <f>J206-H206</f>
        <v>0</v>
      </c>
      <c r="J206" s="193">
        <f>F206*G206</f>
        <v>0</v>
      </c>
      <c r="K206" s="193">
        <v>0.14</v>
      </c>
      <c r="L206" s="193">
        <f>F206*K206</f>
        <v>0.7000000000000001</v>
      </c>
      <c r="M206" s="194" t="s">
        <v>985</v>
      </c>
      <c r="N206" s="13" t="s">
        <v>989</v>
      </c>
      <c r="O206" s="7">
        <f>IF(N206="5",I206,0)</f>
        <v>0</v>
      </c>
      <c r="Z206" s="7">
        <f>IF(AD206=0,J206,0)</f>
        <v>0</v>
      </c>
      <c r="AA206" s="7">
        <f>IF(AD206=15,J206,0)</f>
        <v>0</v>
      </c>
      <c r="AB206" s="7">
        <f>IF(AD206=21,J206,0)</f>
        <v>0</v>
      </c>
      <c r="AD206" s="16">
        <v>21</v>
      </c>
      <c r="AE206" s="16">
        <f>G206*1</f>
        <v>0</v>
      </c>
      <c r="AF206" s="16">
        <f>G206*(1-1)</f>
        <v>0</v>
      </c>
      <c r="AM206" s="16">
        <f>F206*AE206</f>
        <v>0</v>
      </c>
      <c r="AN206" s="16">
        <f>F206*AF206</f>
        <v>0</v>
      </c>
      <c r="AO206" s="17" t="s">
        <v>1017</v>
      </c>
      <c r="AP206" s="17" t="s">
        <v>1036</v>
      </c>
      <c r="AQ206" s="11" t="s">
        <v>1039</v>
      </c>
    </row>
    <row r="207" spans="1:13" ht="12.75">
      <c r="A207" s="183"/>
      <c r="B207" s="183"/>
      <c r="C207" s="183"/>
      <c r="D207" s="184" t="s">
        <v>11</v>
      </c>
      <c r="E207" s="183"/>
      <c r="F207" s="185">
        <v>5</v>
      </c>
      <c r="G207" s="183"/>
      <c r="H207" s="183"/>
      <c r="I207" s="183"/>
      <c r="J207" s="183"/>
      <c r="K207" s="183"/>
      <c r="L207" s="183"/>
      <c r="M207" s="183"/>
    </row>
    <row r="208" spans="1:43" ht="12.75">
      <c r="A208" s="180" t="s">
        <v>94</v>
      </c>
      <c r="B208" s="180" t="s">
        <v>282</v>
      </c>
      <c r="C208" s="180" t="s">
        <v>379</v>
      </c>
      <c r="D208" s="180" t="s">
        <v>714</v>
      </c>
      <c r="E208" s="180" t="s">
        <v>957</v>
      </c>
      <c r="F208" s="181">
        <v>1</v>
      </c>
      <c r="G208" s="181"/>
      <c r="H208" s="181">
        <f>F208*AE208</f>
        <v>0</v>
      </c>
      <c r="I208" s="181">
        <f>J208-H208</f>
        <v>0</v>
      </c>
      <c r="J208" s="181">
        <f>F208*G208</f>
        <v>0</v>
      </c>
      <c r="K208" s="181">
        <v>0</v>
      </c>
      <c r="L208" s="181">
        <f>F208*K208</f>
        <v>0</v>
      </c>
      <c r="M208" s="182" t="s">
        <v>985</v>
      </c>
      <c r="N208" s="12" t="s">
        <v>8</v>
      </c>
      <c r="O208" s="6">
        <f>IF(N208="5",I208,0)</f>
        <v>0</v>
      </c>
      <c r="Z208" s="6">
        <f>IF(AD208=0,J208,0)</f>
        <v>0</v>
      </c>
      <c r="AA208" s="6">
        <f>IF(AD208=15,J208,0)</f>
        <v>0</v>
      </c>
      <c r="AB208" s="6">
        <f>IF(AD208=21,J208,0)</f>
        <v>0</v>
      </c>
      <c r="AD208" s="16">
        <v>21</v>
      </c>
      <c r="AE208" s="16">
        <f>G208*0</f>
        <v>0</v>
      </c>
      <c r="AF208" s="16">
        <f>G208*(1-0)</f>
        <v>0</v>
      </c>
      <c r="AM208" s="16">
        <f>F208*AE208</f>
        <v>0</v>
      </c>
      <c r="AN208" s="16">
        <f>F208*AF208</f>
        <v>0</v>
      </c>
      <c r="AO208" s="17" t="s">
        <v>1017</v>
      </c>
      <c r="AP208" s="17" t="s">
        <v>1036</v>
      </c>
      <c r="AQ208" s="11" t="s">
        <v>1039</v>
      </c>
    </row>
    <row r="209" spans="1:13" ht="12.75">
      <c r="A209" s="183"/>
      <c r="B209" s="183"/>
      <c r="C209" s="183"/>
      <c r="D209" s="184" t="s">
        <v>7</v>
      </c>
      <c r="E209" s="183"/>
      <c r="F209" s="185">
        <v>1</v>
      </c>
      <c r="G209" s="183"/>
      <c r="H209" s="183"/>
      <c r="I209" s="183"/>
      <c r="J209" s="183"/>
      <c r="K209" s="183"/>
      <c r="L209" s="183"/>
      <c r="M209" s="183"/>
    </row>
    <row r="210" spans="1:43" ht="12.75">
      <c r="A210" s="192" t="s">
        <v>95</v>
      </c>
      <c r="B210" s="192" t="s">
        <v>282</v>
      </c>
      <c r="C210" s="192" t="s">
        <v>380</v>
      </c>
      <c r="D210" s="192" t="s">
        <v>715</v>
      </c>
      <c r="E210" s="192" t="s">
        <v>957</v>
      </c>
      <c r="F210" s="193">
        <v>1</v>
      </c>
      <c r="G210" s="193"/>
      <c r="H210" s="193">
        <f>F210*AE210</f>
        <v>0</v>
      </c>
      <c r="I210" s="193">
        <f>J210-H210</f>
        <v>0</v>
      </c>
      <c r="J210" s="193">
        <f>F210*G210</f>
        <v>0</v>
      </c>
      <c r="K210" s="193">
        <v>0</v>
      </c>
      <c r="L210" s="193">
        <f>F210*K210</f>
        <v>0</v>
      </c>
      <c r="M210" s="194" t="s">
        <v>985</v>
      </c>
      <c r="N210" s="13" t="s">
        <v>989</v>
      </c>
      <c r="O210" s="7">
        <f>IF(N210="5",I210,0)</f>
        <v>0</v>
      </c>
      <c r="Z210" s="7">
        <f>IF(AD210=0,J210,0)</f>
        <v>0</v>
      </c>
      <c r="AA210" s="7">
        <f>IF(AD210=15,J210,0)</f>
        <v>0</v>
      </c>
      <c r="AB210" s="7">
        <f>IF(AD210=21,J210,0)</f>
        <v>0</v>
      </c>
      <c r="AD210" s="16">
        <v>21</v>
      </c>
      <c r="AE210" s="16">
        <f>G210*1</f>
        <v>0</v>
      </c>
      <c r="AF210" s="16">
        <f>G210*(1-1)</f>
        <v>0</v>
      </c>
      <c r="AM210" s="16">
        <f>F210*AE210</f>
        <v>0</v>
      </c>
      <c r="AN210" s="16">
        <f>F210*AF210</f>
        <v>0</v>
      </c>
      <c r="AO210" s="17" t="s">
        <v>1017</v>
      </c>
      <c r="AP210" s="17" t="s">
        <v>1036</v>
      </c>
      <c r="AQ210" s="11" t="s">
        <v>1039</v>
      </c>
    </row>
    <row r="211" spans="1:13" ht="12.75">
      <c r="A211" s="183"/>
      <c r="B211" s="183"/>
      <c r="C211" s="183"/>
      <c r="D211" s="184" t="s">
        <v>7</v>
      </c>
      <c r="E211" s="183"/>
      <c r="F211" s="185">
        <v>1</v>
      </c>
      <c r="G211" s="183"/>
      <c r="H211" s="183"/>
      <c r="I211" s="183"/>
      <c r="J211" s="183"/>
      <c r="K211" s="183"/>
      <c r="L211" s="183"/>
      <c r="M211" s="183"/>
    </row>
    <row r="212" spans="1:43" ht="12.75">
      <c r="A212" s="192" t="s">
        <v>96</v>
      </c>
      <c r="B212" s="192" t="s">
        <v>282</v>
      </c>
      <c r="C212" s="192" t="s">
        <v>381</v>
      </c>
      <c r="D212" s="192" t="s">
        <v>716</v>
      </c>
      <c r="E212" s="192" t="s">
        <v>957</v>
      </c>
      <c r="F212" s="193">
        <v>1</v>
      </c>
      <c r="G212" s="193"/>
      <c r="H212" s="193">
        <f>F212*AE212</f>
        <v>0</v>
      </c>
      <c r="I212" s="193">
        <f>J212-H212</f>
        <v>0</v>
      </c>
      <c r="J212" s="193">
        <f>F212*G212</f>
        <v>0</v>
      </c>
      <c r="K212" s="193">
        <v>0</v>
      </c>
      <c r="L212" s="193">
        <f>F212*K212</f>
        <v>0</v>
      </c>
      <c r="M212" s="194" t="s">
        <v>985</v>
      </c>
      <c r="N212" s="13" t="s">
        <v>989</v>
      </c>
      <c r="O212" s="7">
        <f>IF(N212="5",I212,0)</f>
        <v>0</v>
      </c>
      <c r="Z212" s="7">
        <f>IF(AD212=0,J212,0)</f>
        <v>0</v>
      </c>
      <c r="AA212" s="7">
        <f>IF(AD212=15,J212,0)</f>
        <v>0</v>
      </c>
      <c r="AB212" s="7">
        <f>IF(AD212=21,J212,0)</f>
        <v>0</v>
      </c>
      <c r="AD212" s="16">
        <v>21</v>
      </c>
      <c r="AE212" s="16">
        <f>G212*1</f>
        <v>0</v>
      </c>
      <c r="AF212" s="16">
        <f>G212*(1-1)</f>
        <v>0</v>
      </c>
      <c r="AM212" s="16">
        <f>F212*AE212</f>
        <v>0</v>
      </c>
      <c r="AN212" s="16">
        <f>F212*AF212</f>
        <v>0</v>
      </c>
      <c r="AO212" s="17" t="s">
        <v>1017</v>
      </c>
      <c r="AP212" s="17" t="s">
        <v>1036</v>
      </c>
      <c r="AQ212" s="11" t="s">
        <v>1039</v>
      </c>
    </row>
    <row r="213" spans="1:13" ht="12.75">
      <c r="A213" s="183"/>
      <c r="B213" s="183"/>
      <c r="C213" s="183"/>
      <c r="D213" s="184" t="s">
        <v>7</v>
      </c>
      <c r="E213" s="183"/>
      <c r="F213" s="185">
        <v>1</v>
      </c>
      <c r="G213" s="183"/>
      <c r="H213" s="183"/>
      <c r="I213" s="183"/>
      <c r="J213" s="183"/>
      <c r="K213" s="183"/>
      <c r="L213" s="183"/>
      <c r="M213" s="183"/>
    </row>
    <row r="214" spans="1:43" ht="12.75">
      <c r="A214" s="180" t="s">
        <v>97</v>
      </c>
      <c r="B214" s="180" t="s">
        <v>282</v>
      </c>
      <c r="C214" s="180" t="s">
        <v>382</v>
      </c>
      <c r="D214" s="180" t="s">
        <v>717</v>
      </c>
      <c r="E214" s="180" t="s">
        <v>957</v>
      </c>
      <c r="F214" s="181">
        <v>4</v>
      </c>
      <c r="G214" s="181"/>
      <c r="H214" s="181">
        <f>F214*AE214</f>
        <v>0</v>
      </c>
      <c r="I214" s="181">
        <f>J214-H214</f>
        <v>0</v>
      </c>
      <c r="J214" s="181">
        <f>F214*G214</f>
        <v>0</v>
      </c>
      <c r="K214" s="181">
        <v>0</v>
      </c>
      <c r="L214" s="181">
        <f>F214*K214</f>
        <v>0</v>
      </c>
      <c r="M214" s="182" t="s">
        <v>985</v>
      </c>
      <c r="N214" s="12" t="s">
        <v>8</v>
      </c>
      <c r="O214" s="6">
        <f>IF(N214="5",I214,0)</f>
        <v>0</v>
      </c>
      <c r="Z214" s="6">
        <f>IF(AD214=0,J214,0)</f>
        <v>0</v>
      </c>
      <c r="AA214" s="6">
        <f>IF(AD214=15,J214,0)</f>
        <v>0</v>
      </c>
      <c r="AB214" s="6">
        <f>IF(AD214=21,J214,0)</f>
        <v>0</v>
      </c>
      <c r="AD214" s="16">
        <v>21</v>
      </c>
      <c r="AE214" s="16">
        <f>G214*0</f>
        <v>0</v>
      </c>
      <c r="AF214" s="16">
        <f>G214*(1-0)</f>
        <v>0</v>
      </c>
      <c r="AM214" s="16">
        <f>F214*AE214</f>
        <v>0</v>
      </c>
      <c r="AN214" s="16">
        <f>F214*AF214</f>
        <v>0</v>
      </c>
      <c r="AO214" s="17" t="s">
        <v>1017</v>
      </c>
      <c r="AP214" s="17" t="s">
        <v>1036</v>
      </c>
      <c r="AQ214" s="11" t="s">
        <v>1039</v>
      </c>
    </row>
    <row r="215" spans="1:13" ht="12.75">
      <c r="A215" s="183"/>
      <c r="B215" s="183"/>
      <c r="C215" s="183"/>
      <c r="D215" s="184" t="s">
        <v>718</v>
      </c>
      <c r="E215" s="183"/>
      <c r="F215" s="185">
        <v>4</v>
      </c>
      <c r="G215" s="183"/>
      <c r="H215" s="183"/>
      <c r="I215" s="183"/>
      <c r="J215" s="183"/>
      <c r="K215" s="183"/>
      <c r="L215" s="183"/>
      <c r="M215" s="183"/>
    </row>
    <row r="216" spans="1:43" ht="12.75">
      <c r="A216" s="180" t="s">
        <v>98</v>
      </c>
      <c r="B216" s="180" t="s">
        <v>282</v>
      </c>
      <c r="C216" s="180" t="s">
        <v>383</v>
      </c>
      <c r="D216" s="180" t="s">
        <v>719</v>
      </c>
      <c r="E216" s="180" t="s">
        <v>957</v>
      </c>
      <c r="F216" s="181">
        <v>1</v>
      </c>
      <c r="G216" s="181"/>
      <c r="H216" s="181">
        <f>F216*AE216</f>
        <v>0</v>
      </c>
      <c r="I216" s="181">
        <f>J216-H216</f>
        <v>0</v>
      </c>
      <c r="J216" s="181">
        <f>F216*G216</f>
        <v>0</v>
      </c>
      <c r="K216" s="181">
        <v>4E-05</v>
      </c>
      <c r="L216" s="181">
        <f>F216*K216</f>
        <v>4E-05</v>
      </c>
      <c r="M216" s="182" t="s">
        <v>985</v>
      </c>
      <c r="N216" s="12" t="s">
        <v>8</v>
      </c>
      <c r="O216" s="6">
        <f>IF(N216="5",I216,0)</f>
        <v>0</v>
      </c>
      <c r="Z216" s="6">
        <f>IF(AD216=0,J216,0)</f>
        <v>0</v>
      </c>
      <c r="AA216" s="6">
        <f>IF(AD216=15,J216,0)</f>
        <v>0</v>
      </c>
      <c r="AB216" s="6">
        <f>IF(AD216=21,J216,0)</f>
        <v>0</v>
      </c>
      <c r="AD216" s="16">
        <v>21</v>
      </c>
      <c r="AE216" s="16">
        <f>G216*0.743555992141454</f>
        <v>0</v>
      </c>
      <c r="AF216" s="16">
        <f>G216*(1-0.743555992141454)</f>
        <v>0</v>
      </c>
      <c r="AM216" s="16">
        <f>F216*AE216</f>
        <v>0</v>
      </c>
      <c r="AN216" s="16">
        <f>F216*AF216</f>
        <v>0</v>
      </c>
      <c r="AO216" s="17" t="s">
        <v>1017</v>
      </c>
      <c r="AP216" s="17" t="s">
        <v>1036</v>
      </c>
      <c r="AQ216" s="11" t="s">
        <v>1039</v>
      </c>
    </row>
    <row r="217" spans="1:13" ht="12.75">
      <c r="A217" s="183"/>
      <c r="B217" s="183"/>
      <c r="C217" s="183"/>
      <c r="D217" s="184" t="s">
        <v>7</v>
      </c>
      <c r="E217" s="183"/>
      <c r="F217" s="185">
        <v>1</v>
      </c>
      <c r="G217" s="183"/>
      <c r="H217" s="183"/>
      <c r="I217" s="183"/>
      <c r="J217" s="183"/>
      <c r="K217" s="183"/>
      <c r="L217" s="183"/>
      <c r="M217" s="183"/>
    </row>
    <row r="218" spans="1:43" ht="12.75">
      <c r="A218" s="180" t="s">
        <v>99</v>
      </c>
      <c r="B218" s="180" t="s">
        <v>282</v>
      </c>
      <c r="C218" s="180" t="s">
        <v>384</v>
      </c>
      <c r="D218" s="180" t="s">
        <v>720</v>
      </c>
      <c r="E218" s="180" t="s">
        <v>957</v>
      </c>
      <c r="F218" s="181">
        <v>2</v>
      </c>
      <c r="G218" s="181"/>
      <c r="H218" s="181">
        <f>F218*AE218</f>
        <v>0</v>
      </c>
      <c r="I218" s="181">
        <f>J218-H218</f>
        <v>0</v>
      </c>
      <c r="J218" s="181">
        <f>F218*G218</f>
        <v>0</v>
      </c>
      <c r="K218" s="181">
        <v>4E-05</v>
      </c>
      <c r="L218" s="181">
        <f>F218*K218</f>
        <v>8E-05</v>
      </c>
      <c r="M218" s="182" t="s">
        <v>985</v>
      </c>
      <c r="N218" s="12" t="s">
        <v>8</v>
      </c>
      <c r="O218" s="6">
        <f>IF(N218="5",I218,0)</f>
        <v>0</v>
      </c>
      <c r="Z218" s="6">
        <f>IF(AD218=0,J218,0)</f>
        <v>0</v>
      </c>
      <c r="AA218" s="6">
        <f>IF(AD218=15,J218,0)</f>
        <v>0</v>
      </c>
      <c r="AB218" s="6">
        <f>IF(AD218=21,J218,0)</f>
        <v>0</v>
      </c>
      <c r="AD218" s="16">
        <v>21</v>
      </c>
      <c r="AE218" s="16">
        <f>G218*0.72192118226601</f>
        <v>0</v>
      </c>
      <c r="AF218" s="16">
        <f>G218*(1-0.72192118226601)</f>
        <v>0</v>
      </c>
      <c r="AM218" s="16">
        <f>F218*AE218</f>
        <v>0</v>
      </c>
      <c r="AN218" s="16">
        <f>F218*AF218</f>
        <v>0</v>
      </c>
      <c r="AO218" s="17" t="s">
        <v>1017</v>
      </c>
      <c r="AP218" s="17" t="s">
        <v>1036</v>
      </c>
      <c r="AQ218" s="11" t="s">
        <v>1039</v>
      </c>
    </row>
    <row r="219" spans="1:13" ht="12.75">
      <c r="A219" s="183"/>
      <c r="B219" s="183"/>
      <c r="C219" s="183"/>
      <c r="D219" s="184" t="s">
        <v>8</v>
      </c>
      <c r="E219" s="183"/>
      <c r="F219" s="185">
        <v>2</v>
      </c>
      <c r="G219" s="183"/>
      <c r="H219" s="183"/>
      <c r="I219" s="183"/>
      <c r="J219" s="183"/>
      <c r="K219" s="183"/>
      <c r="L219" s="183"/>
      <c r="M219" s="183"/>
    </row>
    <row r="220" spans="1:43" ht="12.75">
      <c r="A220" s="180" t="s">
        <v>100</v>
      </c>
      <c r="B220" s="180" t="s">
        <v>282</v>
      </c>
      <c r="C220" s="180" t="s">
        <v>385</v>
      </c>
      <c r="D220" s="180" t="s">
        <v>721</v>
      </c>
      <c r="E220" s="180" t="s">
        <v>957</v>
      </c>
      <c r="F220" s="181">
        <v>4</v>
      </c>
      <c r="G220" s="181"/>
      <c r="H220" s="181">
        <f>F220*AE220</f>
        <v>0</v>
      </c>
      <c r="I220" s="181">
        <f>J220-H220</f>
        <v>0</v>
      </c>
      <c r="J220" s="181">
        <f>F220*G220</f>
        <v>0</v>
      </c>
      <c r="K220" s="181">
        <v>4E-05</v>
      </c>
      <c r="L220" s="181">
        <f>F220*K220</f>
        <v>0.00016</v>
      </c>
      <c r="M220" s="182" t="s">
        <v>985</v>
      </c>
      <c r="N220" s="12" t="s">
        <v>8</v>
      </c>
      <c r="O220" s="6">
        <f>IF(N220="5",I220,0)</f>
        <v>0</v>
      </c>
      <c r="Z220" s="6">
        <f>IF(AD220=0,J220,0)</f>
        <v>0</v>
      </c>
      <c r="AA220" s="6">
        <f>IF(AD220=15,J220,0)</f>
        <v>0</v>
      </c>
      <c r="AB220" s="6">
        <f>IF(AD220=21,J220,0)</f>
        <v>0</v>
      </c>
      <c r="AD220" s="16">
        <v>21</v>
      </c>
      <c r="AE220" s="16">
        <f>G220*0.743840896817564</f>
        <v>0</v>
      </c>
      <c r="AF220" s="16">
        <f>G220*(1-0.743840896817564)</f>
        <v>0</v>
      </c>
      <c r="AM220" s="16">
        <f>F220*AE220</f>
        <v>0</v>
      </c>
      <c r="AN220" s="16">
        <f>F220*AF220</f>
        <v>0</v>
      </c>
      <c r="AO220" s="17" t="s">
        <v>1017</v>
      </c>
      <c r="AP220" s="17" t="s">
        <v>1036</v>
      </c>
      <c r="AQ220" s="11" t="s">
        <v>1039</v>
      </c>
    </row>
    <row r="221" spans="1:13" ht="12.75">
      <c r="A221" s="183"/>
      <c r="B221" s="183"/>
      <c r="C221" s="183"/>
      <c r="D221" s="184" t="s">
        <v>10</v>
      </c>
      <c r="E221" s="183"/>
      <c r="F221" s="185">
        <v>4</v>
      </c>
      <c r="G221" s="183"/>
      <c r="H221" s="183"/>
      <c r="I221" s="183"/>
      <c r="J221" s="183"/>
      <c r="K221" s="183"/>
      <c r="L221" s="183"/>
      <c r="M221" s="183"/>
    </row>
    <row r="222" spans="1:43" ht="12.75">
      <c r="A222" s="180" t="s">
        <v>101</v>
      </c>
      <c r="B222" s="180" t="s">
        <v>282</v>
      </c>
      <c r="C222" s="180" t="s">
        <v>386</v>
      </c>
      <c r="D222" s="180" t="s">
        <v>722</v>
      </c>
      <c r="E222" s="180" t="s">
        <v>957</v>
      </c>
      <c r="F222" s="181">
        <v>1</v>
      </c>
      <c r="G222" s="181"/>
      <c r="H222" s="181">
        <f>F222*AE222</f>
        <v>0</v>
      </c>
      <c r="I222" s="181">
        <f>J222-H222</f>
        <v>0</v>
      </c>
      <c r="J222" s="181">
        <f>F222*G222</f>
        <v>0</v>
      </c>
      <c r="K222" s="181">
        <v>0.00031</v>
      </c>
      <c r="L222" s="181">
        <f>F222*K222</f>
        <v>0.00031</v>
      </c>
      <c r="M222" s="182" t="s">
        <v>985</v>
      </c>
      <c r="N222" s="12" t="s">
        <v>8</v>
      </c>
      <c r="O222" s="6">
        <f>IF(N222="5",I222,0)</f>
        <v>0</v>
      </c>
      <c r="Z222" s="6">
        <f>IF(AD222=0,J222,0)</f>
        <v>0</v>
      </c>
      <c r="AA222" s="6">
        <f>IF(AD222=15,J222,0)</f>
        <v>0</v>
      </c>
      <c r="AB222" s="6">
        <f>IF(AD222=21,J222,0)</f>
        <v>0</v>
      </c>
      <c r="AD222" s="16">
        <v>21</v>
      </c>
      <c r="AE222" s="16">
        <f>G222*0.779465634277183</f>
        <v>0</v>
      </c>
      <c r="AF222" s="16">
        <f>G222*(1-0.779465634277183)</f>
        <v>0</v>
      </c>
      <c r="AM222" s="16">
        <f>F222*AE222</f>
        <v>0</v>
      </c>
      <c r="AN222" s="16">
        <f>F222*AF222</f>
        <v>0</v>
      </c>
      <c r="AO222" s="17" t="s">
        <v>1017</v>
      </c>
      <c r="AP222" s="17" t="s">
        <v>1036</v>
      </c>
      <c r="AQ222" s="11" t="s">
        <v>1039</v>
      </c>
    </row>
    <row r="223" spans="1:13" ht="12.75">
      <c r="A223" s="183"/>
      <c r="B223" s="183"/>
      <c r="C223" s="183"/>
      <c r="D223" s="184" t="s">
        <v>7</v>
      </c>
      <c r="E223" s="183"/>
      <c r="F223" s="185">
        <v>1</v>
      </c>
      <c r="G223" s="183"/>
      <c r="H223" s="183"/>
      <c r="I223" s="183"/>
      <c r="J223" s="183"/>
      <c r="K223" s="183"/>
      <c r="L223" s="183"/>
      <c r="M223" s="183"/>
    </row>
    <row r="224" spans="1:43" ht="12.75">
      <c r="A224" s="180" t="s">
        <v>102</v>
      </c>
      <c r="B224" s="180" t="s">
        <v>282</v>
      </c>
      <c r="C224" s="180" t="s">
        <v>387</v>
      </c>
      <c r="D224" s="180" t="s">
        <v>723</v>
      </c>
      <c r="E224" s="180" t="s">
        <v>957</v>
      </c>
      <c r="F224" s="181">
        <v>1</v>
      </c>
      <c r="G224" s="181"/>
      <c r="H224" s="181">
        <f>F224*AE224</f>
        <v>0</v>
      </c>
      <c r="I224" s="181">
        <f>J224-H224</f>
        <v>0</v>
      </c>
      <c r="J224" s="181">
        <f>F224*G224</f>
        <v>0</v>
      </c>
      <c r="K224" s="181">
        <v>0</v>
      </c>
      <c r="L224" s="181">
        <f>F224*K224</f>
        <v>0</v>
      </c>
      <c r="M224" s="182" t="s">
        <v>985</v>
      </c>
      <c r="N224" s="12" t="s">
        <v>8</v>
      </c>
      <c r="O224" s="6">
        <f>IF(N224="5",I224,0)</f>
        <v>0</v>
      </c>
      <c r="Z224" s="6">
        <f>IF(AD224=0,J224,0)</f>
        <v>0</v>
      </c>
      <c r="AA224" s="6">
        <f>IF(AD224=15,J224,0)</f>
        <v>0</v>
      </c>
      <c r="AB224" s="6">
        <f>IF(AD224=21,J224,0)</f>
        <v>0</v>
      </c>
      <c r="AD224" s="16">
        <v>21</v>
      </c>
      <c r="AE224" s="16">
        <f>G224*0</f>
        <v>0</v>
      </c>
      <c r="AF224" s="16">
        <f>G224*(1-0)</f>
        <v>0</v>
      </c>
      <c r="AM224" s="16">
        <f>F224*AE224</f>
        <v>0</v>
      </c>
      <c r="AN224" s="16">
        <f>F224*AF224</f>
        <v>0</v>
      </c>
      <c r="AO224" s="17" t="s">
        <v>1017</v>
      </c>
      <c r="AP224" s="17" t="s">
        <v>1036</v>
      </c>
      <c r="AQ224" s="11" t="s">
        <v>1039</v>
      </c>
    </row>
    <row r="225" spans="1:13" ht="12.75">
      <c r="A225" s="183"/>
      <c r="B225" s="183"/>
      <c r="C225" s="183"/>
      <c r="D225" s="184" t="s">
        <v>7</v>
      </c>
      <c r="E225" s="183"/>
      <c r="F225" s="185">
        <v>1</v>
      </c>
      <c r="G225" s="183"/>
      <c r="H225" s="183"/>
      <c r="I225" s="183"/>
      <c r="J225" s="183"/>
      <c r="K225" s="183"/>
      <c r="L225" s="183"/>
      <c r="M225" s="183"/>
    </row>
    <row r="226" spans="1:43" ht="12.75">
      <c r="A226" s="180" t="s">
        <v>103</v>
      </c>
      <c r="B226" s="180" t="s">
        <v>282</v>
      </c>
      <c r="C226" s="180" t="s">
        <v>388</v>
      </c>
      <c r="D226" s="180" t="s">
        <v>724</v>
      </c>
      <c r="E226" s="180" t="s">
        <v>957</v>
      </c>
      <c r="F226" s="181">
        <v>4</v>
      </c>
      <c r="G226" s="181"/>
      <c r="H226" s="181">
        <f>F226*AE226</f>
        <v>0</v>
      </c>
      <c r="I226" s="181">
        <f>J226-H226</f>
        <v>0</v>
      </c>
      <c r="J226" s="181">
        <f>F226*G226</f>
        <v>0</v>
      </c>
      <c r="K226" s="181">
        <v>0</v>
      </c>
      <c r="L226" s="181">
        <f>F226*K226</f>
        <v>0</v>
      </c>
      <c r="M226" s="182" t="s">
        <v>985</v>
      </c>
      <c r="N226" s="12" t="s">
        <v>8</v>
      </c>
      <c r="O226" s="6">
        <f>IF(N226="5",I226,0)</f>
        <v>0</v>
      </c>
      <c r="Z226" s="6">
        <f>IF(AD226=0,J226,0)</f>
        <v>0</v>
      </c>
      <c r="AA226" s="6">
        <f>IF(AD226=15,J226,0)</f>
        <v>0</v>
      </c>
      <c r="AB226" s="6">
        <f>IF(AD226=21,J226,0)</f>
        <v>0</v>
      </c>
      <c r="AD226" s="16">
        <v>21</v>
      </c>
      <c r="AE226" s="16">
        <f>G226*0</f>
        <v>0</v>
      </c>
      <c r="AF226" s="16">
        <f>G226*(1-0)</f>
        <v>0</v>
      </c>
      <c r="AM226" s="16">
        <f>F226*AE226</f>
        <v>0</v>
      </c>
      <c r="AN226" s="16">
        <f>F226*AF226</f>
        <v>0</v>
      </c>
      <c r="AO226" s="17" t="s">
        <v>1017</v>
      </c>
      <c r="AP226" s="17" t="s">
        <v>1036</v>
      </c>
      <c r="AQ226" s="11" t="s">
        <v>1039</v>
      </c>
    </row>
    <row r="227" spans="1:13" ht="12.75">
      <c r="A227" s="183"/>
      <c r="B227" s="183"/>
      <c r="C227" s="183"/>
      <c r="D227" s="184" t="s">
        <v>10</v>
      </c>
      <c r="E227" s="183"/>
      <c r="F227" s="185">
        <v>4</v>
      </c>
      <c r="G227" s="183"/>
      <c r="H227" s="183"/>
      <c r="I227" s="183"/>
      <c r="J227" s="183"/>
      <c r="K227" s="183"/>
      <c r="L227" s="183"/>
      <c r="M227" s="183"/>
    </row>
    <row r="228" spans="1:43" ht="12.75">
      <c r="A228" s="192" t="s">
        <v>104</v>
      </c>
      <c r="B228" s="192" t="s">
        <v>282</v>
      </c>
      <c r="C228" s="192" t="s">
        <v>389</v>
      </c>
      <c r="D228" s="192" t="s">
        <v>725</v>
      </c>
      <c r="E228" s="192" t="s">
        <v>957</v>
      </c>
      <c r="F228" s="193">
        <v>4</v>
      </c>
      <c r="G228" s="193"/>
      <c r="H228" s="193">
        <f>F228*AE228</f>
        <v>0</v>
      </c>
      <c r="I228" s="193">
        <f>J228-H228</f>
        <v>0</v>
      </c>
      <c r="J228" s="193">
        <f>F228*G228</f>
        <v>0</v>
      </c>
      <c r="K228" s="193">
        <v>0.00028</v>
      </c>
      <c r="L228" s="193">
        <f>F228*K228</f>
        <v>0.00112</v>
      </c>
      <c r="M228" s="194" t="s">
        <v>985</v>
      </c>
      <c r="N228" s="13" t="s">
        <v>989</v>
      </c>
      <c r="O228" s="7">
        <f>IF(N228="5",I228,0)</f>
        <v>0</v>
      </c>
      <c r="Z228" s="7">
        <f>IF(AD228=0,J228,0)</f>
        <v>0</v>
      </c>
      <c r="AA228" s="7">
        <f>IF(AD228=15,J228,0)</f>
        <v>0</v>
      </c>
      <c r="AB228" s="7">
        <f>IF(AD228=21,J228,0)</f>
        <v>0</v>
      </c>
      <c r="AD228" s="16">
        <v>21</v>
      </c>
      <c r="AE228" s="16">
        <f>G228*1</f>
        <v>0</v>
      </c>
      <c r="AF228" s="16">
        <f>G228*(1-1)</f>
        <v>0</v>
      </c>
      <c r="AM228" s="16">
        <f>F228*AE228</f>
        <v>0</v>
      </c>
      <c r="AN228" s="16">
        <f>F228*AF228</f>
        <v>0</v>
      </c>
      <c r="AO228" s="17" t="s">
        <v>1017</v>
      </c>
      <c r="AP228" s="17" t="s">
        <v>1036</v>
      </c>
      <c r="AQ228" s="11" t="s">
        <v>1039</v>
      </c>
    </row>
    <row r="229" spans="1:13" ht="12.75">
      <c r="A229" s="183"/>
      <c r="B229" s="183"/>
      <c r="C229" s="183"/>
      <c r="D229" s="184" t="s">
        <v>10</v>
      </c>
      <c r="E229" s="183"/>
      <c r="F229" s="185">
        <v>4</v>
      </c>
      <c r="G229" s="183"/>
      <c r="H229" s="183"/>
      <c r="I229" s="183"/>
      <c r="J229" s="183"/>
      <c r="K229" s="183"/>
      <c r="L229" s="183"/>
      <c r="M229" s="183"/>
    </row>
    <row r="230" spans="1:43" ht="12.75">
      <c r="A230" s="180" t="s">
        <v>105</v>
      </c>
      <c r="B230" s="180" t="s">
        <v>282</v>
      </c>
      <c r="C230" s="180" t="s">
        <v>390</v>
      </c>
      <c r="D230" s="180" t="s">
        <v>726</v>
      </c>
      <c r="E230" s="180" t="s">
        <v>957</v>
      </c>
      <c r="F230" s="181">
        <v>1</v>
      </c>
      <c r="G230" s="181"/>
      <c r="H230" s="181">
        <f>F230*AE230</f>
        <v>0</v>
      </c>
      <c r="I230" s="181">
        <f>J230-H230</f>
        <v>0</v>
      </c>
      <c r="J230" s="181">
        <f>F230*G230</f>
        <v>0</v>
      </c>
      <c r="K230" s="181">
        <v>0</v>
      </c>
      <c r="L230" s="181">
        <f>F230*K230</f>
        <v>0</v>
      </c>
      <c r="M230" s="182" t="s">
        <v>985</v>
      </c>
      <c r="N230" s="12" t="s">
        <v>8</v>
      </c>
      <c r="O230" s="6">
        <f>IF(N230="5",I230,0)</f>
        <v>0</v>
      </c>
      <c r="Z230" s="6">
        <f>IF(AD230=0,J230,0)</f>
        <v>0</v>
      </c>
      <c r="AA230" s="6">
        <f>IF(AD230=15,J230,0)</f>
        <v>0</v>
      </c>
      <c r="AB230" s="6">
        <f>IF(AD230=21,J230,0)</f>
        <v>0</v>
      </c>
      <c r="AD230" s="16">
        <v>21</v>
      </c>
      <c r="AE230" s="16">
        <f>G230*0.747505606292047</f>
        <v>0</v>
      </c>
      <c r="AF230" s="16">
        <f>G230*(1-0.747505606292047)</f>
        <v>0</v>
      </c>
      <c r="AM230" s="16">
        <f>F230*AE230</f>
        <v>0</v>
      </c>
      <c r="AN230" s="16">
        <f>F230*AF230</f>
        <v>0</v>
      </c>
      <c r="AO230" s="17" t="s">
        <v>1017</v>
      </c>
      <c r="AP230" s="17" t="s">
        <v>1036</v>
      </c>
      <c r="AQ230" s="11" t="s">
        <v>1039</v>
      </c>
    </row>
    <row r="231" spans="1:13" ht="12.75">
      <c r="A231" s="183"/>
      <c r="B231" s="183"/>
      <c r="C231" s="183"/>
      <c r="D231" s="184" t="s">
        <v>7</v>
      </c>
      <c r="E231" s="183"/>
      <c r="F231" s="185">
        <v>1</v>
      </c>
      <c r="G231" s="183"/>
      <c r="H231" s="183"/>
      <c r="I231" s="183"/>
      <c r="J231" s="183"/>
      <c r="K231" s="183"/>
      <c r="L231" s="183"/>
      <c r="M231" s="183"/>
    </row>
    <row r="232" spans="1:43" ht="12.75">
      <c r="A232" s="180" t="s">
        <v>106</v>
      </c>
      <c r="B232" s="180" t="s">
        <v>282</v>
      </c>
      <c r="C232" s="180" t="s">
        <v>391</v>
      </c>
      <c r="D232" s="180" t="s">
        <v>727</v>
      </c>
      <c r="E232" s="180" t="s">
        <v>957</v>
      </c>
      <c r="F232" s="181">
        <v>38</v>
      </c>
      <c r="G232" s="181"/>
      <c r="H232" s="181">
        <f>F232*AE232</f>
        <v>0</v>
      </c>
      <c r="I232" s="181">
        <f>J232-H232</f>
        <v>0</v>
      </c>
      <c r="J232" s="181">
        <f>F232*G232</f>
        <v>0</v>
      </c>
      <c r="K232" s="181">
        <v>0</v>
      </c>
      <c r="L232" s="181">
        <f>F232*K232</f>
        <v>0</v>
      </c>
      <c r="M232" s="182" t="s">
        <v>985</v>
      </c>
      <c r="N232" s="12" t="s">
        <v>8</v>
      </c>
      <c r="O232" s="6">
        <f>IF(N232="5",I232,0)</f>
        <v>0</v>
      </c>
      <c r="Z232" s="6">
        <f>IF(AD232=0,J232,0)</f>
        <v>0</v>
      </c>
      <c r="AA232" s="6">
        <f>IF(AD232=15,J232,0)</f>
        <v>0</v>
      </c>
      <c r="AB232" s="6">
        <f>IF(AD232=21,J232,0)</f>
        <v>0</v>
      </c>
      <c r="AD232" s="16">
        <v>21</v>
      </c>
      <c r="AE232" s="16">
        <f>G232*0.321601249286765</f>
        <v>0</v>
      </c>
      <c r="AF232" s="16">
        <f>G232*(1-0.321601249286765)</f>
        <v>0</v>
      </c>
      <c r="AM232" s="16">
        <f>F232*AE232</f>
        <v>0</v>
      </c>
      <c r="AN232" s="16">
        <f>F232*AF232</f>
        <v>0</v>
      </c>
      <c r="AO232" s="17" t="s">
        <v>1017</v>
      </c>
      <c r="AP232" s="17" t="s">
        <v>1036</v>
      </c>
      <c r="AQ232" s="11" t="s">
        <v>1039</v>
      </c>
    </row>
    <row r="233" spans="1:13" ht="12.75">
      <c r="A233" s="183"/>
      <c r="B233" s="183"/>
      <c r="C233" s="183"/>
      <c r="D233" s="184" t="s">
        <v>44</v>
      </c>
      <c r="E233" s="183"/>
      <c r="F233" s="185">
        <v>38</v>
      </c>
      <c r="G233" s="183"/>
      <c r="H233" s="183"/>
      <c r="I233" s="183"/>
      <c r="J233" s="183"/>
      <c r="K233" s="183"/>
      <c r="L233" s="183"/>
      <c r="M233" s="183"/>
    </row>
    <row r="234" spans="1:43" ht="12.75">
      <c r="A234" s="180" t="s">
        <v>107</v>
      </c>
      <c r="B234" s="180" t="s">
        <v>282</v>
      </c>
      <c r="C234" s="180" t="s">
        <v>392</v>
      </c>
      <c r="D234" s="180" t="s">
        <v>728</v>
      </c>
      <c r="E234" s="180" t="s">
        <v>954</v>
      </c>
      <c r="F234" s="181">
        <v>80</v>
      </c>
      <c r="G234" s="181"/>
      <c r="H234" s="181">
        <f>F234*AE234</f>
        <v>0</v>
      </c>
      <c r="I234" s="181">
        <f>J234-H234</f>
        <v>0</v>
      </c>
      <c r="J234" s="181">
        <f>F234*G234</f>
        <v>0</v>
      </c>
      <c r="K234" s="181">
        <v>5E-05</v>
      </c>
      <c r="L234" s="181">
        <f>F234*K234</f>
        <v>0.004</v>
      </c>
      <c r="M234" s="182" t="s">
        <v>985</v>
      </c>
      <c r="N234" s="12" t="s">
        <v>8</v>
      </c>
      <c r="O234" s="6">
        <f>IF(N234="5",I234,0)</f>
        <v>0</v>
      </c>
      <c r="Z234" s="6">
        <f>IF(AD234=0,J234,0)</f>
        <v>0</v>
      </c>
      <c r="AA234" s="6">
        <f>IF(AD234=15,J234,0)</f>
        <v>0</v>
      </c>
      <c r="AB234" s="6">
        <f>IF(AD234=21,J234,0)</f>
        <v>0</v>
      </c>
      <c r="AD234" s="16">
        <v>21</v>
      </c>
      <c r="AE234" s="16">
        <f>G234*0.396911196911197</f>
        <v>0</v>
      </c>
      <c r="AF234" s="16">
        <f>G234*(1-0.396911196911197)</f>
        <v>0</v>
      </c>
      <c r="AM234" s="16">
        <f>F234*AE234</f>
        <v>0</v>
      </c>
      <c r="AN234" s="16">
        <f>F234*AF234</f>
        <v>0</v>
      </c>
      <c r="AO234" s="17" t="s">
        <v>1017</v>
      </c>
      <c r="AP234" s="17" t="s">
        <v>1036</v>
      </c>
      <c r="AQ234" s="11" t="s">
        <v>1039</v>
      </c>
    </row>
    <row r="235" spans="1:13" ht="12.75">
      <c r="A235" s="183"/>
      <c r="B235" s="183"/>
      <c r="C235" s="183"/>
      <c r="D235" s="184" t="s">
        <v>86</v>
      </c>
      <c r="E235" s="183"/>
      <c r="F235" s="185">
        <v>80</v>
      </c>
      <c r="G235" s="183"/>
      <c r="H235" s="183"/>
      <c r="I235" s="183"/>
      <c r="J235" s="183"/>
      <c r="K235" s="183"/>
      <c r="L235" s="183"/>
      <c r="M235" s="183"/>
    </row>
    <row r="236" spans="1:43" ht="12.75">
      <c r="A236" s="180" t="s">
        <v>108</v>
      </c>
      <c r="B236" s="180" t="s">
        <v>282</v>
      </c>
      <c r="C236" s="180" t="s">
        <v>393</v>
      </c>
      <c r="D236" s="180" t="s">
        <v>729</v>
      </c>
      <c r="E236" s="180" t="s">
        <v>954</v>
      </c>
      <c r="F236" s="181">
        <v>25</v>
      </c>
      <c r="G236" s="181"/>
      <c r="H236" s="181">
        <f>F236*AE236</f>
        <v>0</v>
      </c>
      <c r="I236" s="181">
        <f>J236-H236</f>
        <v>0</v>
      </c>
      <c r="J236" s="181">
        <f>F236*G236</f>
        <v>0</v>
      </c>
      <c r="K236" s="181">
        <v>7E-05</v>
      </c>
      <c r="L236" s="181">
        <f>F236*K236</f>
        <v>0.0017499999999999998</v>
      </c>
      <c r="M236" s="182" t="s">
        <v>985</v>
      </c>
      <c r="N236" s="12" t="s">
        <v>8</v>
      </c>
      <c r="O236" s="6">
        <f>IF(N236="5",I236,0)</f>
        <v>0</v>
      </c>
      <c r="Z236" s="6">
        <f>IF(AD236=0,J236,0)</f>
        <v>0</v>
      </c>
      <c r="AA236" s="6">
        <f>IF(AD236=15,J236,0)</f>
        <v>0</v>
      </c>
      <c r="AB236" s="6">
        <f>IF(AD236=21,J236,0)</f>
        <v>0</v>
      </c>
      <c r="AD236" s="16">
        <v>21</v>
      </c>
      <c r="AE236" s="16">
        <f>G236*0.511875</f>
        <v>0</v>
      </c>
      <c r="AF236" s="16">
        <f>G236*(1-0.511875)</f>
        <v>0</v>
      </c>
      <c r="AM236" s="16">
        <f>F236*AE236</f>
        <v>0</v>
      </c>
      <c r="AN236" s="16">
        <f>F236*AF236</f>
        <v>0</v>
      </c>
      <c r="AO236" s="17" t="s">
        <v>1017</v>
      </c>
      <c r="AP236" s="17" t="s">
        <v>1036</v>
      </c>
      <c r="AQ236" s="11" t="s">
        <v>1039</v>
      </c>
    </row>
    <row r="237" spans="1:13" ht="12.75">
      <c r="A237" s="183"/>
      <c r="B237" s="183"/>
      <c r="C237" s="183"/>
      <c r="D237" s="184" t="s">
        <v>31</v>
      </c>
      <c r="E237" s="183"/>
      <c r="F237" s="185">
        <v>25</v>
      </c>
      <c r="G237" s="183"/>
      <c r="H237" s="183"/>
      <c r="I237" s="183"/>
      <c r="J237" s="183"/>
      <c r="K237" s="183"/>
      <c r="L237" s="183"/>
      <c r="M237" s="183"/>
    </row>
    <row r="238" spans="1:43" ht="12.75">
      <c r="A238" s="180" t="s">
        <v>109</v>
      </c>
      <c r="B238" s="180" t="s">
        <v>282</v>
      </c>
      <c r="C238" s="180" t="s">
        <v>394</v>
      </c>
      <c r="D238" s="180" t="s">
        <v>730</v>
      </c>
      <c r="E238" s="180" t="s">
        <v>957</v>
      </c>
      <c r="F238" s="181">
        <v>25</v>
      </c>
      <c r="G238" s="181"/>
      <c r="H238" s="181">
        <f>F238*AE238</f>
        <v>0</v>
      </c>
      <c r="I238" s="181">
        <f>J238-H238</f>
        <v>0</v>
      </c>
      <c r="J238" s="181">
        <f>F238*G238</f>
        <v>0</v>
      </c>
      <c r="K238" s="181">
        <v>0</v>
      </c>
      <c r="L238" s="181">
        <f>F238*K238</f>
        <v>0</v>
      </c>
      <c r="M238" s="182" t="s">
        <v>985</v>
      </c>
      <c r="N238" s="12" t="s">
        <v>8</v>
      </c>
      <c r="O238" s="6">
        <f>IF(N238="5",I238,0)</f>
        <v>0</v>
      </c>
      <c r="Z238" s="6">
        <f>IF(AD238=0,J238,0)</f>
        <v>0</v>
      </c>
      <c r="AA238" s="6">
        <f>IF(AD238=15,J238,0)</f>
        <v>0</v>
      </c>
      <c r="AB238" s="6">
        <f>IF(AD238=21,J238,0)</f>
        <v>0</v>
      </c>
      <c r="AD238" s="16">
        <v>21</v>
      </c>
      <c r="AE238" s="16">
        <f>G238*0.12</f>
        <v>0</v>
      </c>
      <c r="AF238" s="16">
        <f>G238*(1-0.12)</f>
        <v>0</v>
      </c>
      <c r="AM238" s="16">
        <f>F238*AE238</f>
        <v>0</v>
      </c>
      <c r="AN238" s="16">
        <f>F238*AF238</f>
        <v>0</v>
      </c>
      <c r="AO238" s="17" t="s">
        <v>1017</v>
      </c>
      <c r="AP238" s="17" t="s">
        <v>1036</v>
      </c>
      <c r="AQ238" s="11" t="s">
        <v>1039</v>
      </c>
    </row>
    <row r="239" spans="1:13" ht="12.75">
      <c r="A239" s="183"/>
      <c r="B239" s="183"/>
      <c r="C239" s="183"/>
      <c r="D239" s="184" t="s">
        <v>31</v>
      </c>
      <c r="E239" s="183"/>
      <c r="F239" s="185">
        <v>25</v>
      </c>
      <c r="G239" s="183"/>
      <c r="H239" s="183"/>
      <c r="I239" s="183"/>
      <c r="J239" s="183"/>
      <c r="K239" s="183"/>
      <c r="L239" s="183"/>
      <c r="M239" s="183"/>
    </row>
    <row r="240" spans="1:43" ht="12.75">
      <c r="A240" s="180" t="s">
        <v>110</v>
      </c>
      <c r="B240" s="180" t="s">
        <v>282</v>
      </c>
      <c r="C240" s="180" t="s">
        <v>395</v>
      </c>
      <c r="D240" s="180" t="s">
        <v>731</v>
      </c>
      <c r="E240" s="180" t="s">
        <v>954</v>
      </c>
      <c r="F240" s="181">
        <v>25</v>
      </c>
      <c r="G240" s="181"/>
      <c r="H240" s="181">
        <f>F240*AE240</f>
        <v>0</v>
      </c>
      <c r="I240" s="181">
        <f>J240-H240</f>
        <v>0</v>
      </c>
      <c r="J240" s="181">
        <f>F240*G240</f>
        <v>0</v>
      </c>
      <c r="K240" s="181">
        <v>0</v>
      </c>
      <c r="L240" s="181">
        <f>F240*K240</f>
        <v>0</v>
      </c>
      <c r="M240" s="182" t="s">
        <v>985</v>
      </c>
      <c r="N240" s="12" t="s">
        <v>8</v>
      </c>
      <c r="O240" s="6">
        <f>IF(N240="5",I240,0)</f>
        <v>0</v>
      </c>
      <c r="Z240" s="6">
        <f>IF(AD240=0,J240,0)</f>
        <v>0</v>
      </c>
      <c r="AA240" s="6">
        <f>IF(AD240=15,J240,0)</f>
        <v>0</v>
      </c>
      <c r="AB240" s="6">
        <f>IF(AD240=21,J240,0)</f>
        <v>0</v>
      </c>
      <c r="AD240" s="16">
        <v>21</v>
      </c>
      <c r="AE240" s="16">
        <f>G240*0</f>
        <v>0</v>
      </c>
      <c r="AF240" s="16">
        <f>G240*(1-0)</f>
        <v>0</v>
      </c>
      <c r="AM240" s="16">
        <f>F240*AE240</f>
        <v>0</v>
      </c>
      <c r="AN240" s="16">
        <f>F240*AF240</f>
        <v>0</v>
      </c>
      <c r="AO240" s="17" t="s">
        <v>1017</v>
      </c>
      <c r="AP240" s="17" t="s">
        <v>1036</v>
      </c>
      <c r="AQ240" s="11" t="s">
        <v>1039</v>
      </c>
    </row>
    <row r="241" spans="1:13" ht="12.75">
      <c r="A241" s="183"/>
      <c r="B241" s="183"/>
      <c r="C241" s="183"/>
      <c r="D241" s="184" t="s">
        <v>31</v>
      </c>
      <c r="E241" s="183"/>
      <c r="F241" s="185">
        <v>25</v>
      </c>
      <c r="G241" s="183"/>
      <c r="H241" s="183"/>
      <c r="I241" s="183"/>
      <c r="J241" s="183"/>
      <c r="K241" s="183"/>
      <c r="L241" s="183"/>
      <c r="M241" s="183"/>
    </row>
    <row r="242" spans="1:43" ht="12.75">
      <c r="A242" s="192" t="s">
        <v>111</v>
      </c>
      <c r="B242" s="192" t="s">
        <v>282</v>
      </c>
      <c r="C242" s="192" t="s">
        <v>396</v>
      </c>
      <c r="D242" s="192" t="s">
        <v>732</v>
      </c>
      <c r="E242" s="192" t="s">
        <v>954</v>
      </c>
      <c r="F242" s="193">
        <v>26.75</v>
      </c>
      <c r="G242" s="193"/>
      <c r="H242" s="193">
        <f>F242*AE242</f>
        <v>0</v>
      </c>
      <c r="I242" s="193">
        <f>J242-H242</f>
        <v>0</v>
      </c>
      <c r="J242" s="193">
        <f>F242*G242</f>
        <v>0</v>
      </c>
      <c r="K242" s="193">
        <v>0</v>
      </c>
      <c r="L242" s="193">
        <f>F242*K242</f>
        <v>0</v>
      </c>
      <c r="M242" s="194" t="s">
        <v>985</v>
      </c>
      <c r="N242" s="13" t="s">
        <v>989</v>
      </c>
      <c r="O242" s="7">
        <f>IF(N242="5",I242,0)</f>
        <v>0</v>
      </c>
      <c r="Z242" s="7">
        <f>IF(AD242=0,J242,0)</f>
        <v>0</v>
      </c>
      <c r="AA242" s="7">
        <f>IF(AD242=15,J242,0)</f>
        <v>0</v>
      </c>
      <c r="AB242" s="7">
        <f>IF(AD242=21,J242,0)</f>
        <v>0</v>
      </c>
      <c r="AD242" s="16">
        <v>21</v>
      </c>
      <c r="AE242" s="16">
        <f>G242*1</f>
        <v>0</v>
      </c>
      <c r="AF242" s="16">
        <f>G242*(1-1)</f>
        <v>0</v>
      </c>
      <c r="AM242" s="16">
        <f>F242*AE242</f>
        <v>0</v>
      </c>
      <c r="AN242" s="16">
        <f>F242*AF242</f>
        <v>0</v>
      </c>
      <c r="AO242" s="17" t="s">
        <v>1017</v>
      </c>
      <c r="AP242" s="17" t="s">
        <v>1036</v>
      </c>
      <c r="AQ242" s="11" t="s">
        <v>1039</v>
      </c>
    </row>
    <row r="243" spans="1:13" ht="12.75">
      <c r="A243" s="183"/>
      <c r="B243" s="183"/>
      <c r="C243" s="183"/>
      <c r="D243" s="184" t="s">
        <v>31</v>
      </c>
      <c r="E243" s="183"/>
      <c r="F243" s="185">
        <v>25</v>
      </c>
      <c r="G243" s="183"/>
      <c r="H243" s="183"/>
      <c r="I243" s="183"/>
      <c r="J243" s="183"/>
      <c r="K243" s="183"/>
      <c r="L243" s="183"/>
      <c r="M243" s="183"/>
    </row>
    <row r="244" spans="1:13" ht="12.75">
      <c r="A244" s="183"/>
      <c r="B244" s="183"/>
      <c r="C244" s="183"/>
      <c r="D244" s="184" t="s">
        <v>733</v>
      </c>
      <c r="E244" s="183"/>
      <c r="F244" s="185">
        <v>1.75</v>
      </c>
      <c r="G244" s="183"/>
      <c r="H244" s="183"/>
      <c r="I244" s="183"/>
      <c r="J244" s="183"/>
      <c r="K244" s="183"/>
      <c r="L244" s="183"/>
      <c r="M244" s="183"/>
    </row>
    <row r="245" spans="1:43" ht="12.75">
      <c r="A245" s="180" t="s">
        <v>112</v>
      </c>
      <c r="B245" s="180" t="s">
        <v>282</v>
      </c>
      <c r="C245" s="180" t="s">
        <v>397</v>
      </c>
      <c r="D245" s="180" t="s">
        <v>734</v>
      </c>
      <c r="E245" s="180" t="s">
        <v>954</v>
      </c>
      <c r="F245" s="181">
        <v>12</v>
      </c>
      <c r="G245" s="181"/>
      <c r="H245" s="181">
        <f>F245*AE245</f>
        <v>0</v>
      </c>
      <c r="I245" s="181">
        <f>J245-H245</f>
        <v>0</v>
      </c>
      <c r="J245" s="181">
        <f>F245*G245</f>
        <v>0</v>
      </c>
      <c r="K245" s="181">
        <v>0</v>
      </c>
      <c r="L245" s="181">
        <f>F245*K245</f>
        <v>0</v>
      </c>
      <c r="M245" s="182" t="s">
        <v>985</v>
      </c>
      <c r="N245" s="12" t="s">
        <v>8</v>
      </c>
      <c r="O245" s="6">
        <f>IF(N245="5",I245,0)</f>
        <v>0</v>
      </c>
      <c r="Z245" s="6">
        <f>IF(AD245=0,J245,0)</f>
        <v>0</v>
      </c>
      <c r="AA245" s="6">
        <f>IF(AD245=15,J245,0)</f>
        <v>0</v>
      </c>
      <c r="AB245" s="6">
        <f>IF(AD245=21,J245,0)</f>
        <v>0</v>
      </c>
      <c r="AD245" s="16">
        <v>21</v>
      </c>
      <c r="AE245" s="16">
        <f>G245*0</f>
        <v>0</v>
      </c>
      <c r="AF245" s="16">
        <f>G245*(1-0)</f>
        <v>0</v>
      </c>
      <c r="AM245" s="16">
        <f>F245*AE245</f>
        <v>0</v>
      </c>
      <c r="AN245" s="16">
        <f>F245*AF245</f>
        <v>0</v>
      </c>
      <c r="AO245" s="17" t="s">
        <v>1017</v>
      </c>
      <c r="AP245" s="17" t="s">
        <v>1036</v>
      </c>
      <c r="AQ245" s="11" t="s">
        <v>1039</v>
      </c>
    </row>
    <row r="246" spans="1:13" ht="12.75">
      <c r="A246" s="183"/>
      <c r="B246" s="183"/>
      <c r="C246" s="183"/>
      <c r="D246" s="184" t="s">
        <v>18</v>
      </c>
      <c r="E246" s="183"/>
      <c r="F246" s="185">
        <v>12</v>
      </c>
      <c r="G246" s="183"/>
      <c r="H246" s="183"/>
      <c r="I246" s="183"/>
      <c r="J246" s="183"/>
      <c r="K246" s="183"/>
      <c r="L246" s="183"/>
      <c r="M246" s="183"/>
    </row>
    <row r="247" spans="1:43" ht="12.75">
      <c r="A247" s="192" t="s">
        <v>113</v>
      </c>
      <c r="B247" s="192" t="s">
        <v>282</v>
      </c>
      <c r="C247" s="192" t="s">
        <v>398</v>
      </c>
      <c r="D247" s="192" t="s">
        <v>735</v>
      </c>
      <c r="E247" s="192" t="s">
        <v>954</v>
      </c>
      <c r="F247" s="193">
        <v>12.84</v>
      </c>
      <c r="G247" s="193"/>
      <c r="H247" s="193">
        <f>F247*AE247</f>
        <v>0</v>
      </c>
      <c r="I247" s="193">
        <f>J247-H247</f>
        <v>0</v>
      </c>
      <c r="J247" s="193">
        <f>F247*G247</f>
        <v>0</v>
      </c>
      <c r="K247" s="193">
        <v>0</v>
      </c>
      <c r="L247" s="193">
        <f>F247*K247</f>
        <v>0</v>
      </c>
      <c r="M247" s="194" t="s">
        <v>985</v>
      </c>
      <c r="N247" s="13" t="s">
        <v>989</v>
      </c>
      <c r="O247" s="7">
        <f>IF(N247="5",I247,0)</f>
        <v>0</v>
      </c>
      <c r="Z247" s="7">
        <f>IF(AD247=0,J247,0)</f>
        <v>0</v>
      </c>
      <c r="AA247" s="7">
        <f>IF(AD247=15,J247,0)</f>
        <v>0</v>
      </c>
      <c r="AB247" s="7">
        <f>IF(AD247=21,J247,0)</f>
        <v>0</v>
      </c>
      <c r="AD247" s="16">
        <v>21</v>
      </c>
      <c r="AE247" s="16">
        <f>G247*1</f>
        <v>0</v>
      </c>
      <c r="AF247" s="16">
        <f>G247*(1-1)</f>
        <v>0</v>
      </c>
      <c r="AM247" s="16">
        <f>F247*AE247</f>
        <v>0</v>
      </c>
      <c r="AN247" s="16">
        <f>F247*AF247</f>
        <v>0</v>
      </c>
      <c r="AO247" s="17" t="s">
        <v>1017</v>
      </c>
      <c r="AP247" s="17" t="s">
        <v>1036</v>
      </c>
      <c r="AQ247" s="11" t="s">
        <v>1039</v>
      </c>
    </row>
    <row r="248" spans="1:13" ht="12.75">
      <c r="A248" s="183"/>
      <c r="B248" s="183"/>
      <c r="C248" s="183"/>
      <c r="D248" s="184" t="s">
        <v>18</v>
      </c>
      <c r="E248" s="183"/>
      <c r="F248" s="185">
        <v>12</v>
      </c>
      <c r="G248" s="183"/>
      <c r="H248" s="183"/>
      <c r="I248" s="183"/>
      <c r="J248" s="183"/>
      <c r="K248" s="183"/>
      <c r="L248" s="183"/>
      <c r="M248" s="183"/>
    </row>
    <row r="249" spans="1:13" ht="12.75">
      <c r="A249" s="183"/>
      <c r="B249" s="183"/>
      <c r="C249" s="183"/>
      <c r="D249" s="184" t="s">
        <v>736</v>
      </c>
      <c r="E249" s="183"/>
      <c r="F249" s="185">
        <v>0.84</v>
      </c>
      <c r="G249" s="183"/>
      <c r="H249" s="183"/>
      <c r="I249" s="183"/>
      <c r="J249" s="183"/>
      <c r="K249" s="183"/>
      <c r="L249" s="183"/>
      <c r="M249" s="183"/>
    </row>
    <row r="250" spans="1:43" ht="12.75">
      <c r="A250" s="180" t="s">
        <v>114</v>
      </c>
      <c r="B250" s="180" t="s">
        <v>282</v>
      </c>
      <c r="C250" s="180" t="s">
        <v>399</v>
      </c>
      <c r="D250" s="180" t="s">
        <v>737</v>
      </c>
      <c r="E250" s="180" t="s">
        <v>954</v>
      </c>
      <c r="F250" s="181">
        <v>135</v>
      </c>
      <c r="G250" s="181"/>
      <c r="H250" s="181">
        <f>F250*AE250</f>
        <v>0</v>
      </c>
      <c r="I250" s="181">
        <f>J250-H250</f>
        <v>0</v>
      </c>
      <c r="J250" s="181">
        <f>F250*G250</f>
        <v>0</v>
      </c>
      <c r="K250" s="181">
        <v>0</v>
      </c>
      <c r="L250" s="181">
        <f>F250*K250</f>
        <v>0</v>
      </c>
      <c r="M250" s="182" t="s">
        <v>985</v>
      </c>
      <c r="N250" s="12" t="s">
        <v>8</v>
      </c>
      <c r="O250" s="6">
        <f>IF(N250="5",I250,0)</f>
        <v>0</v>
      </c>
      <c r="Z250" s="6">
        <f>IF(AD250=0,J250,0)</f>
        <v>0</v>
      </c>
      <c r="AA250" s="6">
        <f>IF(AD250=15,J250,0)</f>
        <v>0</v>
      </c>
      <c r="AB250" s="6">
        <f>IF(AD250=21,J250,0)</f>
        <v>0</v>
      </c>
      <c r="AD250" s="16">
        <v>21</v>
      </c>
      <c r="AE250" s="16">
        <f>G250*0</f>
        <v>0</v>
      </c>
      <c r="AF250" s="16">
        <f>G250*(1-0)</f>
        <v>0</v>
      </c>
      <c r="AM250" s="16">
        <f>F250*AE250</f>
        <v>0</v>
      </c>
      <c r="AN250" s="16">
        <f>F250*AF250</f>
        <v>0</v>
      </c>
      <c r="AO250" s="17" t="s">
        <v>1017</v>
      </c>
      <c r="AP250" s="17" t="s">
        <v>1036</v>
      </c>
      <c r="AQ250" s="11" t="s">
        <v>1039</v>
      </c>
    </row>
    <row r="251" spans="1:13" ht="12.75">
      <c r="A251" s="183"/>
      <c r="B251" s="183"/>
      <c r="C251" s="183"/>
      <c r="D251" s="184" t="s">
        <v>141</v>
      </c>
      <c r="E251" s="183"/>
      <c r="F251" s="185">
        <v>135</v>
      </c>
      <c r="G251" s="183"/>
      <c r="H251" s="183"/>
      <c r="I251" s="183"/>
      <c r="J251" s="183"/>
      <c r="K251" s="183"/>
      <c r="L251" s="183"/>
      <c r="M251" s="183"/>
    </row>
    <row r="252" spans="1:43" ht="12.75">
      <c r="A252" s="192" t="s">
        <v>115</v>
      </c>
      <c r="B252" s="192" t="s">
        <v>282</v>
      </c>
      <c r="C252" s="192" t="s">
        <v>400</v>
      </c>
      <c r="D252" s="192" t="s">
        <v>738</v>
      </c>
      <c r="E252" s="192" t="s">
        <v>957</v>
      </c>
      <c r="F252" s="193">
        <v>67.5</v>
      </c>
      <c r="G252" s="193"/>
      <c r="H252" s="193">
        <f>F252*AE252</f>
        <v>0</v>
      </c>
      <c r="I252" s="193">
        <f>J252-H252</f>
        <v>0</v>
      </c>
      <c r="J252" s="193">
        <f>F252*G252</f>
        <v>0</v>
      </c>
      <c r="K252" s="193">
        <v>0.0026</v>
      </c>
      <c r="L252" s="193">
        <f>F252*K252</f>
        <v>0.1755</v>
      </c>
      <c r="M252" s="194" t="s">
        <v>985</v>
      </c>
      <c r="N252" s="13" t="s">
        <v>989</v>
      </c>
      <c r="O252" s="7">
        <f>IF(N252="5",I252,0)</f>
        <v>0</v>
      </c>
      <c r="Z252" s="7">
        <f>IF(AD252=0,J252,0)</f>
        <v>0</v>
      </c>
      <c r="AA252" s="7">
        <f>IF(AD252=15,J252,0)</f>
        <v>0</v>
      </c>
      <c r="AB252" s="7">
        <f>IF(AD252=21,J252,0)</f>
        <v>0</v>
      </c>
      <c r="AD252" s="16">
        <v>21</v>
      </c>
      <c r="AE252" s="16">
        <f>G252*1</f>
        <v>0</v>
      </c>
      <c r="AF252" s="16">
        <f>G252*(1-1)</f>
        <v>0</v>
      </c>
      <c r="AM252" s="16">
        <f>F252*AE252</f>
        <v>0</v>
      </c>
      <c r="AN252" s="16">
        <f>F252*AF252</f>
        <v>0</v>
      </c>
      <c r="AO252" s="17" t="s">
        <v>1017</v>
      </c>
      <c r="AP252" s="17" t="s">
        <v>1036</v>
      </c>
      <c r="AQ252" s="11" t="s">
        <v>1039</v>
      </c>
    </row>
    <row r="253" spans="1:13" ht="12.75">
      <c r="A253" s="183"/>
      <c r="B253" s="183"/>
      <c r="C253" s="183"/>
      <c r="D253" s="184" t="s">
        <v>739</v>
      </c>
      <c r="E253" s="183"/>
      <c r="F253" s="185">
        <v>67.5</v>
      </c>
      <c r="G253" s="183"/>
      <c r="H253" s="183"/>
      <c r="I253" s="183"/>
      <c r="J253" s="183"/>
      <c r="K253" s="183"/>
      <c r="L253" s="183"/>
      <c r="M253" s="183"/>
    </row>
    <row r="254" spans="1:43" ht="12.75">
      <c r="A254" s="192" t="s">
        <v>116</v>
      </c>
      <c r="B254" s="192" t="s">
        <v>282</v>
      </c>
      <c r="C254" s="192" t="s">
        <v>401</v>
      </c>
      <c r="D254" s="192" t="s">
        <v>740</v>
      </c>
      <c r="E254" s="192" t="s">
        <v>957</v>
      </c>
      <c r="F254" s="193">
        <v>67.5</v>
      </c>
      <c r="G254" s="193"/>
      <c r="H254" s="193">
        <f>F254*AE254</f>
        <v>0</v>
      </c>
      <c r="I254" s="193">
        <f>J254-H254</f>
        <v>0</v>
      </c>
      <c r="J254" s="193">
        <f>F254*G254</f>
        <v>0</v>
      </c>
      <c r="K254" s="193">
        <v>0.00152</v>
      </c>
      <c r="L254" s="193">
        <f>F254*K254</f>
        <v>0.10260000000000001</v>
      </c>
      <c r="M254" s="194" t="s">
        <v>985</v>
      </c>
      <c r="N254" s="13" t="s">
        <v>989</v>
      </c>
      <c r="O254" s="7">
        <f>IF(N254="5",I254,0)</f>
        <v>0</v>
      </c>
      <c r="Z254" s="7">
        <f>IF(AD254=0,J254,0)</f>
        <v>0</v>
      </c>
      <c r="AA254" s="7">
        <f>IF(AD254=15,J254,0)</f>
        <v>0</v>
      </c>
      <c r="AB254" s="7">
        <f>IF(AD254=21,J254,0)</f>
        <v>0</v>
      </c>
      <c r="AD254" s="16">
        <v>21</v>
      </c>
      <c r="AE254" s="16">
        <f>G254*1</f>
        <v>0</v>
      </c>
      <c r="AF254" s="16">
        <f>G254*(1-1)</f>
        <v>0</v>
      </c>
      <c r="AM254" s="16">
        <f>F254*AE254</f>
        <v>0</v>
      </c>
      <c r="AN254" s="16">
        <f>F254*AF254</f>
        <v>0</v>
      </c>
      <c r="AO254" s="17" t="s">
        <v>1017</v>
      </c>
      <c r="AP254" s="17" t="s">
        <v>1036</v>
      </c>
      <c r="AQ254" s="11" t="s">
        <v>1039</v>
      </c>
    </row>
    <row r="255" spans="1:13" ht="12.75">
      <c r="A255" s="183"/>
      <c r="B255" s="183"/>
      <c r="C255" s="183"/>
      <c r="D255" s="184" t="s">
        <v>739</v>
      </c>
      <c r="E255" s="183"/>
      <c r="F255" s="185">
        <v>67.5</v>
      </c>
      <c r="G255" s="183"/>
      <c r="H255" s="183"/>
      <c r="I255" s="183"/>
      <c r="J255" s="183"/>
      <c r="K255" s="183"/>
      <c r="L255" s="183"/>
      <c r="M255" s="183"/>
    </row>
    <row r="256" spans="1:43" ht="12.75">
      <c r="A256" s="180" t="s">
        <v>117</v>
      </c>
      <c r="B256" s="180" t="s">
        <v>282</v>
      </c>
      <c r="C256" s="180" t="s">
        <v>402</v>
      </c>
      <c r="D256" s="180" t="s">
        <v>741</v>
      </c>
      <c r="E256" s="180" t="s">
        <v>954</v>
      </c>
      <c r="F256" s="181">
        <v>12</v>
      </c>
      <c r="G256" s="181"/>
      <c r="H256" s="181">
        <f>F256*AE256</f>
        <v>0</v>
      </c>
      <c r="I256" s="181">
        <f>J256-H256</f>
        <v>0</v>
      </c>
      <c r="J256" s="181">
        <f>F256*G256</f>
        <v>0</v>
      </c>
      <c r="K256" s="181">
        <v>0</v>
      </c>
      <c r="L256" s="181">
        <f>F256*K256</f>
        <v>0</v>
      </c>
      <c r="M256" s="182" t="s">
        <v>985</v>
      </c>
      <c r="N256" s="12" t="s">
        <v>8</v>
      </c>
      <c r="O256" s="6">
        <f>IF(N256="5",I256,0)</f>
        <v>0</v>
      </c>
      <c r="Z256" s="6">
        <f>IF(AD256=0,J256,0)</f>
        <v>0</v>
      </c>
      <c r="AA256" s="6">
        <f>IF(AD256=15,J256,0)</f>
        <v>0</v>
      </c>
      <c r="AB256" s="6">
        <f>IF(AD256=21,J256,0)</f>
        <v>0</v>
      </c>
      <c r="AD256" s="16">
        <v>21</v>
      </c>
      <c r="AE256" s="16">
        <f>G256*0</f>
        <v>0</v>
      </c>
      <c r="AF256" s="16">
        <f>G256*(1-0)</f>
        <v>0</v>
      </c>
      <c r="AM256" s="16">
        <f>F256*AE256</f>
        <v>0</v>
      </c>
      <c r="AN256" s="16">
        <f>F256*AF256</f>
        <v>0</v>
      </c>
      <c r="AO256" s="17" t="s">
        <v>1017</v>
      </c>
      <c r="AP256" s="17" t="s">
        <v>1036</v>
      </c>
      <c r="AQ256" s="11" t="s">
        <v>1039</v>
      </c>
    </row>
    <row r="257" spans="1:13" ht="12.75">
      <c r="A257" s="183"/>
      <c r="B257" s="183"/>
      <c r="C257" s="183"/>
      <c r="D257" s="184" t="s">
        <v>18</v>
      </c>
      <c r="E257" s="183"/>
      <c r="F257" s="185">
        <v>12</v>
      </c>
      <c r="G257" s="183"/>
      <c r="H257" s="183"/>
      <c r="I257" s="183"/>
      <c r="J257" s="183"/>
      <c r="K257" s="183"/>
      <c r="L257" s="183"/>
      <c r="M257" s="183"/>
    </row>
    <row r="258" spans="1:43" ht="12.75">
      <c r="A258" s="192" t="s">
        <v>118</v>
      </c>
      <c r="B258" s="192" t="s">
        <v>282</v>
      </c>
      <c r="C258" s="192" t="s">
        <v>403</v>
      </c>
      <c r="D258" s="192" t="s">
        <v>742</v>
      </c>
      <c r="E258" s="192" t="s">
        <v>957</v>
      </c>
      <c r="F258" s="193">
        <v>6</v>
      </c>
      <c r="G258" s="193"/>
      <c r="H258" s="193">
        <f>F258*AE258</f>
        <v>0</v>
      </c>
      <c r="I258" s="193">
        <f>J258-H258</f>
        <v>0</v>
      </c>
      <c r="J258" s="193">
        <f>F258*G258</f>
        <v>0</v>
      </c>
      <c r="K258" s="193">
        <v>0.00364</v>
      </c>
      <c r="L258" s="193">
        <f>F258*K258</f>
        <v>0.02184</v>
      </c>
      <c r="M258" s="194" t="s">
        <v>985</v>
      </c>
      <c r="N258" s="13" t="s">
        <v>989</v>
      </c>
      <c r="O258" s="7">
        <f>IF(N258="5",I258,0)</f>
        <v>0</v>
      </c>
      <c r="Z258" s="7">
        <f>IF(AD258=0,J258,0)</f>
        <v>0</v>
      </c>
      <c r="AA258" s="7">
        <f>IF(AD258=15,J258,0)</f>
        <v>0</v>
      </c>
      <c r="AB258" s="7">
        <f>IF(AD258=21,J258,0)</f>
        <v>0</v>
      </c>
      <c r="AD258" s="16">
        <v>21</v>
      </c>
      <c r="AE258" s="16">
        <f>G258*1</f>
        <v>0</v>
      </c>
      <c r="AF258" s="16">
        <f>G258*(1-1)</f>
        <v>0</v>
      </c>
      <c r="AM258" s="16">
        <f>F258*AE258</f>
        <v>0</v>
      </c>
      <c r="AN258" s="16">
        <f>F258*AF258</f>
        <v>0</v>
      </c>
      <c r="AO258" s="17" t="s">
        <v>1017</v>
      </c>
      <c r="AP258" s="17" t="s">
        <v>1036</v>
      </c>
      <c r="AQ258" s="11" t="s">
        <v>1039</v>
      </c>
    </row>
    <row r="259" spans="1:13" ht="12.75">
      <c r="A259" s="183"/>
      <c r="B259" s="183"/>
      <c r="C259" s="183"/>
      <c r="D259" s="184" t="s">
        <v>12</v>
      </c>
      <c r="E259" s="183"/>
      <c r="F259" s="185">
        <v>6</v>
      </c>
      <c r="G259" s="183"/>
      <c r="H259" s="183"/>
      <c r="I259" s="183"/>
      <c r="J259" s="183"/>
      <c r="K259" s="183"/>
      <c r="L259" s="183"/>
      <c r="M259" s="183"/>
    </row>
    <row r="260" spans="1:43" ht="12.75">
      <c r="A260" s="192" t="s">
        <v>119</v>
      </c>
      <c r="B260" s="192" t="s">
        <v>282</v>
      </c>
      <c r="C260" s="192" t="s">
        <v>404</v>
      </c>
      <c r="D260" s="192" t="s">
        <v>743</v>
      </c>
      <c r="E260" s="192" t="s">
        <v>957</v>
      </c>
      <c r="F260" s="193">
        <v>6</v>
      </c>
      <c r="G260" s="193"/>
      <c r="H260" s="193">
        <f>F260*AE260</f>
        <v>0</v>
      </c>
      <c r="I260" s="193">
        <f>J260-H260</f>
        <v>0</v>
      </c>
      <c r="J260" s="193">
        <f>F260*G260</f>
        <v>0</v>
      </c>
      <c r="K260" s="193">
        <v>0.0056</v>
      </c>
      <c r="L260" s="193">
        <f>F260*K260</f>
        <v>0.0336</v>
      </c>
      <c r="M260" s="194" t="s">
        <v>985</v>
      </c>
      <c r="N260" s="13" t="s">
        <v>989</v>
      </c>
      <c r="O260" s="7">
        <f>IF(N260="5",I260,0)</f>
        <v>0</v>
      </c>
      <c r="Z260" s="7">
        <f>IF(AD260=0,J260,0)</f>
        <v>0</v>
      </c>
      <c r="AA260" s="7">
        <f>IF(AD260=15,J260,0)</f>
        <v>0</v>
      </c>
      <c r="AB260" s="7">
        <f>IF(AD260=21,J260,0)</f>
        <v>0</v>
      </c>
      <c r="AD260" s="16">
        <v>21</v>
      </c>
      <c r="AE260" s="16">
        <f>G260*1</f>
        <v>0</v>
      </c>
      <c r="AF260" s="16">
        <f>G260*(1-1)</f>
        <v>0</v>
      </c>
      <c r="AM260" s="16">
        <f>F260*AE260</f>
        <v>0</v>
      </c>
      <c r="AN260" s="16">
        <f>F260*AF260</f>
        <v>0</v>
      </c>
      <c r="AO260" s="17" t="s">
        <v>1017</v>
      </c>
      <c r="AP260" s="17" t="s">
        <v>1036</v>
      </c>
      <c r="AQ260" s="11" t="s">
        <v>1039</v>
      </c>
    </row>
    <row r="261" spans="1:13" ht="12.75">
      <c r="A261" s="183"/>
      <c r="B261" s="183"/>
      <c r="C261" s="183"/>
      <c r="D261" s="184" t="s">
        <v>12</v>
      </c>
      <c r="E261" s="183"/>
      <c r="F261" s="185">
        <v>6</v>
      </c>
      <c r="G261" s="183"/>
      <c r="H261" s="183"/>
      <c r="I261" s="183"/>
      <c r="J261" s="183"/>
      <c r="K261" s="183"/>
      <c r="L261" s="183"/>
      <c r="M261" s="183"/>
    </row>
    <row r="262" spans="1:43" ht="12.75">
      <c r="A262" s="180" t="s">
        <v>120</v>
      </c>
      <c r="B262" s="180" t="s">
        <v>282</v>
      </c>
      <c r="C262" s="180" t="s">
        <v>405</v>
      </c>
      <c r="D262" s="180" t="s">
        <v>744</v>
      </c>
      <c r="E262" s="180" t="s">
        <v>954</v>
      </c>
      <c r="F262" s="181">
        <v>18</v>
      </c>
      <c r="G262" s="181"/>
      <c r="H262" s="181">
        <f>F262*AE262</f>
        <v>0</v>
      </c>
      <c r="I262" s="181">
        <f>J262-H262</f>
        <v>0</v>
      </c>
      <c r="J262" s="181">
        <f>F262*G262</f>
        <v>0</v>
      </c>
      <c r="K262" s="181">
        <v>0</v>
      </c>
      <c r="L262" s="181">
        <f>F262*K262</f>
        <v>0</v>
      </c>
      <c r="M262" s="182" t="s">
        <v>985</v>
      </c>
      <c r="N262" s="12" t="s">
        <v>8</v>
      </c>
      <c r="O262" s="6">
        <f>IF(N262="5",I262,0)</f>
        <v>0</v>
      </c>
      <c r="Z262" s="6">
        <f>IF(AD262=0,J262,0)</f>
        <v>0</v>
      </c>
      <c r="AA262" s="6">
        <f>IF(AD262=15,J262,0)</f>
        <v>0</v>
      </c>
      <c r="AB262" s="6">
        <f>IF(AD262=21,J262,0)</f>
        <v>0</v>
      </c>
      <c r="AD262" s="16">
        <v>21</v>
      </c>
      <c r="AE262" s="16">
        <f>G262*0.741649122807018</f>
        <v>0</v>
      </c>
      <c r="AF262" s="16">
        <f>G262*(1-0.741649122807018)</f>
        <v>0</v>
      </c>
      <c r="AM262" s="16">
        <f>F262*AE262</f>
        <v>0</v>
      </c>
      <c r="AN262" s="16">
        <f>F262*AF262</f>
        <v>0</v>
      </c>
      <c r="AO262" s="17" t="s">
        <v>1017</v>
      </c>
      <c r="AP262" s="17" t="s">
        <v>1036</v>
      </c>
      <c r="AQ262" s="11" t="s">
        <v>1039</v>
      </c>
    </row>
    <row r="263" spans="1:13" ht="12.75">
      <c r="A263" s="183"/>
      <c r="B263" s="183"/>
      <c r="C263" s="183"/>
      <c r="D263" s="184" t="s">
        <v>24</v>
      </c>
      <c r="E263" s="183"/>
      <c r="F263" s="185">
        <v>18</v>
      </c>
      <c r="G263" s="183"/>
      <c r="H263" s="183"/>
      <c r="I263" s="183"/>
      <c r="J263" s="183"/>
      <c r="K263" s="183"/>
      <c r="L263" s="183"/>
      <c r="M263" s="183"/>
    </row>
    <row r="264" spans="1:43" ht="12.75">
      <c r="A264" s="180" t="s">
        <v>121</v>
      </c>
      <c r="B264" s="180" t="s">
        <v>282</v>
      </c>
      <c r="C264" s="180" t="s">
        <v>406</v>
      </c>
      <c r="D264" s="180" t="s">
        <v>745</v>
      </c>
      <c r="E264" s="180" t="s">
        <v>954</v>
      </c>
      <c r="F264" s="181">
        <v>35</v>
      </c>
      <c r="G264" s="181"/>
      <c r="H264" s="181">
        <f>F264*AE264</f>
        <v>0</v>
      </c>
      <c r="I264" s="181">
        <f>J264-H264</f>
        <v>0</v>
      </c>
      <c r="J264" s="181">
        <f>F264*G264</f>
        <v>0</v>
      </c>
      <c r="K264" s="181">
        <v>0</v>
      </c>
      <c r="L264" s="181">
        <f>F264*K264</f>
        <v>0</v>
      </c>
      <c r="M264" s="182" t="s">
        <v>985</v>
      </c>
      <c r="N264" s="12" t="s">
        <v>8</v>
      </c>
      <c r="O264" s="6">
        <f>IF(N264="5",I264,0)</f>
        <v>0</v>
      </c>
      <c r="Z264" s="6">
        <f>IF(AD264=0,J264,0)</f>
        <v>0</v>
      </c>
      <c r="AA264" s="6">
        <f>IF(AD264=15,J264,0)</f>
        <v>0</v>
      </c>
      <c r="AB264" s="6">
        <f>IF(AD264=21,J264,0)</f>
        <v>0</v>
      </c>
      <c r="AD264" s="16">
        <v>21</v>
      </c>
      <c r="AE264" s="16">
        <f>G264*0</f>
        <v>0</v>
      </c>
      <c r="AF264" s="16">
        <f>G264*(1-0)</f>
        <v>0</v>
      </c>
      <c r="AM264" s="16">
        <f>F264*AE264</f>
        <v>0</v>
      </c>
      <c r="AN264" s="16">
        <f>F264*AF264</f>
        <v>0</v>
      </c>
      <c r="AO264" s="17" t="s">
        <v>1017</v>
      </c>
      <c r="AP264" s="17" t="s">
        <v>1036</v>
      </c>
      <c r="AQ264" s="11" t="s">
        <v>1039</v>
      </c>
    </row>
    <row r="265" spans="1:13" ht="12.75">
      <c r="A265" s="183"/>
      <c r="B265" s="183"/>
      <c r="C265" s="183"/>
      <c r="D265" s="184" t="s">
        <v>41</v>
      </c>
      <c r="E265" s="183"/>
      <c r="F265" s="185">
        <v>35</v>
      </c>
      <c r="G265" s="183"/>
      <c r="H265" s="183"/>
      <c r="I265" s="183"/>
      <c r="J265" s="183"/>
      <c r="K265" s="183"/>
      <c r="L265" s="183"/>
      <c r="M265" s="183"/>
    </row>
    <row r="266" spans="1:43" ht="12.75">
      <c r="A266" s="192" t="s">
        <v>122</v>
      </c>
      <c r="B266" s="192" t="s">
        <v>282</v>
      </c>
      <c r="C266" s="192" t="s">
        <v>407</v>
      </c>
      <c r="D266" s="192" t="s">
        <v>746</v>
      </c>
      <c r="E266" s="192" t="s">
        <v>954</v>
      </c>
      <c r="F266" s="193">
        <v>37.45</v>
      </c>
      <c r="G266" s="193"/>
      <c r="H266" s="193">
        <f>F266*AE266</f>
        <v>0</v>
      </c>
      <c r="I266" s="193">
        <f>J266-H266</f>
        <v>0</v>
      </c>
      <c r="J266" s="193">
        <f>F266*G266</f>
        <v>0</v>
      </c>
      <c r="K266" s="193">
        <v>0.0002</v>
      </c>
      <c r="L266" s="193">
        <f>F266*K266</f>
        <v>0.007490000000000001</v>
      </c>
      <c r="M266" s="194" t="s">
        <v>985</v>
      </c>
      <c r="N266" s="13" t="s">
        <v>989</v>
      </c>
      <c r="O266" s="7">
        <f>IF(N266="5",I266,0)</f>
        <v>0</v>
      </c>
      <c r="Z266" s="7">
        <f>IF(AD266=0,J266,0)</f>
        <v>0</v>
      </c>
      <c r="AA266" s="7">
        <f>IF(AD266=15,J266,0)</f>
        <v>0</v>
      </c>
      <c r="AB266" s="7">
        <f>IF(AD266=21,J266,0)</f>
        <v>0</v>
      </c>
      <c r="AD266" s="16">
        <v>21</v>
      </c>
      <c r="AE266" s="16">
        <f>G266*1</f>
        <v>0</v>
      </c>
      <c r="AF266" s="16">
        <f>G266*(1-1)</f>
        <v>0</v>
      </c>
      <c r="AM266" s="16">
        <f>F266*AE266</f>
        <v>0</v>
      </c>
      <c r="AN266" s="16">
        <f>F266*AF266</f>
        <v>0</v>
      </c>
      <c r="AO266" s="17" t="s">
        <v>1017</v>
      </c>
      <c r="AP266" s="17" t="s">
        <v>1036</v>
      </c>
      <c r="AQ266" s="11" t="s">
        <v>1039</v>
      </c>
    </row>
    <row r="267" spans="1:13" ht="12.75">
      <c r="A267" s="183"/>
      <c r="B267" s="183"/>
      <c r="C267" s="183"/>
      <c r="D267" s="184" t="s">
        <v>41</v>
      </c>
      <c r="E267" s="183"/>
      <c r="F267" s="185">
        <v>35</v>
      </c>
      <c r="G267" s="183"/>
      <c r="H267" s="183"/>
      <c r="I267" s="183"/>
      <c r="J267" s="183"/>
      <c r="K267" s="183"/>
      <c r="L267" s="183"/>
      <c r="M267" s="183"/>
    </row>
    <row r="268" spans="1:13" ht="12.75">
      <c r="A268" s="183"/>
      <c r="B268" s="183"/>
      <c r="C268" s="183"/>
      <c r="D268" s="184" t="s">
        <v>747</v>
      </c>
      <c r="E268" s="183"/>
      <c r="F268" s="185">
        <v>2.45</v>
      </c>
      <c r="G268" s="183"/>
      <c r="H268" s="183"/>
      <c r="I268" s="183"/>
      <c r="J268" s="183"/>
      <c r="K268" s="183"/>
      <c r="L268" s="183"/>
      <c r="M268" s="183"/>
    </row>
    <row r="269" spans="1:43" ht="12.75">
      <c r="A269" s="180" t="s">
        <v>123</v>
      </c>
      <c r="B269" s="180" t="s">
        <v>282</v>
      </c>
      <c r="C269" s="180" t="s">
        <v>408</v>
      </c>
      <c r="D269" s="180" t="s">
        <v>748</v>
      </c>
      <c r="E269" s="180" t="s">
        <v>954</v>
      </c>
      <c r="F269" s="181">
        <v>360</v>
      </c>
      <c r="G269" s="181"/>
      <c r="H269" s="181">
        <f>F269*AE269</f>
        <v>0</v>
      </c>
      <c r="I269" s="181">
        <f>J269-H269</f>
        <v>0</v>
      </c>
      <c r="J269" s="181">
        <f>F269*G269</f>
        <v>0</v>
      </c>
      <c r="K269" s="181">
        <v>0</v>
      </c>
      <c r="L269" s="181">
        <f>F269*K269</f>
        <v>0</v>
      </c>
      <c r="M269" s="182" t="s">
        <v>985</v>
      </c>
      <c r="N269" s="12" t="s">
        <v>8</v>
      </c>
      <c r="O269" s="6">
        <f>IF(N269="5",I269,0)</f>
        <v>0</v>
      </c>
      <c r="Z269" s="6">
        <f>IF(AD269=0,J269,0)</f>
        <v>0</v>
      </c>
      <c r="AA269" s="6">
        <f>IF(AD269=15,J269,0)</f>
        <v>0</v>
      </c>
      <c r="AB269" s="6">
        <f>IF(AD269=21,J269,0)</f>
        <v>0</v>
      </c>
      <c r="AD269" s="16">
        <v>21</v>
      </c>
      <c r="AE269" s="16">
        <f>G269*0</f>
        <v>0</v>
      </c>
      <c r="AF269" s="16">
        <f>G269*(1-0)</f>
        <v>0</v>
      </c>
      <c r="AM269" s="16">
        <f>F269*AE269</f>
        <v>0</v>
      </c>
      <c r="AN269" s="16">
        <f>F269*AF269</f>
        <v>0</v>
      </c>
      <c r="AO269" s="17" t="s">
        <v>1017</v>
      </c>
      <c r="AP269" s="17" t="s">
        <v>1036</v>
      </c>
      <c r="AQ269" s="11" t="s">
        <v>1039</v>
      </c>
    </row>
    <row r="270" spans="1:13" ht="12.75">
      <c r="A270" s="183"/>
      <c r="B270" s="183"/>
      <c r="C270" s="183"/>
      <c r="D270" s="184" t="s">
        <v>749</v>
      </c>
      <c r="E270" s="183"/>
      <c r="F270" s="185">
        <v>360</v>
      </c>
      <c r="G270" s="183"/>
      <c r="H270" s="183"/>
      <c r="I270" s="183"/>
      <c r="J270" s="183"/>
      <c r="K270" s="183"/>
      <c r="L270" s="183"/>
      <c r="M270" s="183"/>
    </row>
    <row r="271" spans="1:43" ht="12.75">
      <c r="A271" s="192" t="s">
        <v>124</v>
      </c>
      <c r="B271" s="192" t="s">
        <v>282</v>
      </c>
      <c r="C271" s="192" t="s">
        <v>409</v>
      </c>
      <c r="D271" s="192" t="s">
        <v>750</v>
      </c>
      <c r="E271" s="192" t="s">
        <v>954</v>
      </c>
      <c r="F271" s="193">
        <v>385.2</v>
      </c>
      <c r="G271" s="193"/>
      <c r="H271" s="193">
        <f>F271*AE271</f>
        <v>0</v>
      </c>
      <c r="I271" s="193">
        <f>J271-H271</f>
        <v>0</v>
      </c>
      <c r="J271" s="193">
        <f>F271*G271</f>
        <v>0</v>
      </c>
      <c r="K271" s="193">
        <v>0.00032</v>
      </c>
      <c r="L271" s="193">
        <f>F271*K271</f>
        <v>0.12326400000000001</v>
      </c>
      <c r="M271" s="194" t="s">
        <v>985</v>
      </c>
      <c r="N271" s="13" t="s">
        <v>989</v>
      </c>
      <c r="O271" s="7">
        <f>IF(N271="5",I271,0)</f>
        <v>0</v>
      </c>
      <c r="Z271" s="7">
        <f>IF(AD271=0,J271,0)</f>
        <v>0</v>
      </c>
      <c r="AA271" s="7">
        <f>IF(AD271=15,J271,0)</f>
        <v>0</v>
      </c>
      <c r="AB271" s="7">
        <f>IF(AD271=21,J271,0)</f>
        <v>0</v>
      </c>
      <c r="AD271" s="16">
        <v>21</v>
      </c>
      <c r="AE271" s="16">
        <f>G271*1</f>
        <v>0</v>
      </c>
      <c r="AF271" s="16">
        <f>G271*(1-1)</f>
        <v>0</v>
      </c>
      <c r="AM271" s="16">
        <f>F271*AE271</f>
        <v>0</v>
      </c>
      <c r="AN271" s="16">
        <f>F271*AF271</f>
        <v>0</v>
      </c>
      <c r="AO271" s="17" t="s">
        <v>1017</v>
      </c>
      <c r="AP271" s="17" t="s">
        <v>1036</v>
      </c>
      <c r="AQ271" s="11" t="s">
        <v>1039</v>
      </c>
    </row>
    <row r="272" spans="1:13" ht="12.75">
      <c r="A272" s="183"/>
      <c r="B272" s="183"/>
      <c r="C272" s="183"/>
      <c r="D272" s="184" t="s">
        <v>749</v>
      </c>
      <c r="E272" s="183"/>
      <c r="F272" s="185">
        <v>360</v>
      </c>
      <c r="G272" s="183"/>
      <c r="H272" s="183"/>
      <c r="I272" s="183"/>
      <c r="J272" s="183"/>
      <c r="K272" s="183"/>
      <c r="L272" s="183"/>
      <c r="M272" s="183"/>
    </row>
    <row r="273" spans="1:13" ht="12.75">
      <c r="A273" s="183"/>
      <c r="B273" s="183"/>
      <c r="C273" s="183"/>
      <c r="D273" s="184" t="s">
        <v>751</v>
      </c>
      <c r="E273" s="183"/>
      <c r="F273" s="185">
        <v>25.2</v>
      </c>
      <c r="G273" s="183"/>
      <c r="H273" s="183"/>
      <c r="I273" s="183"/>
      <c r="J273" s="183"/>
      <c r="K273" s="183"/>
      <c r="L273" s="183"/>
      <c r="M273" s="183"/>
    </row>
    <row r="274" spans="1:43" ht="12.75">
      <c r="A274" s="180" t="s">
        <v>125</v>
      </c>
      <c r="B274" s="180" t="s">
        <v>282</v>
      </c>
      <c r="C274" s="180" t="s">
        <v>410</v>
      </c>
      <c r="D274" s="180" t="s">
        <v>752</v>
      </c>
      <c r="E274" s="180" t="s">
        <v>954</v>
      </c>
      <c r="F274" s="181">
        <v>12</v>
      </c>
      <c r="G274" s="181"/>
      <c r="H274" s="181">
        <f>F274*AE274</f>
        <v>0</v>
      </c>
      <c r="I274" s="181">
        <f>J274-H274</f>
        <v>0</v>
      </c>
      <c r="J274" s="181">
        <f>F274*G274</f>
        <v>0</v>
      </c>
      <c r="K274" s="181">
        <v>0.00037</v>
      </c>
      <c r="L274" s="181">
        <f>F274*K274</f>
        <v>0.0044399999999999995</v>
      </c>
      <c r="M274" s="182" t="s">
        <v>985</v>
      </c>
      <c r="N274" s="12" t="s">
        <v>8</v>
      </c>
      <c r="O274" s="6">
        <f>IF(N274="5",I274,0)</f>
        <v>0</v>
      </c>
      <c r="Z274" s="6">
        <f>IF(AD274=0,J274,0)</f>
        <v>0</v>
      </c>
      <c r="AA274" s="6">
        <f>IF(AD274=15,J274,0)</f>
        <v>0</v>
      </c>
      <c r="AB274" s="6">
        <f>IF(AD274=21,J274,0)</f>
        <v>0</v>
      </c>
      <c r="AD274" s="16">
        <v>21</v>
      </c>
      <c r="AE274" s="16">
        <f>G274*0.73673640167364</f>
        <v>0</v>
      </c>
      <c r="AF274" s="16">
        <f>G274*(1-0.73673640167364)</f>
        <v>0</v>
      </c>
      <c r="AM274" s="16">
        <f>F274*AE274</f>
        <v>0</v>
      </c>
      <c r="AN274" s="16">
        <f>F274*AF274</f>
        <v>0</v>
      </c>
      <c r="AO274" s="17" t="s">
        <v>1017</v>
      </c>
      <c r="AP274" s="17" t="s">
        <v>1036</v>
      </c>
      <c r="AQ274" s="11" t="s">
        <v>1039</v>
      </c>
    </row>
    <row r="275" spans="1:13" ht="12.75">
      <c r="A275" s="183"/>
      <c r="B275" s="183"/>
      <c r="C275" s="183"/>
      <c r="D275" s="184" t="s">
        <v>18</v>
      </c>
      <c r="E275" s="183"/>
      <c r="F275" s="185">
        <v>12</v>
      </c>
      <c r="G275" s="183"/>
      <c r="H275" s="183"/>
      <c r="I275" s="183"/>
      <c r="J275" s="183"/>
      <c r="K275" s="183"/>
      <c r="L275" s="183"/>
      <c r="M275" s="183"/>
    </row>
    <row r="276" spans="1:43" ht="12.75">
      <c r="A276" s="180" t="s">
        <v>126</v>
      </c>
      <c r="B276" s="180" t="s">
        <v>282</v>
      </c>
      <c r="C276" s="180" t="s">
        <v>411</v>
      </c>
      <c r="D276" s="180" t="s">
        <v>753</v>
      </c>
      <c r="E276" s="180" t="s">
        <v>957</v>
      </c>
      <c r="F276" s="181">
        <v>160</v>
      </c>
      <c r="G276" s="181"/>
      <c r="H276" s="181">
        <f>F276*AE276</f>
        <v>0</v>
      </c>
      <c r="I276" s="181">
        <f>J276-H276</f>
        <v>0</v>
      </c>
      <c r="J276" s="181">
        <f>F276*G276</f>
        <v>0</v>
      </c>
      <c r="K276" s="181">
        <v>0.00105</v>
      </c>
      <c r="L276" s="181">
        <f>F276*K276</f>
        <v>0.16799999999999998</v>
      </c>
      <c r="M276" s="182" t="s">
        <v>985</v>
      </c>
      <c r="N276" s="12" t="s">
        <v>8</v>
      </c>
      <c r="O276" s="6">
        <f>IF(N276="5",I276,0)</f>
        <v>0</v>
      </c>
      <c r="Z276" s="6">
        <f>IF(AD276=0,J276,0)</f>
        <v>0</v>
      </c>
      <c r="AA276" s="6">
        <f>IF(AD276=15,J276,0)</f>
        <v>0</v>
      </c>
      <c r="AB276" s="6">
        <f>IF(AD276=21,J276,0)</f>
        <v>0</v>
      </c>
      <c r="AD276" s="16">
        <v>21</v>
      </c>
      <c r="AE276" s="16">
        <f>G276*0.141945409994872</f>
        <v>0</v>
      </c>
      <c r="AF276" s="16">
        <f>G276*(1-0.141945409994872)</f>
        <v>0</v>
      </c>
      <c r="AM276" s="16">
        <f>F276*AE276</f>
        <v>0</v>
      </c>
      <c r="AN276" s="16">
        <f>F276*AF276</f>
        <v>0</v>
      </c>
      <c r="AO276" s="17" t="s">
        <v>1017</v>
      </c>
      <c r="AP276" s="17" t="s">
        <v>1036</v>
      </c>
      <c r="AQ276" s="11" t="s">
        <v>1039</v>
      </c>
    </row>
    <row r="277" spans="1:13" ht="12.75">
      <c r="A277" s="183"/>
      <c r="B277" s="183"/>
      <c r="C277" s="183"/>
      <c r="D277" s="184" t="s">
        <v>166</v>
      </c>
      <c r="E277" s="183"/>
      <c r="F277" s="185">
        <v>160</v>
      </c>
      <c r="G277" s="183"/>
      <c r="H277" s="183"/>
      <c r="I277" s="183"/>
      <c r="J277" s="183"/>
      <c r="K277" s="183"/>
      <c r="L277" s="183"/>
      <c r="M277" s="183"/>
    </row>
    <row r="278" spans="1:43" ht="12.75">
      <c r="A278" s="180" t="s">
        <v>127</v>
      </c>
      <c r="B278" s="180" t="s">
        <v>282</v>
      </c>
      <c r="C278" s="180" t="s">
        <v>412</v>
      </c>
      <c r="D278" s="180" t="s">
        <v>754</v>
      </c>
      <c r="E278" s="180" t="s">
        <v>954</v>
      </c>
      <c r="F278" s="181">
        <v>45</v>
      </c>
      <c r="G278" s="181"/>
      <c r="H278" s="181">
        <f>F278*AE278</f>
        <v>0</v>
      </c>
      <c r="I278" s="181">
        <f>J278-H278</f>
        <v>0</v>
      </c>
      <c r="J278" s="181">
        <f>F278*G278</f>
        <v>0</v>
      </c>
      <c r="K278" s="181">
        <v>0.00014</v>
      </c>
      <c r="L278" s="181">
        <f>F278*K278</f>
        <v>0.006299999999999999</v>
      </c>
      <c r="M278" s="182" t="s">
        <v>985</v>
      </c>
      <c r="N278" s="12" t="s">
        <v>8</v>
      </c>
      <c r="O278" s="6">
        <f>IF(N278="5",I278,0)</f>
        <v>0</v>
      </c>
      <c r="Z278" s="6">
        <f>IF(AD278=0,J278,0)</f>
        <v>0</v>
      </c>
      <c r="AA278" s="6">
        <f>IF(AD278=15,J278,0)</f>
        <v>0</v>
      </c>
      <c r="AB278" s="6">
        <f>IF(AD278=21,J278,0)</f>
        <v>0</v>
      </c>
      <c r="AD278" s="16">
        <v>21</v>
      </c>
      <c r="AE278" s="16">
        <f>G278*0.341698841698842</f>
        <v>0</v>
      </c>
      <c r="AF278" s="16">
        <f>G278*(1-0.341698841698842)</f>
        <v>0</v>
      </c>
      <c r="AM278" s="16">
        <f>F278*AE278</f>
        <v>0</v>
      </c>
      <c r="AN278" s="16">
        <f>F278*AF278</f>
        <v>0</v>
      </c>
      <c r="AO278" s="17" t="s">
        <v>1017</v>
      </c>
      <c r="AP278" s="17" t="s">
        <v>1036</v>
      </c>
      <c r="AQ278" s="11" t="s">
        <v>1039</v>
      </c>
    </row>
    <row r="279" spans="1:13" ht="12.75">
      <c r="A279" s="183"/>
      <c r="B279" s="183"/>
      <c r="C279" s="183"/>
      <c r="D279" s="184" t="s">
        <v>51</v>
      </c>
      <c r="E279" s="183"/>
      <c r="F279" s="185">
        <v>45</v>
      </c>
      <c r="G279" s="183"/>
      <c r="H279" s="183"/>
      <c r="I279" s="183"/>
      <c r="J279" s="183"/>
      <c r="K279" s="183"/>
      <c r="L279" s="183"/>
      <c r="M279" s="183"/>
    </row>
    <row r="280" spans="1:43" ht="12.75">
      <c r="A280" s="180" t="s">
        <v>128</v>
      </c>
      <c r="B280" s="180" t="s">
        <v>282</v>
      </c>
      <c r="C280" s="180" t="s">
        <v>413</v>
      </c>
      <c r="D280" s="180" t="s">
        <v>755</v>
      </c>
      <c r="E280" s="180" t="s">
        <v>954</v>
      </c>
      <c r="F280" s="181">
        <v>1285</v>
      </c>
      <c r="G280" s="181"/>
      <c r="H280" s="181">
        <f>F280*AE280</f>
        <v>0</v>
      </c>
      <c r="I280" s="181">
        <f>J280-H280</f>
        <v>0</v>
      </c>
      <c r="J280" s="181">
        <f>F280*G280</f>
        <v>0</v>
      </c>
      <c r="K280" s="181">
        <v>0.00017</v>
      </c>
      <c r="L280" s="181">
        <f>F280*K280</f>
        <v>0.21845</v>
      </c>
      <c r="M280" s="182" t="s">
        <v>985</v>
      </c>
      <c r="N280" s="12" t="s">
        <v>8</v>
      </c>
      <c r="O280" s="6">
        <f>IF(N280="5",I280,0)</f>
        <v>0</v>
      </c>
      <c r="Z280" s="6">
        <f>IF(AD280=0,J280,0)</f>
        <v>0</v>
      </c>
      <c r="AA280" s="6">
        <f>IF(AD280=15,J280,0)</f>
        <v>0</v>
      </c>
      <c r="AB280" s="6">
        <f>IF(AD280=21,J280,0)</f>
        <v>0</v>
      </c>
      <c r="AD280" s="16">
        <v>21</v>
      </c>
      <c r="AE280" s="16">
        <f>G280*0.395390070921986</f>
        <v>0</v>
      </c>
      <c r="AF280" s="16">
        <f>G280*(1-0.395390070921986)</f>
        <v>0</v>
      </c>
      <c r="AM280" s="16">
        <f>F280*AE280</f>
        <v>0</v>
      </c>
      <c r="AN280" s="16">
        <f>F280*AF280</f>
        <v>0</v>
      </c>
      <c r="AO280" s="17" t="s">
        <v>1017</v>
      </c>
      <c r="AP280" s="17" t="s">
        <v>1036</v>
      </c>
      <c r="AQ280" s="11" t="s">
        <v>1039</v>
      </c>
    </row>
    <row r="281" spans="1:13" ht="12.75">
      <c r="A281" s="183"/>
      <c r="B281" s="183"/>
      <c r="C281" s="183"/>
      <c r="D281" s="184" t="s">
        <v>756</v>
      </c>
      <c r="E281" s="183"/>
      <c r="F281" s="185">
        <v>65</v>
      </c>
      <c r="G281" s="183"/>
      <c r="H281" s="183"/>
      <c r="I281" s="183"/>
      <c r="J281" s="183"/>
      <c r="K281" s="183"/>
      <c r="L281" s="183"/>
      <c r="M281" s="183"/>
    </row>
    <row r="282" spans="1:13" ht="12.75">
      <c r="A282" s="183"/>
      <c r="B282" s="183"/>
      <c r="C282" s="183"/>
      <c r="D282" s="184" t="s">
        <v>757</v>
      </c>
      <c r="E282" s="183"/>
      <c r="F282" s="185">
        <v>1220</v>
      </c>
      <c r="G282" s="183"/>
      <c r="H282" s="183"/>
      <c r="I282" s="183"/>
      <c r="J282" s="183"/>
      <c r="K282" s="183"/>
      <c r="L282" s="183"/>
      <c r="M282" s="183"/>
    </row>
    <row r="283" spans="1:43" ht="12.75">
      <c r="A283" s="180" t="s">
        <v>129</v>
      </c>
      <c r="B283" s="180" t="s">
        <v>282</v>
      </c>
      <c r="C283" s="180" t="s">
        <v>414</v>
      </c>
      <c r="D283" s="180" t="s">
        <v>758</v>
      </c>
      <c r="E283" s="180" t="s">
        <v>954</v>
      </c>
      <c r="F283" s="181">
        <v>20</v>
      </c>
      <c r="G283" s="181"/>
      <c r="H283" s="181">
        <f>F283*AE283</f>
        <v>0</v>
      </c>
      <c r="I283" s="181">
        <f>J283-H283</f>
        <v>0</v>
      </c>
      <c r="J283" s="181">
        <f>F283*G283</f>
        <v>0</v>
      </c>
      <c r="K283" s="181">
        <v>0.00021</v>
      </c>
      <c r="L283" s="181">
        <f>F283*K283</f>
        <v>0.004200000000000001</v>
      </c>
      <c r="M283" s="182" t="s">
        <v>985</v>
      </c>
      <c r="N283" s="12" t="s">
        <v>8</v>
      </c>
      <c r="O283" s="6">
        <f>IF(N283="5",I283,0)</f>
        <v>0</v>
      </c>
      <c r="Z283" s="6">
        <f>IF(AD283=0,J283,0)</f>
        <v>0</v>
      </c>
      <c r="AA283" s="6">
        <f>IF(AD283=15,J283,0)</f>
        <v>0</v>
      </c>
      <c r="AB283" s="6">
        <f>IF(AD283=21,J283,0)</f>
        <v>0</v>
      </c>
      <c r="AD283" s="16">
        <v>21</v>
      </c>
      <c r="AE283" s="16">
        <f>G283*0.531593406593407</f>
        <v>0</v>
      </c>
      <c r="AF283" s="16">
        <f>G283*(1-0.531593406593407)</f>
        <v>0</v>
      </c>
      <c r="AM283" s="16">
        <f>F283*AE283</f>
        <v>0</v>
      </c>
      <c r="AN283" s="16">
        <f>F283*AF283</f>
        <v>0</v>
      </c>
      <c r="AO283" s="17" t="s">
        <v>1017</v>
      </c>
      <c r="AP283" s="17" t="s">
        <v>1036</v>
      </c>
      <c r="AQ283" s="11" t="s">
        <v>1039</v>
      </c>
    </row>
    <row r="284" spans="1:13" ht="12.75">
      <c r="A284" s="183"/>
      <c r="B284" s="183"/>
      <c r="C284" s="183"/>
      <c r="D284" s="184" t="s">
        <v>26</v>
      </c>
      <c r="E284" s="183"/>
      <c r="F284" s="185">
        <v>20</v>
      </c>
      <c r="G284" s="183"/>
      <c r="H284" s="183"/>
      <c r="I284" s="183"/>
      <c r="J284" s="183"/>
      <c r="K284" s="183"/>
      <c r="L284" s="183"/>
      <c r="M284" s="183"/>
    </row>
    <row r="285" spans="1:43" ht="12.75">
      <c r="A285" s="180" t="s">
        <v>130</v>
      </c>
      <c r="B285" s="180" t="s">
        <v>282</v>
      </c>
      <c r="C285" s="180" t="s">
        <v>415</v>
      </c>
      <c r="D285" s="180" t="s">
        <v>759</v>
      </c>
      <c r="E285" s="180" t="s">
        <v>954</v>
      </c>
      <c r="F285" s="181">
        <v>40</v>
      </c>
      <c r="G285" s="181"/>
      <c r="H285" s="181">
        <f>F285*AE285</f>
        <v>0</v>
      </c>
      <c r="I285" s="181">
        <f>J285-H285</f>
        <v>0</v>
      </c>
      <c r="J285" s="181">
        <f>F285*G285</f>
        <v>0</v>
      </c>
      <c r="K285" s="181">
        <v>0.00022</v>
      </c>
      <c r="L285" s="181">
        <f>F285*K285</f>
        <v>0.0088</v>
      </c>
      <c r="M285" s="182" t="s">
        <v>985</v>
      </c>
      <c r="N285" s="12" t="s">
        <v>8</v>
      </c>
      <c r="O285" s="6">
        <f>IF(N285="5",I285,0)</f>
        <v>0</v>
      </c>
      <c r="Z285" s="6">
        <f>IF(AD285=0,J285,0)</f>
        <v>0</v>
      </c>
      <c r="AA285" s="6">
        <f>IF(AD285=15,J285,0)</f>
        <v>0</v>
      </c>
      <c r="AB285" s="6">
        <f>IF(AD285=21,J285,0)</f>
        <v>0</v>
      </c>
      <c r="AD285" s="16">
        <v>21</v>
      </c>
      <c r="AE285" s="16">
        <f>G285*0.51699716713881</f>
        <v>0</v>
      </c>
      <c r="AF285" s="16">
        <f>G285*(1-0.51699716713881)</f>
        <v>0</v>
      </c>
      <c r="AM285" s="16">
        <f>F285*AE285</f>
        <v>0</v>
      </c>
      <c r="AN285" s="16">
        <f>F285*AF285</f>
        <v>0</v>
      </c>
      <c r="AO285" s="17" t="s">
        <v>1017</v>
      </c>
      <c r="AP285" s="17" t="s">
        <v>1036</v>
      </c>
      <c r="AQ285" s="11" t="s">
        <v>1039</v>
      </c>
    </row>
    <row r="286" spans="1:13" ht="12.75">
      <c r="A286" s="183"/>
      <c r="B286" s="183"/>
      <c r="C286" s="183"/>
      <c r="D286" s="184" t="s">
        <v>46</v>
      </c>
      <c r="E286" s="183"/>
      <c r="F286" s="185">
        <v>40</v>
      </c>
      <c r="G286" s="183"/>
      <c r="H286" s="183"/>
      <c r="I286" s="183"/>
      <c r="J286" s="183"/>
      <c r="K286" s="183"/>
      <c r="L286" s="183"/>
      <c r="M286" s="183"/>
    </row>
    <row r="287" spans="1:43" ht="12.75">
      <c r="A287" s="180" t="s">
        <v>131</v>
      </c>
      <c r="B287" s="180" t="s">
        <v>282</v>
      </c>
      <c r="C287" s="180" t="s">
        <v>416</v>
      </c>
      <c r="D287" s="180" t="s">
        <v>760</v>
      </c>
      <c r="E287" s="180" t="s">
        <v>954</v>
      </c>
      <c r="F287" s="181">
        <v>165</v>
      </c>
      <c r="G287" s="181"/>
      <c r="H287" s="181">
        <f>F287*AE287</f>
        <v>0</v>
      </c>
      <c r="I287" s="181">
        <f>J287-H287</f>
        <v>0</v>
      </c>
      <c r="J287" s="181">
        <f>F287*G287</f>
        <v>0</v>
      </c>
      <c r="K287" s="181">
        <v>0.00032</v>
      </c>
      <c r="L287" s="181">
        <f>F287*K287</f>
        <v>0.05280000000000001</v>
      </c>
      <c r="M287" s="182" t="s">
        <v>985</v>
      </c>
      <c r="N287" s="12" t="s">
        <v>8</v>
      </c>
      <c r="O287" s="6">
        <f>IF(N287="5",I287,0)</f>
        <v>0</v>
      </c>
      <c r="Z287" s="6">
        <f>IF(AD287=0,J287,0)</f>
        <v>0</v>
      </c>
      <c r="AA287" s="6">
        <f>IF(AD287=15,J287,0)</f>
        <v>0</v>
      </c>
      <c r="AB287" s="6">
        <f>IF(AD287=21,J287,0)</f>
        <v>0</v>
      </c>
      <c r="AD287" s="16">
        <v>21</v>
      </c>
      <c r="AE287" s="16">
        <f>G287*0.634903640256959</f>
        <v>0</v>
      </c>
      <c r="AF287" s="16">
        <f>G287*(1-0.634903640256959)</f>
        <v>0</v>
      </c>
      <c r="AM287" s="16">
        <f>F287*AE287</f>
        <v>0</v>
      </c>
      <c r="AN287" s="16">
        <f>F287*AF287</f>
        <v>0</v>
      </c>
      <c r="AO287" s="17" t="s">
        <v>1017</v>
      </c>
      <c r="AP287" s="17" t="s">
        <v>1036</v>
      </c>
      <c r="AQ287" s="11" t="s">
        <v>1039</v>
      </c>
    </row>
    <row r="288" spans="1:13" ht="12.75">
      <c r="A288" s="183"/>
      <c r="B288" s="183"/>
      <c r="C288" s="183"/>
      <c r="D288" s="184" t="s">
        <v>171</v>
      </c>
      <c r="E288" s="183"/>
      <c r="F288" s="185">
        <v>165</v>
      </c>
      <c r="G288" s="183"/>
      <c r="H288" s="183"/>
      <c r="I288" s="183"/>
      <c r="J288" s="183"/>
      <c r="K288" s="183"/>
      <c r="L288" s="183"/>
      <c r="M288" s="183"/>
    </row>
    <row r="289" spans="1:43" ht="12.75">
      <c r="A289" s="180" t="s">
        <v>132</v>
      </c>
      <c r="B289" s="180" t="s">
        <v>282</v>
      </c>
      <c r="C289" s="180" t="s">
        <v>417</v>
      </c>
      <c r="D289" s="180" t="s">
        <v>761</v>
      </c>
      <c r="E289" s="180" t="s">
        <v>954</v>
      </c>
      <c r="F289" s="181">
        <v>16</v>
      </c>
      <c r="G289" s="181"/>
      <c r="H289" s="181">
        <f>F289*AE289</f>
        <v>0</v>
      </c>
      <c r="I289" s="181">
        <f>J289-H289</f>
        <v>0</v>
      </c>
      <c r="J289" s="181">
        <f>F289*G289</f>
        <v>0</v>
      </c>
      <c r="K289" s="181">
        <v>0.00043</v>
      </c>
      <c r="L289" s="181">
        <f>F289*K289</f>
        <v>0.00688</v>
      </c>
      <c r="M289" s="182" t="s">
        <v>985</v>
      </c>
      <c r="N289" s="12" t="s">
        <v>8</v>
      </c>
      <c r="O289" s="6">
        <f>IF(N289="5",I289,0)</f>
        <v>0</v>
      </c>
      <c r="Z289" s="6">
        <f>IF(AD289=0,J289,0)</f>
        <v>0</v>
      </c>
      <c r="AA289" s="6">
        <f>IF(AD289=15,J289,0)</f>
        <v>0</v>
      </c>
      <c r="AB289" s="6">
        <f>IF(AD289=21,J289,0)</f>
        <v>0</v>
      </c>
      <c r="AD289" s="16">
        <v>21</v>
      </c>
      <c r="AE289" s="16">
        <f>G289*0.721911321566939</f>
        <v>0</v>
      </c>
      <c r="AF289" s="16">
        <f>G289*(1-0.721911321566939)</f>
        <v>0</v>
      </c>
      <c r="AM289" s="16">
        <f>F289*AE289</f>
        <v>0</v>
      </c>
      <c r="AN289" s="16">
        <f>F289*AF289</f>
        <v>0</v>
      </c>
      <c r="AO289" s="17" t="s">
        <v>1017</v>
      </c>
      <c r="AP289" s="17" t="s">
        <v>1036</v>
      </c>
      <c r="AQ289" s="11" t="s">
        <v>1039</v>
      </c>
    </row>
    <row r="290" spans="1:13" ht="12.75">
      <c r="A290" s="183"/>
      <c r="B290" s="183"/>
      <c r="C290" s="183"/>
      <c r="D290" s="184" t="s">
        <v>22</v>
      </c>
      <c r="E290" s="183"/>
      <c r="F290" s="185">
        <v>16</v>
      </c>
      <c r="G290" s="183"/>
      <c r="H290" s="183"/>
      <c r="I290" s="183"/>
      <c r="J290" s="183"/>
      <c r="K290" s="183"/>
      <c r="L290" s="183"/>
      <c r="M290" s="183"/>
    </row>
    <row r="291" spans="1:43" ht="12.75">
      <c r="A291" s="180" t="s">
        <v>133</v>
      </c>
      <c r="B291" s="180" t="s">
        <v>282</v>
      </c>
      <c r="C291" s="180" t="s">
        <v>418</v>
      </c>
      <c r="D291" s="180" t="s">
        <v>762</v>
      </c>
      <c r="E291" s="180" t="s">
        <v>954</v>
      </c>
      <c r="F291" s="181">
        <v>85</v>
      </c>
      <c r="G291" s="181"/>
      <c r="H291" s="181">
        <f>F291*AE291</f>
        <v>0</v>
      </c>
      <c r="I291" s="181">
        <f>J291-H291</f>
        <v>0</v>
      </c>
      <c r="J291" s="181">
        <f>F291*G291</f>
        <v>0</v>
      </c>
      <c r="K291" s="181">
        <v>0.00064</v>
      </c>
      <c r="L291" s="181">
        <f>F291*K291</f>
        <v>0.054400000000000004</v>
      </c>
      <c r="M291" s="182" t="s">
        <v>985</v>
      </c>
      <c r="N291" s="12" t="s">
        <v>8</v>
      </c>
      <c r="O291" s="6">
        <f>IF(N291="5",I291,0)</f>
        <v>0</v>
      </c>
      <c r="Z291" s="6">
        <f>IF(AD291=0,J291,0)</f>
        <v>0</v>
      </c>
      <c r="AA291" s="6">
        <f>IF(AD291=15,J291,0)</f>
        <v>0</v>
      </c>
      <c r="AB291" s="6">
        <f>IF(AD291=21,J291,0)</f>
        <v>0</v>
      </c>
      <c r="AD291" s="16">
        <v>21</v>
      </c>
      <c r="AE291" s="16">
        <f>G291*0.710597014925373</f>
        <v>0</v>
      </c>
      <c r="AF291" s="16">
        <f>G291*(1-0.710597014925373)</f>
        <v>0</v>
      </c>
      <c r="AM291" s="16">
        <f>F291*AE291</f>
        <v>0</v>
      </c>
      <c r="AN291" s="16">
        <f>F291*AF291</f>
        <v>0</v>
      </c>
      <c r="AO291" s="17" t="s">
        <v>1017</v>
      </c>
      <c r="AP291" s="17" t="s">
        <v>1036</v>
      </c>
      <c r="AQ291" s="11" t="s">
        <v>1039</v>
      </c>
    </row>
    <row r="292" spans="1:13" ht="12.75">
      <c r="A292" s="183"/>
      <c r="B292" s="183"/>
      <c r="C292" s="183"/>
      <c r="D292" s="184" t="s">
        <v>91</v>
      </c>
      <c r="E292" s="183"/>
      <c r="F292" s="185">
        <v>85</v>
      </c>
      <c r="G292" s="183"/>
      <c r="H292" s="183"/>
      <c r="I292" s="183"/>
      <c r="J292" s="183"/>
      <c r="K292" s="183"/>
      <c r="L292" s="183"/>
      <c r="M292" s="183"/>
    </row>
    <row r="293" spans="1:43" ht="12.75">
      <c r="A293" s="180" t="s">
        <v>134</v>
      </c>
      <c r="B293" s="180" t="s">
        <v>282</v>
      </c>
      <c r="C293" s="180" t="s">
        <v>419</v>
      </c>
      <c r="D293" s="180" t="s">
        <v>763</v>
      </c>
      <c r="E293" s="180" t="s">
        <v>954</v>
      </c>
      <c r="F293" s="181">
        <v>18</v>
      </c>
      <c r="G293" s="181"/>
      <c r="H293" s="181">
        <f>F293*AE293</f>
        <v>0</v>
      </c>
      <c r="I293" s="181">
        <f>J293-H293</f>
        <v>0</v>
      </c>
      <c r="J293" s="181">
        <f>F293*G293</f>
        <v>0</v>
      </c>
      <c r="K293" s="181">
        <v>0</v>
      </c>
      <c r="L293" s="181">
        <f>F293*K293</f>
        <v>0</v>
      </c>
      <c r="M293" s="182" t="s">
        <v>985</v>
      </c>
      <c r="N293" s="12" t="s">
        <v>8</v>
      </c>
      <c r="O293" s="6">
        <f>IF(N293="5",I293,0)</f>
        <v>0</v>
      </c>
      <c r="Z293" s="6">
        <f>IF(AD293=0,J293,0)</f>
        <v>0</v>
      </c>
      <c r="AA293" s="6">
        <f>IF(AD293=15,J293,0)</f>
        <v>0</v>
      </c>
      <c r="AB293" s="6">
        <f>IF(AD293=21,J293,0)</f>
        <v>0</v>
      </c>
      <c r="AD293" s="16">
        <v>21</v>
      </c>
      <c r="AE293" s="16">
        <f>G293*0</f>
        <v>0</v>
      </c>
      <c r="AF293" s="16">
        <f>G293*(1-0)</f>
        <v>0</v>
      </c>
      <c r="AM293" s="16">
        <f>F293*AE293</f>
        <v>0</v>
      </c>
      <c r="AN293" s="16">
        <f>F293*AF293</f>
        <v>0</v>
      </c>
      <c r="AO293" s="17" t="s">
        <v>1017</v>
      </c>
      <c r="AP293" s="17" t="s">
        <v>1036</v>
      </c>
      <c r="AQ293" s="11" t="s">
        <v>1039</v>
      </c>
    </row>
    <row r="294" spans="1:13" ht="12.75">
      <c r="A294" s="183"/>
      <c r="B294" s="183"/>
      <c r="C294" s="183"/>
      <c r="D294" s="184" t="s">
        <v>24</v>
      </c>
      <c r="E294" s="183"/>
      <c r="F294" s="185">
        <v>18</v>
      </c>
      <c r="G294" s="183"/>
      <c r="H294" s="183"/>
      <c r="I294" s="183"/>
      <c r="J294" s="183"/>
      <c r="K294" s="183"/>
      <c r="L294" s="183"/>
      <c r="M294" s="183"/>
    </row>
    <row r="295" spans="1:43" ht="12.75">
      <c r="A295" s="192" t="s">
        <v>135</v>
      </c>
      <c r="B295" s="192" t="s">
        <v>282</v>
      </c>
      <c r="C295" s="192" t="s">
        <v>420</v>
      </c>
      <c r="D295" s="192" t="s">
        <v>764</v>
      </c>
      <c r="E295" s="192" t="s">
        <v>954</v>
      </c>
      <c r="F295" s="193">
        <v>19.26</v>
      </c>
      <c r="G295" s="193"/>
      <c r="H295" s="193">
        <f>F295*AE295</f>
        <v>0</v>
      </c>
      <c r="I295" s="193">
        <f>J295-H295</f>
        <v>0</v>
      </c>
      <c r="J295" s="193">
        <f>F295*G295</f>
        <v>0</v>
      </c>
      <c r="K295" s="193">
        <v>0.00011</v>
      </c>
      <c r="L295" s="193">
        <f>F295*K295</f>
        <v>0.0021186000000000004</v>
      </c>
      <c r="M295" s="194" t="s">
        <v>985</v>
      </c>
      <c r="N295" s="13" t="s">
        <v>989</v>
      </c>
      <c r="O295" s="7">
        <f>IF(N295="5",I295,0)</f>
        <v>0</v>
      </c>
      <c r="Z295" s="7">
        <f>IF(AD295=0,J295,0)</f>
        <v>0</v>
      </c>
      <c r="AA295" s="7">
        <f>IF(AD295=15,J295,0)</f>
        <v>0</v>
      </c>
      <c r="AB295" s="7">
        <f>IF(AD295=21,J295,0)</f>
        <v>0</v>
      </c>
      <c r="AD295" s="16">
        <v>21</v>
      </c>
      <c r="AE295" s="16">
        <f>G295*1</f>
        <v>0</v>
      </c>
      <c r="AF295" s="16">
        <f>G295*(1-1)</f>
        <v>0</v>
      </c>
      <c r="AM295" s="16">
        <f>F295*AE295</f>
        <v>0</v>
      </c>
      <c r="AN295" s="16">
        <f>F295*AF295</f>
        <v>0</v>
      </c>
      <c r="AO295" s="17" t="s">
        <v>1017</v>
      </c>
      <c r="AP295" s="17" t="s">
        <v>1036</v>
      </c>
      <c r="AQ295" s="11" t="s">
        <v>1039</v>
      </c>
    </row>
    <row r="296" spans="1:13" ht="12.75">
      <c r="A296" s="183"/>
      <c r="B296" s="183"/>
      <c r="C296" s="183"/>
      <c r="D296" s="184" t="s">
        <v>24</v>
      </c>
      <c r="E296" s="183"/>
      <c r="F296" s="185">
        <v>18</v>
      </c>
      <c r="G296" s="183"/>
      <c r="H296" s="183"/>
      <c r="I296" s="183"/>
      <c r="J296" s="183"/>
      <c r="K296" s="183"/>
      <c r="L296" s="183"/>
      <c r="M296" s="183"/>
    </row>
    <row r="297" spans="1:13" ht="12.75">
      <c r="A297" s="183"/>
      <c r="B297" s="183"/>
      <c r="C297" s="183"/>
      <c r="D297" s="184" t="s">
        <v>765</v>
      </c>
      <c r="E297" s="183"/>
      <c r="F297" s="185">
        <v>1.26</v>
      </c>
      <c r="G297" s="183"/>
      <c r="H297" s="183"/>
      <c r="I297" s="183"/>
      <c r="J297" s="183"/>
      <c r="K297" s="183"/>
      <c r="L297" s="183"/>
      <c r="M297" s="183"/>
    </row>
    <row r="298" spans="1:43" ht="12.75">
      <c r="A298" s="180" t="s">
        <v>136</v>
      </c>
      <c r="B298" s="180" t="s">
        <v>282</v>
      </c>
      <c r="C298" s="180" t="s">
        <v>421</v>
      </c>
      <c r="D298" s="180" t="s">
        <v>766</v>
      </c>
      <c r="E298" s="180" t="s">
        <v>954</v>
      </c>
      <c r="F298" s="181">
        <v>18</v>
      </c>
      <c r="G298" s="181"/>
      <c r="H298" s="181">
        <f>F298*AE298</f>
        <v>0</v>
      </c>
      <c r="I298" s="181">
        <f>J298-H298</f>
        <v>0</v>
      </c>
      <c r="J298" s="181">
        <f>F298*G298</f>
        <v>0</v>
      </c>
      <c r="K298" s="181">
        <v>0</v>
      </c>
      <c r="L298" s="181">
        <f>F298*K298</f>
        <v>0</v>
      </c>
      <c r="M298" s="182" t="s">
        <v>985</v>
      </c>
      <c r="N298" s="12" t="s">
        <v>8</v>
      </c>
      <c r="O298" s="6">
        <f>IF(N298="5",I298,0)</f>
        <v>0</v>
      </c>
      <c r="Z298" s="6">
        <f>IF(AD298=0,J298,0)</f>
        <v>0</v>
      </c>
      <c r="AA298" s="6">
        <f>IF(AD298=15,J298,0)</f>
        <v>0</v>
      </c>
      <c r="AB298" s="6">
        <f>IF(AD298=21,J298,0)</f>
        <v>0</v>
      </c>
      <c r="AD298" s="16">
        <v>21</v>
      </c>
      <c r="AE298" s="16">
        <f>G298*0</f>
        <v>0</v>
      </c>
      <c r="AF298" s="16">
        <f>G298*(1-0)</f>
        <v>0</v>
      </c>
      <c r="AM298" s="16">
        <f>F298*AE298</f>
        <v>0</v>
      </c>
      <c r="AN298" s="16">
        <f>F298*AF298</f>
        <v>0</v>
      </c>
      <c r="AO298" s="17" t="s">
        <v>1017</v>
      </c>
      <c r="AP298" s="17" t="s">
        <v>1036</v>
      </c>
      <c r="AQ298" s="11" t="s">
        <v>1039</v>
      </c>
    </row>
    <row r="299" spans="1:13" ht="12.75">
      <c r="A299" s="183"/>
      <c r="B299" s="183"/>
      <c r="C299" s="183"/>
      <c r="D299" s="184" t="s">
        <v>24</v>
      </c>
      <c r="E299" s="183"/>
      <c r="F299" s="185">
        <v>18</v>
      </c>
      <c r="G299" s="183"/>
      <c r="H299" s="183"/>
      <c r="I299" s="183"/>
      <c r="J299" s="183"/>
      <c r="K299" s="183"/>
      <c r="L299" s="183"/>
      <c r="M299" s="183"/>
    </row>
    <row r="300" spans="1:43" ht="12.75">
      <c r="A300" s="192" t="s">
        <v>137</v>
      </c>
      <c r="B300" s="192" t="s">
        <v>282</v>
      </c>
      <c r="C300" s="192" t="s">
        <v>422</v>
      </c>
      <c r="D300" s="192" t="s">
        <v>767</v>
      </c>
      <c r="E300" s="192" t="s">
        <v>954</v>
      </c>
      <c r="F300" s="193">
        <v>19.26</v>
      </c>
      <c r="G300" s="193"/>
      <c r="H300" s="193">
        <f>F300*AE300</f>
        <v>0</v>
      </c>
      <c r="I300" s="193">
        <f>J300-H300</f>
        <v>0</v>
      </c>
      <c r="J300" s="193">
        <f>F300*G300</f>
        <v>0</v>
      </c>
      <c r="K300" s="193">
        <v>0.00012</v>
      </c>
      <c r="L300" s="193">
        <f>F300*K300</f>
        <v>0.0023112000000000002</v>
      </c>
      <c r="M300" s="194" t="s">
        <v>985</v>
      </c>
      <c r="N300" s="13" t="s">
        <v>989</v>
      </c>
      <c r="O300" s="7">
        <f>IF(N300="5",I300,0)</f>
        <v>0</v>
      </c>
      <c r="Z300" s="7">
        <f>IF(AD300=0,J300,0)</f>
        <v>0</v>
      </c>
      <c r="AA300" s="7">
        <f>IF(AD300=15,J300,0)</f>
        <v>0</v>
      </c>
      <c r="AB300" s="7">
        <f>IF(AD300=21,J300,0)</f>
        <v>0</v>
      </c>
      <c r="AD300" s="16">
        <v>21</v>
      </c>
      <c r="AE300" s="16">
        <f>G300*1</f>
        <v>0</v>
      </c>
      <c r="AF300" s="16">
        <f>G300*(1-1)</f>
        <v>0</v>
      </c>
      <c r="AM300" s="16">
        <f>F300*AE300</f>
        <v>0</v>
      </c>
      <c r="AN300" s="16">
        <f>F300*AF300</f>
        <v>0</v>
      </c>
      <c r="AO300" s="17" t="s">
        <v>1017</v>
      </c>
      <c r="AP300" s="17" t="s">
        <v>1036</v>
      </c>
      <c r="AQ300" s="11" t="s">
        <v>1039</v>
      </c>
    </row>
    <row r="301" spans="1:13" ht="12.75">
      <c r="A301" s="183"/>
      <c r="B301" s="183"/>
      <c r="C301" s="183"/>
      <c r="D301" s="184" t="s">
        <v>24</v>
      </c>
      <c r="E301" s="183"/>
      <c r="F301" s="185">
        <v>18</v>
      </c>
      <c r="G301" s="183"/>
      <c r="H301" s="183"/>
      <c r="I301" s="183"/>
      <c r="J301" s="183"/>
      <c r="K301" s="183"/>
      <c r="L301" s="183"/>
      <c r="M301" s="183"/>
    </row>
    <row r="302" spans="1:13" ht="12.75">
      <c r="A302" s="183"/>
      <c r="B302" s="183"/>
      <c r="C302" s="183"/>
      <c r="D302" s="184" t="s">
        <v>765</v>
      </c>
      <c r="E302" s="183"/>
      <c r="F302" s="185">
        <v>1.26</v>
      </c>
      <c r="G302" s="183"/>
      <c r="H302" s="183"/>
      <c r="I302" s="183"/>
      <c r="J302" s="183"/>
      <c r="K302" s="183"/>
      <c r="L302" s="183"/>
      <c r="M302" s="183"/>
    </row>
    <row r="303" spans="1:43" ht="12.75">
      <c r="A303" s="180" t="s">
        <v>138</v>
      </c>
      <c r="B303" s="180" t="s">
        <v>282</v>
      </c>
      <c r="C303" s="180" t="s">
        <v>423</v>
      </c>
      <c r="D303" s="180" t="s">
        <v>768</v>
      </c>
      <c r="E303" s="180" t="s">
        <v>954</v>
      </c>
      <c r="F303" s="181">
        <v>135</v>
      </c>
      <c r="G303" s="181"/>
      <c r="H303" s="181">
        <f>F303*AE303</f>
        <v>0</v>
      </c>
      <c r="I303" s="181">
        <f>J303-H303</f>
        <v>0</v>
      </c>
      <c r="J303" s="181">
        <f>F303*G303</f>
        <v>0</v>
      </c>
      <c r="K303" s="181">
        <v>0</v>
      </c>
      <c r="L303" s="181">
        <f>F303*K303</f>
        <v>0</v>
      </c>
      <c r="M303" s="182" t="s">
        <v>985</v>
      </c>
      <c r="N303" s="12" t="s">
        <v>8</v>
      </c>
      <c r="O303" s="6">
        <f>IF(N303="5",I303,0)</f>
        <v>0</v>
      </c>
      <c r="Z303" s="6">
        <f>IF(AD303=0,J303,0)</f>
        <v>0</v>
      </c>
      <c r="AA303" s="6">
        <f>IF(AD303=15,J303,0)</f>
        <v>0</v>
      </c>
      <c r="AB303" s="6">
        <f>IF(AD303=21,J303,0)</f>
        <v>0</v>
      </c>
      <c r="AD303" s="16">
        <v>21</v>
      </c>
      <c r="AE303" s="16">
        <f>G303*0.399033149171271</f>
        <v>0</v>
      </c>
      <c r="AF303" s="16">
        <f>G303*(1-0.399033149171271)</f>
        <v>0</v>
      </c>
      <c r="AM303" s="16">
        <f>F303*AE303</f>
        <v>0</v>
      </c>
      <c r="AN303" s="16">
        <f>F303*AF303</f>
        <v>0</v>
      </c>
      <c r="AO303" s="17" t="s">
        <v>1017</v>
      </c>
      <c r="AP303" s="17" t="s">
        <v>1036</v>
      </c>
      <c r="AQ303" s="11" t="s">
        <v>1039</v>
      </c>
    </row>
    <row r="304" spans="1:13" ht="12.75">
      <c r="A304" s="183"/>
      <c r="B304" s="183"/>
      <c r="C304" s="183"/>
      <c r="D304" s="184" t="s">
        <v>141</v>
      </c>
      <c r="E304" s="183"/>
      <c r="F304" s="185">
        <v>135</v>
      </c>
      <c r="G304" s="183"/>
      <c r="H304" s="183"/>
      <c r="I304" s="183"/>
      <c r="J304" s="183"/>
      <c r="K304" s="183"/>
      <c r="L304" s="183"/>
      <c r="M304" s="183"/>
    </row>
    <row r="305" spans="1:43" ht="12.75">
      <c r="A305" s="180" t="s">
        <v>139</v>
      </c>
      <c r="B305" s="180" t="s">
        <v>282</v>
      </c>
      <c r="C305" s="180" t="s">
        <v>424</v>
      </c>
      <c r="D305" s="180" t="s">
        <v>769</v>
      </c>
      <c r="E305" s="180" t="s">
        <v>954</v>
      </c>
      <c r="F305" s="181">
        <v>35</v>
      </c>
      <c r="G305" s="181"/>
      <c r="H305" s="181">
        <f>F305*AE305</f>
        <v>0</v>
      </c>
      <c r="I305" s="181">
        <f>J305-H305</f>
        <v>0</v>
      </c>
      <c r="J305" s="181">
        <f>F305*G305</f>
        <v>0</v>
      </c>
      <c r="K305" s="181">
        <v>0</v>
      </c>
      <c r="L305" s="181">
        <f>F305*K305</f>
        <v>0</v>
      </c>
      <c r="M305" s="182" t="s">
        <v>985</v>
      </c>
      <c r="N305" s="12" t="s">
        <v>8</v>
      </c>
      <c r="O305" s="6">
        <f>IF(N305="5",I305,0)</f>
        <v>0</v>
      </c>
      <c r="Z305" s="6">
        <f>IF(AD305=0,J305,0)</f>
        <v>0</v>
      </c>
      <c r="AA305" s="6">
        <f>IF(AD305=15,J305,0)</f>
        <v>0</v>
      </c>
      <c r="AB305" s="6">
        <f>IF(AD305=21,J305,0)</f>
        <v>0</v>
      </c>
      <c r="AD305" s="16">
        <v>21</v>
      </c>
      <c r="AE305" s="16">
        <f>G305*0.355161290322581</f>
        <v>0</v>
      </c>
      <c r="AF305" s="16">
        <f>G305*(1-0.355161290322581)</f>
        <v>0</v>
      </c>
      <c r="AM305" s="16">
        <f>F305*AE305</f>
        <v>0</v>
      </c>
      <c r="AN305" s="16">
        <f>F305*AF305</f>
        <v>0</v>
      </c>
      <c r="AO305" s="17" t="s">
        <v>1017</v>
      </c>
      <c r="AP305" s="17" t="s">
        <v>1036</v>
      </c>
      <c r="AQ305" s="11" t="s">
        <v>1039</v>
      </c>
    </row>
    <row r="306" spans="1:13" ht="12.75">
      <c r="A306" s="183"/>
      <c r="B306" s="183"/>
      <c r="C306" s="183"/>
      <c r="D306" s="184" t="s">
        <v>41</v>
      </c>
      <c r="E306" s="183"/>
      <c r="F306" s="185">
        <v>35</v>
      </c>
      <c r="G306" s="183"/>
      <c r="H306" s="183"/>
      <c r="I306" s="183"/>
      <c r="J306" s="183"/>
      <c r="K306" s="183"/>
      <c r="L306" s="183"/>
      <c r="M306" s="183"/>
    </row>
    <row r="307" spans="1:43" ht="12.75">
      <c r="A307" s="180" t="s">
        <v>140</v>
      </c>
      <c r="B307" s="180" t="s">
        <v>282</v>
      </c>
      <c r="C307" s="180" t="s">
        <v>425</v>
      </c>
      <c r="D307" s="180" t="s">
        <v>770</v>
      </c>
      <c r="E307" s="180" t="s">
        <v>954</v>
      </c>
      <c r="F307" s="181">
        <v>310</v>
      </c>
      <c r="G307" s="181"/>
      <c r="H307" s="181">
        <f>F307*AE307</f>
        <v>0</v>
      </c>
      <c r="I307" s="181">
        <f>J307-H307</f>
        <v>0</v>
      </c>
      <c r="J307" s="181">
        <f>F307*G307</f>
        <v>0</v>
      </c>
      <c r="K307" s="181">
        <v>0.00116</v>
      </c>
      <c r="L307" s="181">
        <f>F307*K307</f>
        <v>0.3596</v>
      </c>
      <c r="M307" s="182" t="s">
        <v>985</v>
      </c>
      <c r="N307" s="12" t="s">
        <v>8</v>
      </c>
      <c r="O307" s="6">
        <f>IF(N307="5",I307,0)</f>
        <v>0</v>
      </c>
      <c r="Z307" s="6">
        <f>IF(AD307=0,J307,0)</f>
        <v>0</v>
      </c>
      <c r="AA307" s="6">
        <f>IF(AD307=15,J307,0)</f>
        <v>0</v>
      </c>
      <c r="AB307" s="6">
        <f>IF(AD307=21,J307,0)</f>
        <v>0</v>
      </c>
      <c r="AD307" s="16">
        <v>21</v>
      </c>
      <c r="AE307" s="16">
        <f>G307*0.412058823529412</f>
        <v>0</v>
      </c>
      <c r="AF307" s="16">
        <f>G307*(1-0.412058823529412)</f>
        <v>0</v>
      </c>
      <c r="AM307" s="16">
        <f>F307*AE307</f>
        <v>0</v>
      </c>
      <c r="AN307" s="16">
        <f>F307*AF307</f>
        <v>0</v>
      </c>
      <c r="AO307" s="17" t="s">
        <v>1017</v>
      </c>
      <c r="AP307" s="17" t="s">
        <v>1036</v>
      </c>
      <c r="AQ307" s="11" t="s">
        <v>1039</v>
      </c>
    </row>
    <row r="308" spans="1:13" ht="12.75">
      <c r="A308" s="183"/>
      <c r="B308" s="183"/>
      <c r="C308" s="183"/>
      <c r="D308" s="184" t="s">
        <v>771</v>
      </c>
      <c r="E308" s="183"/>
      <c r="F308" s="185">
        <v>310</v>
      </c>
      <c r="G308" s="183"/>
      <c r="H308" s="183"/>
      <c r="I308" s="183"/>
      <c r="J308" s="183"/>
      <c r="K308" s="183"/>
      <c r="L308" s="183"/>
      <c r="M308" s="183"/>
    </row>
    <row r="309" spans="1:43" ht="12.75">
      <c r="A309" s="180" t="s">
        <v>141</v>
      </c>
      <c r="B309" s="180" t="s">
        <v>282</v>
      </c>
      <c r="C309" s="180" t="s">
        <v>426</v>
      </c>
      <c r="D309" s="180" t="s">
        <v>772</v>
      </c>
      <c r="E309" s="180" t="s">
        <v>957</v>
      </c>
      <c r="F309" s="181">
        <v>9</v>
      </c>
      <c r="G309" s="181"/>
      <c r="H309" s="181">
        <f>F309*AE309</f>
        <v>0</v>
      </c>
      <c r="I309" s="181">
        <f>J309-H309</f>
        <v>0</v>
      </c>
      <c r="J309" s="181">
        <f>F309*G309</f>
        <v>0</v>
      </c>
      <c r="K309" s="181">
        <v>0</v>
      </c>
      <c r="L309" s="181">
        <f>F309*K309</f>
        <v>0</v>
      </c>
      <c r="M309" s="182" t="s">
        <v>985</v>
      </c>
      <c r="N309" s="12" t="s">
        <v>8</v>
      </c>
      <c r="O309" s="6">
        <f>IF(N309="5",I309,0)</f>
        <v>0</v>
      </c>
      <c r="Z309" s="6">
        <f>IF(AD309=0,J309,0)</f>
        <v>0</v>
      </c>
      <c r="AA309" s="6">
        <f>IF(AD309=15,J309,0)</f>
        <v>0</v>
      </c>
      <c r="AB309" s="6">
        <f>IF(AD309=21,J309,0)</f>
        <v>0</v>
      </c>
      <c r="AD309" s="16">
        <v>21</v>
      </c>
      <c r="AE309" s="16">
        <f>G309*0.325123966942149</f>
        <v>0</v>
      </c>
      <c r="AF309" s="16">
        <f>G309*(1-0.325123966942149)</f>
        <v>0</v>
      </c>
      <c r="AM309" s="16">
        <f>F309*AE309</f>
        <v>0</v>
      </c>
      <c r="AN309" s="16">
        <f>F309*AF309</f>
        <v>0</v>
      </c>
      <c r="AO309" s="17" t="s">
        <v>1017</v>
      </c>
      <c r="AP309" s="17" t="s">
        <v>1036</v>
      </c>
      <c r="AQ309" s="11" t="s">
        <v>1039</v>
      </c>
    </row>
    <row r="310" spans="1:13" ht="12.75">
      <c r="A310" s="183"/>
      <c r="B310" s="183"/>
      <c r="C310" s="183"/>
      <c r="D310" s="184" t="s">
        <v>15</v>
      </c>
      <c r="E310" s="183"/>
      <c r="F310" s="185">
        <v>9</v>
      </c>
      <c r="G310" s="183"/>
      <c r="H310" s="183"/>
      <c r="I310" s="183"/>
      <c r="J310" s="183"/>
      <c r="K310" s="183"/>
      <c r="L310" s="183"/>
      <c r="M310" s="183"/>
    </row>
    <row r="311" spans="1:43" ht="12.75">
      <c r="A311" s="180" t="s">
        <v>142</v>
      </c>
      <c r="B311" s="180" t="s">
        <v>282</v>
      </c>
      <c r="C311" s="180" t="s">
        <v>427</v>
      </c>
      <c r="D311" s="180" t="s">
        <v>773</v>
      </c>
      <c r="E311" s="180" t="s">
        <v>957</v>
      </c>
      <c r="F311" s="181">
        <v>24</v>
      </c>
      <c r="G311" s="181"/>
      <c r="H311" s="181">
        <f>F311*AE311</f>
        <v>0</v>
      </c>
      <c r="I311" s="181">
        <f>J311-H311</f>
        <v>0</v>
      </c>
      <c r="J311" s="181">
        <f>F311*G311</f>
        <v>0</v>
      </c>
      <c r="K311" s="181">
        <v>0</v>
      </c>
      <c r="L311" s="181">
        <f>F311*K311</f>
        <v>0</v>
      </c>
      <c r="M311" s="182" t="s">
        <v>985</v>
      </c>
      <c r="N311" s="12" t="s">
        <v>8</v>
      </c>
      <c r="O311" s="6">
        <f>IF(N311="5",I311,0)</f>
        <v>0</v>
      </c>
      <c r="Z311" s="6">
        <f>IF(AD311=0,J311,0)</f>
        <v>0</v>
      </c>
      <c r="AA311" s="6">
        <f>IF(AD311=15,J311,0)</f>
        <v>0</v>
      </c>
      <c r="AB311" s="6">
        <f>IF(AD311=21,J311,0)</f>
        <v>0</v>
      </c>
      <c r="AD311" s="16">
        <v>21</v>
      </c>
      <c r="AE311" s="16">
        <f>G311*0.0966814159292035</f>
        <v>0</v>
      </c>
      <c r="AF311" s="16">
        <f>G311*(1-0.0966814159292035)</f>
        <v>0</v>
      </c>
      <c r="AM311" s="16">
        <f>F311*AE311</f>
        <v>0</v>
      </c>
      <c r="AN311" s="16">
        <f>F311*AF311</f>
        <v>0</v>
      </c>
      <c r="AO311" s="17" t="s">
        <v>1017</v>
      </c>
      <c r="AP311" s="17" t="s">
        <v>1036</v>
      </c>
      <c r="AQ311" s="11" t="s">
        <v>1039</v>
      </c>
    </row>
    <row r="312" spans="1:13" ht="12.75">
      <c r="A312" s="183"/>
      <c r="B312" s="183"/>
      <c r="C312" s="183"/>
      <c r="D312" s="184" t="s">
        <v>30</v>
      </c>
      <c r="E312" s="183"/>
      <c r="F312" s="185">
        <v>24</v>
      </c>
      <c r="G312" s="183"/>
      <c r="H312" s="183"/>
      <c r="I312" s="183"/>
      <c r="J312" s="183"/>
      <c r="K312" s="183"/>
      <c r="L312" s="183"/>
      <c r="M312" s="183"/>
    </row>
    <row r="313" spans="1:43" ht="12.75">
      <c r="A313" s="180" t="s">
        <v>143</v>
      </c>
      <c r="B313" s="180" t="s">
        <v>282</v>
      </c>
      <c r="C313" s="180" t="s">
        <v>428</v>
      </c>
      <c r="D313" s="180" t="s">
        <v>774</v>
      </c>
      <c r="E313" s="180" t="s">
        <v>957</v>
      </c>
      <c r="F313" s="181">
        <v>6</v>
      </c>
      <c r="G313" s="181"/>
      <c r="H313" s="181">
        <f>F313*AE313</f>
        <v>0</v>
      </c>
      <c r="I313" s="181">
        <f>J313-H313</f>
        <v>0</v>
      </c>
      <c r="J313" s="181">
        <f>F313*G313</f>
        <v>0</v>
      </c>
      <c r="K313" s="181">
        <v>0</v>
      </c>
      <c r="L313" s="181">
        <f>F313*K313</f>
        <v>0</v>
      </c>
      <c r="M313" s="182" t="s">
        <v>985</v>
      </c>
      <c r="N313" s="12" t="s">
        <v>8</v>
      </c>
      <c r="O313" s="6">
        <f>IF(N313="5",I313,0)</f>
        <v>0</v>
      </c>
      <c r="Z313" s="6">
        <f>IF(AD313=0,J313,0)</f>
        <v>0</v>
      </c>
      <c r="AA313" s="6">
        <f>IF(AD313=15,J313,0)</f>
        <v>0</v>
      </c>
      <c r="AB313" s="6">
        <f>IF(AD313=21,J313,0)</f>
        <v>0</v>
      </c>
      <c r="AD313" s="16">
        <v>21</v>
      </c>
      <c r="AE313" s="16">
        <f>G313*0.241944444444444</f>
        <v>0</v>
      </c>
      <c r="AF313" s="16">
        <f>G313*(1-0.241944444444444)</f>
        <v>0</v>
      </c>
      <c r="AM313" s="16">
        <f>F313*AE313</f>
        <v>0</v>
      </c>
      <c r="AN313" s="16">
        <f>F313*AF313</f>
        <v>0</v>
      </c>
      <c r="AO313" s="17" t="s">
        <v>1017</v>
      </c>
      <c r="AP313" s="17" t="s">
        <v>1036</v>
      </c>
      <c r="AQ313" s="11" t="s">
        <v>1039</v>
      </c>
    </row>
    <row r="314" spans="1:13" ht="12.75">
      <c r="A314" s="183"/>
      <c r="B314" s="183"/>
      <c r="C314" s="183"/>
      <c r="D314" s="184" t="s">
        <v>12</v>
      </c>
      <c r="E314" s="183"/>
      <c r="F314" s="185">
        <v>6</v>
      </c>
      <c r="G314" s="183"/>
      <c r="H314" s="183"/>
      <c r="I314" s="183"/>
      <c r="J314" s="183"/>
      <c r="K314" s="183"/>
      <c r="L314" s="183"/>
      <c r="M314" s="183"/>
    </row>
    <row r="315" spans="1:43" ht="12.75">
      <c r="A315" s="180" t="s">
        <v>144</v>
      </c>
      <c r="B315" s="180" t="s">
        <v>282</v>
      </c>
      <c r="C315" s="180" t="s">
        <v>429</v>
      </c>
      <c r="D315" s="180" t="s">
        <v>775</v>
      </c>
      <c r="E315" s="180" t="s">
        <v>957</v>
      </c>
      <c r="F315" s="181">
        <v>18</v>
      </c>
      <c r="G315" s="181"/>
      <c r="H315" s="181">
        <f>F315*AE315</f>
        <v>0</v>
      </c>
      <c r="I315" s="181">
        <f>J315-H315</f>
        <v>0</v>
      </c>
      <c r="J315" s="181">
        <f>F315*G315</f>
        <v>0</v>
      </c>
      <c r="K315" s="181">
        <v>0</v>
      </c>
      <c r="L315" s="181">
        <f>F315*K315</f>
        <v>0</v>
      </c>
      <c r="M315" s="182" t="s">
        <v>985</v>
      </c>
      <c r="N315" s="12" t="s">
        <v>8</v>
      </c>
      <c r="O315" s="6">
        <f>IF(N315="5",I315,0)</f>
        <v>0</v>
      </c>
      <c r="Z315" s="6">
        <f>IF(AD315=0,J315,0)</f>
        <v>0</v>
      </c>
      <c r="AA315" s="6">
        <f>IF(AD315=15,J315,0)</f>
        <v>0</v>
      </c>
      <c r="AB315" s="6">
        <f>IF(AD315=21,J315,0)</f>
        <v>0</v>
      </c>
      <c r="AD315" s="16">
        <v>21</v>
      </c>
      <c r="AE315" s="16">
        <f>G315*0.154910394265233</f>
        <v>0</v>
      </c>
      <c r="AF315" s="16">
        <f>G315*(1-0.154910394265233)</f>
        <v>0</v>
      </c>
      <c r="AM315" s="16">
        <f>F315*AE315</f>
        <v>0</v>
      </c>
      <c r="AN315" s="16">
        <f>F315*AF315</f>
        <v>0</v>
      </c>
      <c r="AO315" s="17" t="s">
        <v>1017</v>
      </c>
      <c r="AP315" s="17" t="s">
        <v>1036</v>
      </c>
      <c r="AQ315" s="11" t="s">
        <v>1039</v>
      </c>
    </row>
    <row r="316" spans="1:13" ht="12.75">
      <c r="A316" s="183"/>
      <c r="B316" s="183"/>
      <c r="C316" s="183"/>
      <c r="D316" s="184" t="s">
        <v>24</v>
      </c>
      <c r="E316" s="183"/>
      <c r="F316" s="185">
        <v>18</v>
      </c>
      <c r="G316" s="183"/>
      <c r="H316" s="183"/>
      <c r="I316" s="183"/>
      <c r="J316" s="183"/>
      <c r="K316" s="183"/>
      <c r="L316" s="183"/>
      <c r="M316" s="183"/>
    </row>
    <row r="317" spans="1:43" ht="12.75">
      <c r="A317" s="180" t="s">
        <v>145</v>
      </c>
      <c r="B317" s="180" t="s">
        <v>282</v>
      </c>
      <c r="C317" s="180" t="s">
        <v>430</v>
      </c>
      <c r="D317" s="180" t="s">
        <v>776</v>
      </c>
      <c r="E317" s="180" t="s">
        <v>957</v>
      </c>
      <c r="F317" s="181">
        <v>5</v>
      </c>
      <c r="G317" s="181"/>
      <c r="H317" s="181">
        <f>F317*AE317</f>
        <v>0</v>
      </c>
      <c r="I317" s="181">
        <f>J317-H317</f>
        <v>0</v>
      </c>
      <c r="J317" s="181">
        <f>F317*G317</f>
        <v>0</v>
      </c>
      <c r="K317" s="181">
        <v>0</v>
      </c>
      <c r="L317" s="181">
        <f>F317*K317</f>
        <v>0</v>
      </c>
      <c r="M317" s="182" t="s">
        <v>985</v>
      </c>
      <c r="N317" s="12" t="s">
        <v>8</v>
      </c>
      <c r="O317" s="6">
        <f>IF(N317="5",I317,0)</f>
        <v>0</v>
      </c>
      <c r="Z317" s="6">
        <f>IF(AD317=0,J317,0)</f>
        <v>0</v>
      </c>
      <c r="AA317" s="6">
        <f>IF(AD317=15,J317,0)</f>
        <v>0</v>
      </c>
      <c r="AB317" s="6">
        <f>IF(AD317=21,J317,0)</f>
        <v>0</v>
      </c>
      <c r="AD317" s="16">
        <v>21</v>
      </c>
      <c r="AE317" s="16">
        <f>G317*0.0927692307692308</f>
        <v>0</v>
      </c>
      <c r="AF317" s="16">
        <f>G317*(1-0.0927692307692308)</f>
        <v>0</v>
      </c>
      <c r="AM317" s="16">
        <f>F317*AE317</f>
        <v>0</v>
      </c>
      <c r="AN317" s="16">
        <f>F317*AF317</f>
        <v>0</v>
      </c>
      <c r="AO317" s="17" t="s">
        <v>1017</v>
      </c>
      <c r="AP317" s="17" t="s">
        <v>1036</v>
      </c>
      <c r="AQ317" s="11" t="s">
        <v>1039</v>
      </c>
    </row>
    <row r="318" spans="1:13" ht="12.75">
      <c r="A318" s="183"/>
      <c r="B318" s="183"/>
      <c r="C318" s="183"/>
      <c r="D318" s="184" t="s">
        <v>11</v>
      </c>
      <c r="E318" s="183"/>
      <c r="F318" s="185">
        <v>5</v>
      </c>
      <c r="G318" s="183"/>
      <c r="H318" s="183"/>
      <c r="I318" s="183"/>
      <c r="J318" s="183"/>
      <c r="K318" s="183"/>
      <c r="L318" s="183"/>
      <c r="M318" s="183"/>
    </row>
    <row r="319" spans="1:43" ht="12.75">
      <c r="A319" s="180" t="s">
        <v>146</v>
      </c>
      <c r="B319" s="180" t="s">
        <v>282</v>
      </c>
      <c r="C319" s="180" t="s">
        <v>431</v>
      </c>
      <c r="D319" s="180" t="s">
        <v>777</v>
      </c>
      <c r="E319" s="180" t="s">
        <v>957</v>
      </c>
      <c r="F319" s="181">
        <v>12</v>
      </c>
      <c r="G319" s="181"/>
      <c r="H319" s="181">
        <f>F319*AE319</f>
        <v>0</v>
      </c>
      <c r="I319" s="181">
        <f>J319-H319</f>
        <v>0</v>
      </c>
      <c r="J319" s="181">
        <f>F319*G319</f>
        <v>0</v>
      </c>
      <c r="K319" s="181">
        <v>0.00021</v>
      </c>
      <c r="L319" s="181">
        <f>F319*K319</f>
        <v>0.00252</v>
      </c>
      <c r="M319" s="182" t="s">
        <v>985</v>
      </c>
      <c r="N319" s="12" t="s">
        <v>8</v>
      </c>
      <c r="O319" s="6">
        <f>IF(N319="5",I319,0)</f>
        <v>0</v>
      </c>
      <c r="Z319" s="6">
        <f>IF(AD319=0,J319,0)</f>
        <v>0</v>
      </c>
      <c r="AA319" s="6">
        <f>IF(AD319=15,J319,0)</f>
        <v>0</v>
      </c>
      <c r="AB319" s="6">
        <f>IF(AD319=21,J319,0)</f>
        <v>0</v>
      </c>
      <c r="AD319" s="16">
        <v>21</v>
      </c>
      <c r="AE319" s="16">
        <f>G319*0.143272727272727</f>
        <v>0</v>
      </c>
      <c r="AF319" s="16">
        <f>G319*(1-0.143272727272727)</f>
        <v>0</v>
      </c>
      <c r="AM319" s="16">
        <f>F319*AE319</f>
        <v>0</v>
      </c>
      <c r="AN319" s="16">
        <f>F319*AF319</f>
        <v>0</v>
      </c>
      <c r="AO319" s="17" t="s">
        <v>1017</v>
      </c>
      <c r="AP319" s="17" t="s">
        <v>1036</v>
      </c>
      <c r="AQ319" s="11" t="s">
        <v>1039</v>
      </c>
    </row>
    <row r="320" spans="1:13" ht="12.75">
      <c r="A320" s="183"/>
      <c r="B320" s="183"/>
      <c r="C320" s="183"/>
      <c r="D320" s="184" t="s">
        <v>18</v>
      </c>
      <c r="E320" s="183"/>
      <c r="F320" s="185">
        <v>12</v>
      </c>
      <c r="G320" s="183"/>
      <c r="H320" s="183"/>
      <c r="I320" s="183"/>
      <c r="J320" s="183"/>
      <c r="K320" s="183"/>
      <c r="L320" s="183"/>
      <c r="M320" s="183"/>
    </row>
    <row r="321" spans="1:43" ht="12.75">
      <c r="A321" s="180" t="s">
        <v>147</v>
      </c>
      <c r="B321" s="180" t="s">
        <v>282</v>
      </c>
      <c r="C321" s="180" t="s">
        <v>432</v>
      </c>
      <c r="D321" s="180" t="s">
        <v>778</v>
      </c>
      <c r="E321" s="180" t="s">
        <v>957</v>
      </c>
      <c r="F321" s="181">
        <v>14</v>
      </c>
      <c r="G321" s="181"/>
      <c r="H321" s="181">
        <f>F321*AE321</f>
        <v>0</v>
      </c>
      <c r="I321" s="181">
        <f>J321-H321</f>
        <v>0</v>
      </c>
      <c r="J321" s="181">
        <f>F321*G321</f>
        <v>0</v>
      </c>
      <c r="K321" s="181">
        <v>0</v>
      </c>
      <c r="L321" s="181">
        <f>F321*K321</f>
        <v>0</v>
      </c>
      <c r="M321" s="182" t="s">
        <v>985</v>
      </c>
      <c r="N321" s="12" t="s">
        <v>8</v>
      </c>
      <c r="O321" s="6">
        <f>IF(N321="5",I321,0)</f>
        <v>0</v>
      </c>
      <c r="Z321" s="6">
        <f>IF(AD321=0,J321,0)</f>
        <v>0</v>
      </c>
      <c r="AA321" s="6">
        <f>IF(AD321=15,J321,0)</f>
        <v>0</v>
      </c>
      <c r="AB321" s="6">
        <f>IF(AD321=21,J321,0)</f>
        <v>0</v>
      </c>
      <c r="AD321" s="16">
        <v>21</v>
      </c>
      <c r="AE321" s="16">
        <f>G321*0.203716216216216</f>
        <v>0</v>
      </c>
      <c r="AF321" s="16">
        <f>G321*(1-0.203716216216216)</f>
        <v>0</v>
      </c>
      <c r="AM321" s="16">
        <f>F321*AE321</f>
        <v>0</v>
      </c>
      <c r="AN321" s="16">
        <f>F321*AF321</f>
        <v>0</v>
      </c>
      <c r="AO321" s="17" t="s">
        <v>1017</v>
      </c>
      <c r="AP321" s="17" t="s">
        <v>1036</v>
      </c>
      <c r="AQ321" s="11" t="s">
        <v>1039</v>
      </c>
    </row>
    <row r="322" spans="1:13" ht="12.75">
      <c r="A322" s="183"/>
      <c r="B322" s="183"/>
      <c r="C322" s="183"/>
      <c r="D322" s="184" t="s">
        <v>20</v>
      </c>
      <c r="E322" s="183"/>
      <c r="F322" s="185">
        <v>14</v>
      </c>
      <c r="G322" s="183"/>
      <c r="H322" s="183"/>
      <c r="I322" s="183"/>
      <c r="J322" s="183"/>
      <c r="K322" s="183"/>
      <c r="L322" s="183"/>
      <c r="M322" s="183"/>
    </row>
    <row r="323" spans="1:43" ht="12.75">
      <c r="A323" s="180" t="s">
        <v>148</v>
      </c>
      <c r="B323" s="180" t="s">
        <v>282</v>
      </c>
      <c r="C323" s="180" t="s">
        <v>433</v>
      </c>
      <c r="D323" s="180" t="s">
        <v>779</v>
      </c>
      <c r="E323" s="180" t="s">
        <v>957</v>
      </c>
      <c r="F323" s="181">
        <v>4</v>
      </c>
      <c r="G323" s="181"/>
      <c r="H323" s="181">
        <f>F323*AE323</f>
        <v>0</v>
      </c>
      <c r="I323" s="181">
        <f>J323-H323</f>
        <v>0</v>
      </c>
      <c r="J323" s="181">
        <f>F323*G323</f>
        <v>0</v>
      </c>
      <c r="K323" s="181">
        <v>0</v>
      </c>
      <c r="L323" s="181">
        <f>F323*K323</f>
        <v>0</v>
      </c>
      <c r="M323" s="182" t="s">
        <v>985</v>
      </c>
      <c r="N323" s="12" t="s">
        <v>8</v>
      </c>
      <c r="O323" s="6">
        <f>IF(N323="5",I323,0)</f>
        <v>0</v>
      </c>
      <c r="Z323" s="6">
        <f>IF(AD323=0,J323,0)</f>
        <v>0</v>
      </c>
      <c r="AA323" s="6">
        <f>IF(AD323=15,J323,0)</f>
        <v>0</v>
      </c>
      <c r="AB323" s="6">
        <f>IF(AD323=21,J323,0)</f>
        <v>0</v>
      </c>
      <c r="AD323" s="16">
        <v>21</v>
      </c>
      <c r="AE323" s="16">
        <f>G323*0.215066666666667</f>
        <v>0</v>
      </c>
      <c r="AF323" s="16">
        <f>G323*(1-0.215066666666667)</f>
        <v>0</v>
      </c>
      <c r="AM323" s="16">
        <f>F323*AE323</f>
        <v>0</v>
      </c>
      <c r="AN323" s="16">
        <f>F323*AF323</f>
        <v>0</v>
      </c>
      <c r="AO323" s="17" t="s">
        <v>1017</v>
      </c>
      <c r="AP323" s="17" t="s">
        <v>1036</v>
      </c>
      <c r="AQ323" s="11" t="s">
        <v>1039</v>
      </c>
    </row>
    <row r="324" spans="1:13" ht="12.75">
      <c r="A324" s="183"/>
      <c r="B324" s="183"/>
      <c r="C324" s="183"/>
      <c r="D324" s="184" t="s">
        <v>10</v>
      </c>
      <c r="E324" s="183"/>
      <c r="F324" s="185">
        <v>4</v>
      </c>
      <c r="G324" s="183"/>
      <c r="H324" s="183"/>
      <c r="I324" s="183"/>
      <c r="J324" s="183"/>
      <c r="K324" s="183"/>
      <c r="L324" s="183"/>
      <c r="M324" s="183"/>
    </row>
    <row r="325" spans="1:43" ht="12.75">
      <c r="A325" s="180" t="s">
        <v>149</v>
      </c>
      <c r="B325" s="180" t="s">
        <v>282</v>
      </c>
      <c r="C325" s="180" t="s">
        <v>434</v>
      </c>
      <c r="D325" s="180" t="s">
        <v>780</v>
      </c>
      <c r="E325" s="180" t="s">
        <v>957</v>
      </c>
      <c r="F325" s="181">
        <v>4</v>
      </c>
      <c r="G325" s="181"/>
      <c r="H325" s="181">
        <f>F325*AE325</f>
        <v>0</v>
      </c>
      <c r="I325" s="181">
        <f>J325-H325</f>
        <v>0</v>
      </c>
      <c r="J325" s="181">
        <f>F325*G325</f>
        <v>0</v>
      </c>
      <c r="K325" s="181">
        <v>0</v>
      </c>
      <c r="L325" s="181">
        <f>F325*K325</f>
        <v>0</v>
      </c>
      <c r="M325" s="182" t="s">
        <v>985</v>
      </c>
      <c r="N325" s="12" t="s">
        <v>8</v>
      </c>
      <c r="O325" s="6">
        <f>IF(N325="5",I325,0)</f>
        <v>0</v>
      </c>
      <c r="Z325" s="6">
        <f>IF(AD325=0,J325,0)</f>
        <v>0</v>
      </c>
      <c r="AA325" s="6">
        <f>IF(AD325=15,J325,0)</f>
        <v>0</v>
      </c>
      <c r="AB325" s="6">
        <f>IF(AD325=21,J325,0)</f>
        <v>0</v>
      </c>
      <c r="AD325" s="16">
        <v>21</v>
      </c>
      <c r="AE325" s="16">
        <f>G325*0</f>
        <v>0</v>
      </c>
      <c r="AF325" s="16">
        <f>G325*(1-0)</f>
        <v>0</v>
      </c>
      <c r="AM325" s="16">
        <f>F325*AE325</f>
        <v>0</v>
      </c>
      <c r="AN325" s="16">
        <f>F325*AF325</f>
        <v>0</v>
      </c>
      <c r="AO325" s="17" t="s">
        <v>1017</v>
      </c>
      <c r="AP325" s="17" t="s">
        <v>1036</v>
      </c>
      <c r="AQ325" s="11" t="s">
        <v>1039</v>
      </c>
    </row>
    <row r="326" spans="1:13" ht="12.75">
      <c r="A326" s="183"/>
      <c r="B326" s="183"/>
      <c r="C326" s="183"/>
      <c r="D326" s="184" t="s">
        <v>10</v>
      </c>
      <c r="E326" s="183"/>
      <c r="F326" s="185">
        <v>4</v>
      </c>
      <c r="G326" s="183"/>
      <c r="H326" s="183"/>
      <c r="I326" s="183"/>
      <c r="J326" s="183"/>
      <c r="K326" s="183"/>
      <c r="L326" s="183"/>
      <c r="M326" s="183"/>
    </row>
    <row r="327" spans="1:43" ht="12.75">
      <c r="A327" s="192" t="s">
        <v>150</v>
      </c>
      <c r="B327" s="192" t="s">
        <v>282</v>
      </c>
      <c r="C327" s="192" t="s">
        <v>435</v>
      </c>
      <c r="D327" s="192" t="s">
        <v>781</v>
      </c>
      <c r="E327" s="192" t="s">
        <v>957</v>
      </c>
      <c r="F327" s="193">
        <v>4</v>
      </c>
      <c r="G327" s="193"/>
      <c r="H327" s="193">
        <f>F327*AE327</f>
        <v>0</v>
      </c>
      <c r="I327" s="193">
        <f>J327-H327</f>
        <v>0</v>
      </c>
      <c r="J327" s="193">
        <f>F327*G327</f>
        <v>0</v>
      </c>
      <c r="K327" s="193">
        <v>0.00308</v>
      </c>
      <c r="L327" s="193">
        <f>F327*K327</f>
        <v>0.01232</v>
      </c>
      <c r="M327" s="194" t="s">
        <v>985</v>
      </c>
      <c r="N327" s="13" t="s">
        <v>989</v>
      </c>
      <c r="O327" s="7">
        <f>IF(N327="5",I327,0)</f>
        <v>0</v>
      </c>
      <c r="Z327" s="7">
        <f>IF(AD327=0,J327,0)</f>
        <v>0</v>
      </c>
      <c r="AA327" s="7">
        <f>IF(AD327=15,J327,0)</f>
        <v>0</v>
      </c>
      <c r="AB327" s="7">
        <f>IF(AD327=21,J327,0)</f>
        <v>0</v>
      </c>
      <c r="AD327" s="16">
        <v>21</v>
      </c>
      <c r="AE327" s="16">
        <f>G327*1</f>
        <v>0</v>
      </c>
      <c r="AF327" s="16">
        <f>G327*(1-1)</f>
        <v>0</v>
      </c>
      <c r="AM327" s="16">
        <f>F327*AE327</f>
        <v>0</v>
      </c>
      <c r="AN327" s="16">
        <f>F327*AF327</f>
        <v>0</v>
      </c>
      <c r="AO327" s="17" t="s">
        <v>1017</v>
      </c>
      <c r="AP327" s="17" t="s">
        <v>1036</v>
      </c>
      <c r="AQ327" s="11" t="s">
        <v>1039</v>
      </c>
    </row>
    <row r="328" spans="1:13" ht="12.75">
      <c r="A328" s="183"/>
      <c r="B328" s="183"/>
      <c r="C328" s="183"/>
      <c r="D328" s="184" t="s">
        <v>10</v>
      </c>
      <c r="E328" s="183"/>
      <c r="F328" s="185">
        <v>4</v>
      </c>
      <c r="G328" s="183"/>
      <c r="H328" s="183"/>
      <c r="I328" s="183"/>
      <c r="J328" s="183"/>
      <c r="K328" s="183"/>
      <c r="L328" s="183"/>
      <c r="M328" s="183"/>
    </row>
    <row r="329" spans="1:43" ht="12.75">
      <c r="A329" s="180" t="s">
        <v>151</v>
      </c>
      <c r="B329" s="180" t="s">
        <v>282</v>
      </c>
      <c r="C329" s="180" t="s">
        <v>436</v>
      </c>
      <c r="D329" s="180" t="s">
        <v>782</v>
      </c>
      <c r="E329" s="180" t="s">
        <v>957</v>
      </c>
      <c r="F329" s="181">
        <v>7</v>
      </c>
      <c r="G329" s="181"/>
      <c r="H329" s="181">
        <f>F329*AE329</f>
        <v>0</v>
      </c>
      <c r="I329" s="181">
        <f>J329-H329</f>
        <v>0</v>
      </c>
      <c r="J329" s="181">
        <f>F329*G329</f>
        <v>0</v>
      </c>
      <c r="K329" s="181">
        <v>0</v>
      </c>
      <c r="L329" s="181">
        <f>F329*K329</f>
        <v>0</v>
      </c>
      <c r="M329" s="182" t="s">
        <v>985</v>
      </c>
      <c r="N329" s="12" t="s">
        <v>8</v>
      </c>
      <c r="O329" s="6">
        <f>IF(N329="5",I329,0)</f>
        <v>0</v>
      </c>
      <c r="Z329" s="6">
        <f>IF(AD329=0,J329,0)</f>
        <v>0</v>
      </c>
      <c r="AA329" s="6">
        <f>IF(AD329=15,J329,0)</f>
        <v>0</v>
      </c>
      <c r="AB329" s="6">
        <f>IF(AD329=21,J329,0)</f>
        <v>0</v>
      </c>
      <c r="AD329" s="16">
        <v>21</v>
      </c>
      <c r="AE329" s="16">
        <f>G329*0.437239382239382</f>
        <v>0</v>
      </c>
      <c r="AF329" s="16">
        <f>G329*(1-0.437239382239382)</f>
        <v>0</v>
      </c>
      <c r="AM329" s="16">
        <f>F329*AE329</f>
        <v>0</v>
      </c>
      <c r="AN329" s="16">
        <f>F329*AF329</f>
        <v>0</v>
      </c>
      <c r="AO329" s="17" t="s">
        <v>1017</v>
      </c>
      <c r="AP329" s="17" t="s">
        <v>1036</v>
      </c>
      <c r="AQ329" s="11" t="s">
        <v>1039</v>
      </c>
    </row>
    <row r="330" spans="1:13" ht="12.75">
      <c r="A330" s="183"/>
      <c r="B330" s="183"/>
      <c r="C330" s="183"/>
      <c r="D330" s="184" t="s">
        <v>13</v>
      </c>
      <c r="E330" s="183"/>
      <c r="F330" s="185">
        <v>7</v>
      </c>
      <c r="G330" s="183"/>
      <c r="H330" s="183"/>
      <c r="I330" s="183"/>
      <c r="J330" s="183"/>
      <c r="K330" s="183"/>
      <c r="L330" s="183"/>
      <c r="M330" s="183"/>
    </row>
    <row r="331" spans="1:43" ht="12.75">
      <c r="A331" s="192" t="s">
        <v>152</v>
      </c>
      <c r="B331" s="192" t="s">
        <v>282</v>
      </c>
      <c r="C331" s="192" t="s">
        <v>437</v>
      </c>
      <c r="D331" s="192" t="s">
        <v>783</v>
      </c>
      <c r="E331" s="192" t="s">
        <v>957</v>
      </c>
      <c r="F331" s="193">
        <v>4</v>
      </c>
      <c r="G331" s="193"/>
      <c r="H331" s="193">
        <f>F331*AE331</f>
        <v>0</v>
      </c>
      <c r="I331" s="193">
        <f>J331-H331</f>
        <v>0</v>
      </c>
      <c r="J331" s="193">
        <f>F331*G331</f>
        <v>0</v>
      </c>
      <c r="K331" s="193">
        <v>0</v>
      </c>
      <c r="L331" s="193">
        <f>F331*K331</f>
        <v>0</v>
      </c>
      <c r="M331" s="194" t="s">
        <v>985</v>
      </c>
      <c r="N331" s="13" t="s">
        <v>989</v>
      </c>
      <c r="O331" s="7">
        <f>IF(N331="5",I331,0)</f>
        <v>0</v>
      </c>
      <c r="Z331" s="7">
        <f>IF(AD331=0,J331,0)</f>
        <v>0</v>
      </c>
      <c r="AA331" s="7">
        <f>IF(AD331=15,J331,0)</f>
        <v>0</v>
      </c>
      <c r="AB331" s="7">
        <f>IF(AD331=21,J331,0)</f>
        <v>0</v>
      </c>
      <c r="AD331" s="16">
        <v>21</v>
      </c>
      <c r="AE331" s="16">
        <f>G331*1</f>
        <v>0</v>
      </c>
      <c r="AF331" s="16">
        <f>G331*(1-1)</f>
        <v>0</v>
      </c>
      <c r="AM331" s="16">
        <f>F331*AE331</f>
        <v>0</v>
      </c>
      <c r="AN331" s="16">
        <f>F331*AF331</f>
        <v>0</v>
      </c>
      <c r="AO331" s="17" t="s">
        <v>1017</v>
      </c>
      <c r="AP331" s="17" t="s">
        <v>1036</v>
      </c>
      <c r="AQ331" s="11" t="s">
        <v>1039</v>
      </c>
    </row>
    <row r="332" spans="1:13" ht="12.75">
      <c r="A332" s="183"/>
      <c r="B332" s="183"/>
      <c r="C332" s="183"/>
      <c r="D332" s="184" t="s">
        <v>10</v>
      </c>
      <c r="E332" s="183"/>
      <c r="F332" s="185">
        <v>4</v>
      </c>
      <c r="G332" s="183"/>
      <c r="H332" s="183"/>
      <c r="I332" s="183"/>
      <c r="J332" s="183"/>
      <c r="K332" s="183"/>
      <c r="L332" s="183"/>
      <c r="M332" s="183"/>
    </row>
    <row r="333" spans="1:43" ht="12.75">
      <c r="A333" s="180" t="s">
        <v>153</v>
      </c>
      <c r="B333" s="180" t="s">
        <v>282</v>
      </c>
      <c r="C333" s="180" t="s">
        <v>438</v>
      </c>
      <c r="D333" s="180" t="s">
        <v>784</v>
      </c>
      <c r="E333" s="180" t="s">
        <v>957</v>
      </c>
      <c r="F333" s="181">
        <v>7</v>
      </c>
      <c r="G333" s="181"/>
      <c r="H333" s="181">
        <f>F333*AE333</f>
        <v>0</v>
      </c>
      <c r="I333" s="181">
        <f>J333-H333</f>
        <v>0</v>
      </c>
      <c r="J333" s="181">
        <f>F333*G333</f>
        <v>0</v>
      </c>
      <c r="K333" s="181">
        <v>0</v>
      </c>
      <c r="L333" s="181">
        <f>F333*K333</f>
        <v>0</v>
      </c>
      <c r="M333" s="182" t="s">
        <v>985</v>
      </c>
      <c r="N333" s="12" t="s">
        <v>8</v>
      </c>
      <c r="O333" s="6">
        <f>IF(N333="5",I333,0)</f>
        <v>0</v>
      </c>
      <c r="Z333" s="6">
        <f>IF(AD333=0,J333,0)</f>
        <v>0</v>
      </c>
      <c r="AA333" s="6">
        <f>IF(AD333=15,J333,0)</f>
        <v>0</v>
      </c>
      <c r="AB333" s="6">
        <f>IF(AD333=21,J333,0)</f>
        <v>0</v>
      </c>
      <c r="AD333" s="16">
        <v>21</v>
      </c>
      <c r="AE333" s="16">
        <f>G333*0.0985294117647059</f>
        <v>0</v>
      </c>
      <c r="AF333" s="16">
        <f>G333*(1-0.0985294117647059)</f>
        <v>0</v>
      </c>
      <c r="AM333" s="16">
        <f>F333*AE333</f>
        <v>0</v>
      </c>
      <c r="AN333" s="16">
        <f>F333*AF333</f>
        <v>0</v>
      </c>
      <c r="AO333" s="17" t="s">
        <v>1017</v>
      </c>
      <c r="AP333" s="17" t="s">
        <v>1036</v>
      </c>
      <c r="AQ333" s="11" t="s">
        <v>1039</v>
      </c>
    </row>
    <row r="334" spans="1:13" ht="12.75">
      <c r="A334" s="183"/>
      <c r="B334" s="183"/>
      <c r="C334" s="183"/>
      <c r="D334" s="184" t="s">
        <v>13</v>
      </c>
      <c r="E334" s="183"/>
      <c r="F334" s="185">
        <v>7</v>
      </c>
      <c r="G334" s="183"/>
      <c r="H334" s="183"/>
      <c r="I334" s="183"/>
      <c r="J334" s="183"/>
      <c r="K334" s="183"/>
      <c r="L334" s="183"/>
      <c r="M334" s="183"/>
    </row>
    <row r="335" spans="1:43" ht="12.75">
      <c r="A335" s="180" t="s">
        <v>154</v>
      </c>
      <c r="B335" s="180" t="s">
        <v>282</v>
      </c>
      <c r="C335" s="180" t="s">
        <v>439</v>
      </c>
      <c r="D335" s="180" t="s">
        <v>785</v>
      </c>
      <c r="E335" s="180" t="s">
        <v>957</v>
      </c>
      <c r="F335" s="181">
        <v>41</v>
      </c>
      <c r="G335" s="181"/>
      <c r="H335" s="181">
        <f>F335*AE335</f>
        <v>0</v>
      </c>
      <c r="I335" s="181">
        <f>J335-H335</f>
        <v>0</v>
      </c>
      <c r="J335" s="181">
        <f>F335*G335</f>
        <v>0</v>
      </c>
      <c r="K335" s="181">
        <v>0</v>
      </c>
      <c r="L335" s="181">
        <f>F335*K335</f>
        <v>0</v>
      </c>
      <c r="M335" s="182" t="s">
        <v>985</v>
      </c>
      <c r="N335" s="12" t="s">
        <v>8</v>
      </c>
      <c r="O335" s="6">
        <f>IF(N335="5",I335,0)</f>
        <v>0</v>
      </c>
      <c r="Z335" s="6">
        <f>IF(AD335=0,J335,0)</f>
        <v>0</v>
      </c>
      <c r="AA335" s="6">
        <f>IF(AD335=15,J335,0)</f>
        <v>0</v>
      </c>
      <c r="AB335" s="6">
        <f>IF(AD335=21,J335,0)</f>
        <v>0</v>
      </c>
      <c r="AD335" s="16">
        <v>21</v>
      </c>
      <c r="AE335" s="16">
        <f>G335*0</f>
        <v>0</v>
      </c>
      <c r="AF335" s="16">
        <f>G335*(1-0)</f>
        <v>0</v>
      </c>
      <c r="AM335" s="16">
        <f>F335*AE335</f>
        <v>0</v>
      </c>
      <c r="AN335" s="16">
        <f>F335*AF335</f>
        <v>0</v>
      </c>
      <c r="AO335" s="17" t="s">
        <v>1017</v>
      </c>
      <c r="AP335" s="17" t="s">
        <v>1036</v>
      </c>
      <c r="AQ335" s="11" t="s">
        <v>1039</v>
      </c>
    </row>
    <row r="336" spans="1:13" ht="12.75">
      <c r="A336" s="183"/>
      <c r="B336" s="183"/>
      <c r="C336" s="183"/>
      <c r="D336" s="184" t="s">
        <v>47</v>
      </c>
      <c r="E336" s="183"/>
      <c r="F336" s="185">
        <v>41</v>
      </c>
      <c r="G336" s="183"/>
      <c r="H336" s="183"/>
      <c r="I336" s="183"/>
      <c r="J336" s="183"/>
      <c r="K336" s="183"/>
      <c r="L336" s="183"/>
      <c r="M336" s="183"/>
    </row>
    <row r="337" spans="1:43" ht="12.75">
      <c r="A337" s="180" t="s">
        <v>155</v>
      </c>
      <c r="B337" s="180" t="s">
        <v>282</v>
      </c>
      <c r="C337" s="180" t="s">
        <v>440</v>
      </c>
      <c r="D337" s="180" t="s">
        <v>786</v>
      </c>
      <c r="E337" s="180" t="s">
        <v>957</v>
      </c>
      <c r="F337" s="181">
        <v>20</v>
      </c>
      <c r="G337" s="181"/>
      <c r="H337" s="181">
        <f>F337*AE337</f>
        <v>0</v>
      </c>
      <c r="I337" s="181">
        <f>J337-H337</f>
        <v>0</v>
      </c>
      <c r="J337" s="181">
        <f>F337*G337</f>
        <v>0</v>
      </c>
      <c r="K337" s="181">
        <v>0</v>
      </c>
      <c r="L337" s="181">
        <f>F337*K337</f>
        <v>0</v>
      </c>
      <c r="M337" s="182" t="s">
        <v>985</v>
      </c>
      <c r="N337" s="12" t="s">
        <v>8</v>
      </c>
      <c r="O337" s="6">
        <f>IF(N337="5",I337,0)</f>
        <v>0</v>
      </c>
      <c r="Z337" s="6">
        <f>IF(AD337=0,J337,0)</f>
        <v>0</v>
      </c>
      <c r="AA337" s="6">
        <f>IF(AD337=15,J337,0)</f>
        <v>0</v>
      </c>
      <c r="AB337" s="6">
        <f>IF(AD337=21,J337,0)</f>
        <v>0</v>
      </c>
      <c r="AD337" s="16">
        <v>21</v>
      </c>
      <c r="AE337" s="16">
        <f>G337*0</f>
        <v>0</v>
      </c>
      <c r="AF337" s="16">
        <f>G337*(1-0)</f>
        <v>0</v>
      </c>
      <c r="AM337" s="16">
        <f>F337*AE337</f>
        <v>0</v>
      </c>
      <c r="AN337" s="16">
        <f>F337*AF337</f>
        <v>0</v>
      </c>
      <c r="AO337" s="17" t="s">
        <v>1017</v>
      </c>
      <c r="AP337" s="17" t="s">
        <v>1036</v>
      </c>
      <c r="AQ337" s="11" t="s">
        <v>1039</v>
      </c>
    </row>
    <row r="338" spans="1:13" ht="12.75">
      <c r="A338" s="183"/>
      <c r="B338" s="183"/>
      <c r="C338" s="183"/>
      <c r="D338" s="184" t="s">
        <v>26</v>
      </c>
      <c r="E338" s="183"/>
      <c r="F338" s="185">
        <v>20</v>
      </c>
      <c r="G338" s="183"/>
      <c r="H338" s="183"/>
      <c r="I338" s="183"/>
      <c r="J338" s="183"/>
      <c r="K338" s="183"/>
      <c r="L338" s="183"/>
      <c r="M338" s="183"/>
    </row>
    <row r="339" spans="1:43" ht="12.75">
      <c r="A339" s="180" t="s">
        <v>156</v>
      </c>
      <c r="B339" s="180" t="s">
        <v>282</v>
      </c>
      <c r="C339" s="180" t="s">
        <v>441</v>
      </c>
      <c r="D339" s="180" t="s">
        <v>787</v>
      </c>
      <c r="E339" s="180" t="s">
        <v>957</v>
      </c>
      <c r="F339" s="181">
        <v>7</v>
      </c>
      <c r="G339" s="181"/>
      <c r="H339" s="181">
        <f>F339*AE339</f>
        <v>0</v>
      </c>
      <c r="I339" s="181">
        <f>J339-H339</f>
        <v>0</v>
      </c>
      <c r="J339" s="181">
        <f>F339*G339</f>
        <v>0</v>
      </c>
      <c r="K339" s="181">
        <v>0</v>
      </c>
      <c r="L339" s="181">
        <f>F339*K339</f>
        <v>0</v>
      </c>
      <c r="M339" s="182" t="s">
        <v>985</v>
      </c>
      <c r="N339" s="12" t="s">
        <v>8</v>
      </c>
      <c r="O339" s="6">
        <f>IF(N339="5",I339,0)</f>
        <v>0</v>
      </c>
      <c r="Z339" s="6">
        <f>IF(AD339=0,J339,0)</f>
        <v>0</v>
      </c>
      <c r="AA339" s="6">
        <f>IF(AD339=15,J339,0)</f>
        <v>0</v>
      </c>
      <c r="AB339" s="6">
        <f>IF(AD339=21,J339,0)</f>
        <v>0</v>
      </c>
      <c r="AD339" s="16">
        <v>21</v>
      </c>
      <c r="AE339" s="16">
        <f>G339*0</f>
        <v>0</v>
      </c>
      <c r="AF339" s="16">
        <f>G339*(1-0)</f>
        <v>0</v>
      </c>
      <c r="AM339" s="16">
        <f>F339*AE339</f>
        <v>0</v>
      </c>
      <c r="AN339" s="16">
        <f>F339*AF339</f>
        <v>0</v>
      </c>
      <c r="AO339" s="17" t="s">
        <v>1017</v>
      </c>
      <c r="AP339" s="17" t="s">
        <v>1036</v>
      </c>
      <c r="AQ339" s="11" t="s">
        <v>1039</v>
      </c>
    </row>
    <row r="340" spans="1:13" ht="12.75">
      <c r="A340" s="183"/>
      <c r="B340" s="183"/>
      <c r="C340" s="183"/>
      <c r="D340" s="184" t="s">
        <v>13</v>
      </c>
      <c r="E340" s="183"/>
      <c r="F340" s="185">
        <v>7</v>
      </c>
      <c r="G340" s="183"/>
      <c r="H340" s="183"/>
      <c r="I340" s="183"/>
      <c r="J340" s="183"/>
      <c r="K340" s="183"/>
      <c r="L340" s="183"/>
      <c r="M340" s="183"/>
    </row>
    <row r="341" spans="1:43" ht="12.75">
      <c r="A341" s="180" t="s">
        <v>157</v>
      </c>
      <c r="B341" s="180" t="s">
        <v>282</v>
      </c>
      <c r="C341" s="180" t="s">
        <v>442</v>
      </c>
      <c r="D341" s="180" t="s">
        <v>788</v>
      </c>
      <c r="E341" s="180" t="s">
        <v>959</v>
      </c>
      <c r="F341" s="181">
        <v>20</v>
      </c>
      <c r="G341" s="181"/>
      <c r="H341" s="181">
        <f>F341*AE341</f>
        <v>0</v>
      </c>
      <c r="I341" s="181">
        <f>J341-H341</f>
        <v>0</v>
      </c>
      <c r="J341" s="181">
        <f>F341*G341</f>
        <v>0</v>
      </c>
      <c r="K341" s="181">
        <v>0</v>
      </c>
      <c r="L341" s="181">
        <f>F341*K341</f>
        <v>0</v>
      </c>
      <c r="M341" s="182" t="s">
        <v>985</v>
      </c>
      <c r="N341" s="12" t="s">
        <v>7</v>
      </c>
      <c r="O341" s="6">
        <f>IF(N341="5",I341,0)</f>
        <v>0</v>
      </c>
      <c r="Z341" s="6">
        <f>IF(AD341=0,J341,0)</f>
        <v>0</v>
      </c>
      <c r="AA341" s="6">
        <f>IF(AD341=15,J341,0)</f>
        <v>0</v>
      </c>
      <c r="AB341" s="6">
        <f>IF(AD341=21,J341,0)</f>
        <v>0</v>
      </c>
      <c r="AD341" s="16">
        <v>21</v>
      </c>
      <c r="AE341" s="16">
        <f>G341*0</f>
        <v>0</v>
      </c>
      <c r="AF341" s="16">
        <f>G341*(1-0)</f>
        <v>0</v>
      </c>
      <c r="AM341" s="16">
        <f>F341*AE341</f>
        <v>0</v>
      </c>
      <c r="AN341" s="16">
        <f>F341*AF341</f>
        <v>0</v>
      </c>
      <c r="AO341" s="17" t="s">
        <v>1017</v>
      </c>
      <c r="AP341" s="17" t="s">
        <v>1036</v>
      </c>
      <c r="AQ341" s="11" t="s">
        <v>1039</v>
      </c>
    </row>
    <row r="342" spans="1:13" ht="12.75">
      <c r="A342" s="183"/>
      <c r="B342" s="183"/>
      <c r="C342" s="183"/>
      <c r="D342" s="184" t="s">
        <v>26</v>
      </c>
      <c r="E342" s="183"/>
      <c r="F342" s="185">
        <v>20</v>
      </c>
      <c r="G342" s="183"/>
      <c r="H342" s="183"/>
      <c r="I342" s="183"/>
      <c r="J342" s="183"/>
      <c r="K342" s="183"/>
      <c r="L342" s="183"/>
      <c r="M342" s="183"/>
    </row>
    <row r="343" spans="1:43" ht="12.75">
      <c r="A343" s="180" t="s">
        <v>158</v>
      </c>
      <c r="B343" s="180" t="s">
        <v>282</v>
      </c>
      <c r="C343" s="180" t="s">
        <v>443</v>
      </c>
      <c r="D343" s="180" t="s">
        <v>789</v>
      </c>
      <c r="E343" s="180" t="s">
        <v>957</v>
      </c>
      <c r="F343" s="181">
        <v>154</v>
      </c>
      <c r="G343" s="181"/>
      <c r="H343" s="181">
        <f>F343*AE343</f>
        <v>0</v>
      </c>
      <c r="I343" s="181">
        <f>J343-H343</f>
        <v>0</v>
      </c>
      <c r="J343" s="181">
        <f>F343*G343</f>
        <v>0</v>
      </c>
      <c r="K343" s="181">
        <v>0</v>
      </c>
      <c r="L343" s="181">
        <f>F343*K343</f>
        <v>0</v>
      </c>
      <c r="M343" s="182" t="s">
        <v>985</v>
      </c>
      <c r="N343" s="12" t="s">
        <v>8</v>
      </c>
      <c r="O343" s="6">
        <f>IF(N343="5",I343,0)</f>
        <v>0</v>
      </c>
      <c r="Z343" s="6">
        <f>IF(AD343=0,J343,0)</f>
        <v>0</v>
      </c>
      <c r="AA343" s="6">
        <f>IF(AD343=15,J343,0)</f>
        <v>0</v>
      </c>
      <c r="AB343" s="6">
        <f>IF(AD343=21,J343,0)</f>
        <v>0</v>
      </c>
      <c r="AD343" s="16">
        <v>21</v>
      </c>
      <c r="AE343" s="16">
        <f>G343*0</f>
        <v>0</v>
      </c>
      <c r="AF343" s="16">
        <f>G343*(1-0)</f>
        <v>0</v>
      </c>
      <c r="AM343" s="16">
        <f>F343*AE343</f>
        <v>0</v>
      </c>
      <c r="AN343" s="16">
        <f>F343*AF343</f>
        <v>0</v>
      </c>
      <c r="AO343" s="17" t="s">
        <v>1017</v>
      </c>
      <c r="AP343" s="17" t="s">
        <v>1036</v>
      </c>
      <c r="AQ343" s="11" t="s">
        <v>1039</v>
      </c>
    </row>
    <row r="344" spans="1:13" ht="12.75">
      <c r="A344" s="183"/>
      <c r="B344" s="183"/>
      <c r="C344" s="183"/>
      <c r="D344" s="184" t="s">
        <v>790</v>
      </c>
      <c r="E344" s="183"/>
      <c r="F344" s="185">
        <v>154</v>
      </c>
      <c r="G344" s="183"/>
      <c r="H344" s="183"/>
      <c r="I344" s="183"/>
      <c r="J344" s="183"/>
      <c r="K344" s="183"/>
      <c r="L344" s="183"/>
      <c r="M344" s="183"/>
    </row>
    <row r="345" spans="1:43" ht="12.75">
      <c r="A345" s="192" t="s">
        <v>159</v>
      </c>
      <c r="B345" s="192" t="s">
        <v>282</v>
      </c>
      <c r="C345" s="192" t="s">
        <v>444</v>
      </c>
      <c r="D345" s="192" t="s">
        <v>791</v>
      </c>
      <c r="E345" s="192" t="s">
        <v>957</v>
      </c>
      <c r="F345" s="193">
        <v>113</v>
      </c>
      <c r="G345" s="193"/>
      <c r="H345" s="193">
        <f>F345*AE345</f>
        <v>0</v>
      </c>
      <c r="I345" s="193">
        <f>J345-H345</f>
        <v>0</v>
      </c>
      <c r="J345" s="193">
        <f>F345*G345</f>
        <v>0</v>
      </c>
      <c r="K345" s="193">
        <v>0.0056</v>
      </c>
      <c r="L345" s="193">
        <f>F345*K345</f>
        <v>0.6328</v>
      </c>
      <c r="M345" s="194" t="s">
        <v>985</v>
      </c>
      <c r="N345" s="13" t="s">
        <v>989</v>
      </c>
      <c r="O345" s="7">
        <f>IF(N345="5",I345,0)</f>
        <v>0</v>
      </c>
      <c r="Z345" s="7">
        <f>IF(AD345=0,J345,0)</f>
        <v>0</v>
      </c>
      <c r="AA345" s="7">
        <f>IF(AD345=15,J345,0)</f>
        <v>0</v>
      </c>
      <c r="AB345" s="7">
        <f>IF(AD345=21,J345,0)</f>
        <v>0</v>
      </c>
      <c r="AD345" s="16">
        <v>21</v>
      </c>
      <c r="AE345" s="16">
        <f>G345*1</f>
        <v>0</v>
      </c>
      <c r="AF345" s="16">
        <f>G345*(1-1)</f>
        <v>0</v>
      </c>
      <c r="AM345" s="16">
        <f>F345*AE345</f>
        <v>0</v>
      </c>
      <c r="AN345" s="16">
        <f>F345*AF345</f>
        <v>0</v>
      </c>
      <c r="AO345" s="17" t="s">
        <v>1017</v>
      </c>
      <c r="AP345" s="17" t="s">
        <v>1036</v>
      </c>
      <c r="AQ345" s="11" t="s">
        <v>1039</v>
      </c>
    </row>
    <row r="346" spans="1:13" ht="12.75">
      <c r="A346" s="183"/>
      <c r="B346" s="183"/>
      <c r="C346" s="183"/>
      <c r="D346" s="184" t="s">
        <v>119</v>
      </c>
      <c r="E346" s="183"/>
      <c r="F346" s="185">
        <v>113</v>
      </c>
      <c r="G346" s="183"/>
      <c r="H346" s="183"/>
      <c r="I346" s="183"/>
      <c r="J346" s="183"/>
      <c r="K346" s="183"/>
      <c r="L346" s="183"/>
      <c r="M346" s="183"/>
    </row>
    <row r="347" spans="1:43" ht="12.75">
      <c r="A347" s="192" t="s">
        <v>160</v>
      </c>
      <c r="B347" s="192" t="s">
        <v>282</v>
      </c>
      <c r="C347" s="192" t="s">
        <v>444</v>
      </c>
      <c r="D347" s="192" t="s">
        <v>792</v>
      </c>
      <c r="E347" s="192" t="s">
        <v>957</v>
      </c>
      <c r="F347" s="193">
        <v>41</v>
      </c>
      <c r="G347" s="193"/>
      <c r="H347" s="193">
        <f>F347*AE347</f>
        <v>0</v>
      </c>
      <c r="I347" s="193">
        <f>J347-H347</f>
        <v>0</v>
      </c>
      <c r="J347" s="193">
        <f>F347*G347</f>
        <v>0</v>
      </c>
      <c r="K347" s="193">
        <v>0.0056</v>
      </c>
      <c r="L347" s="193">
        <f>F347*K347</f>
        <v>0.2296</v>
      </c>
      <c r="M347" s="194" t="s">
        <v>985</v>
      </c>
      <c r="N347" s="13" t="s">
        <v>989</v>
      </c>
      <c r="O347" s="7">
        <f>IF(N347="5",I347,0)</f>
        <v>0</v>
      </c>
      <c r="Z347" s="7">
        <f>IF(AD347=0,J347,0)</f>
        <v>0</v>
      </c>
      <c r="AA347" s="7">
        <f>IF(AD347=15,J347,0)</f>
        <v>0</v>
      </c>
      <c r="AB347" s="7">
        <f>IF(AD347=21,J347,0)</f>
        <v>0</v>
      </c>
      <c r="AD347" s="16">
        <v>21</v>
      </c>
      <c r="AE347" s="16">
        <f>G347*1</f>
        <v>0</v>
      </c>
      <c r="AF347" s="16">
        <f>G347*(1-1)</f>
        <v>0</v>
      </c>
      <c r="AM347" s="16">
        <f>F347*AE347</f>
        <v>0</v>
      </c>
      <c r="AN347" s="16">
        <f>F347*AF347</f>
        <v>0</v>
      </c>
      <c r="AO347" s="17" t="s">
        <v>1017</v>
      </c>
      <c r="AP347" s="17" t="s">
        <v>1036</v>
      </c>
      <c r="AQ347" s="11" t="s">
        <v>1039</v>
      </c>
    </row>
    <row r="348" spans="1:13" ht="12.75">
      <c r="A348" s="183"/>
      <c r="B348" s="183"/>
      <c r="C348" s="183"/>
      <c r="D348" s="184" t="s">
        <v>47</v>
      </c>
      <c r="E348" s="183"/>
      <c r="F348" s="185">
        <v>41</v>
      </c>
      <c r="G348" s="183"/>
      <c r="H348" s="183"/>
      <c r="I348" s="183"/>
      <c r="J348" s="183"/>
      <c r="K348" s="183"/>
      <c r="L348" s="183"/>
      <c r="M348" s="183"/>
    </row>
    <row r="349" spans="1:43" ht="12.75">
      <c r="A349" s="180" t="s">
        <v>161</v>
      </c>
      <c r="B349" s="180" t="s">
        <v>282</v>
      </c>
      <c r="C349" s="180" t="s">
        <v>445</v>
      </c>
      <c r="D349" s="180" t="s">
        <v>793</v>
      </c>
      <c r="E349" s="180" t="s">
        <v>957</v>
      </c>
      <c r="F349" s="181">
        <v>6</v>
      </c>
      <c r="G349" s="181"/>
      <c r="H349" s="181">
        <f>F349*AE349</f>
        <v>0</v>
      </c>
      <c r="I349" s="181">
        <f>J349-H349</f>
        <v>0</v>
      </c>
      <c r="J349" s="181">
        <f>F349*G349</f>
        <v>0</v>
      </c>
      <c r="K349" s="181">
        <v>0</v>
      </c>
      <c r="L349" s="181">
        <f>F349*K349</f>
        <v>0</v>
      </c>
      <c r="M349" s="182" t="s">
        <v>985</v>
      </c>
      <c r="N349" s="12" t="s">
        <v>8</v>
      </c>
      <c r="O349" s="6">
        <f>IF(N349="5",I349,0)</f>
        <v>0</v>
      </c>
      <c r="Z349" s="6">
        <f>IF(AD349=0,J349,0)</f>
        <v>0</v>
      </c>
      <c r="AA349" s="6">
        <f>IF(AD349=15,J349,0)</f>
        <v>0</v>
      </c>
      <c r="AB349" s="6">
        <f>IF(AD349=21,J349,0)</f>
        <v>0</v>
      </c>
      <c r="AD349" s="16">
        <v>21</v>
      </c>
      <c r="AE349" s="16">
        <f>G349*0</f>
        <v>0</v>
      </c>
      <c r="AF349" s="16">
        <f>G349*(1-0)</f>
        <v>0</v>
      </c>
      <c r="AM349" s="16">
        <f>F349*AE349</f>
        <v>0</v>
      </c>
      <c r="AN349" s="16">
        <f>F349*AF349</f>
        <v>0</v>
      </c>
      <c r="AO349" s="17" t="s">
        <v>1017</v>
      </c>
      <c r="AP349" s="17" t="s">
        <v>1036</v>
      </c>
      <c r="AQ349" s="11" t="s">
        <v>1039</v>
      </c>
    </row>
    <row r="350" spans="1:13" ht="12.75">
      <c r="A350" s="183"/>
      <c r="B350" s="183"/>
      <c r="C350" s="183"/>
      <c r="D350" s="184" t="s">
        <v>12</v>
      </c>
      <c r="E350" s="183"/>
      <c r="F350" s="185">
        <v>6</v>
      </c>
      <c r="G350" s="183"/>
      <c r="H350" s="183"/>
      <c r="I350" s="183"/>
      <c r="J350" s="183"/>
      <c r="K350" s="183"/>
      <c r="L350" s="183"/>
      <c r="M350" s="183"/>
    </row>
    <row r="351" spans="1:43" ht="12.75">
      <c r="A351" s="192" t="s">
        <v>162</v>
      </c>
      <c r="B351" s="192" t="s">
        <v>282</v>
      </c>
      <c r="C351" s="192" t="s">
        <v>446</v>
      </c>
      <c r="D351" s="192" t="s">
        <v>794</v>
      </c>
      <c r="E351" s="192" t="s">
        <v>957</v>
      </c>
      <c r="F351" s="193">
        <v>6</v>
      </c>
      <c r="G351" s="193"/>
      <c r="H351" s="193">
        <f>F351*AE351</f>
        <v>0</v>
      </c>
      <c r="I351" s="193">
        <f>J351-H351</f>
        <v>0</v>
      </c>
      <c r="J351" s="193">
        <f>F351*G351</f>
        <v>0</v>
      </c>
      <c r="K351" s="193">
        <v>0.002</v>
      </c>
      <c r="L351" s="193">
        <f>F351*K351</f>
        <v>0.012</v>
      </c>
      <c r="M351" s="194" t="s">
        <v>985</v>
      </c>
      <c r="N351" s="13" t="s">
        <v>989</v>
      </c>
      <c r="O351" s="7">
        <f>IF(N351="5",I351,0)</f>
        <v>0</v>
      </c>
      <c r="Z351" s="7">
        <f>IF(AD351=0,J351,0)</f>
        <v>0</v>
      </c>
      <c r="AA351" s="7">
        <f>IF(AD351=15,J351,0)</f>
        <v>0</v>
      </c>
      <c r="AB351" s="7">
        <f>IF(AD351=21,J351,0)</f>
        <v>0</v>
      </c>
      <c r="AD351" s="16">
        <v>21</v>
      </c>
      <c r="AE351" s="16">
        <f>G351*1</f>
        <v>0</v>
      </c>
      <c r="AF351" s="16">
        <f>G351*(1-1)</f>
        <v>0</v>
      </c>
      <c r="AM351" s="16">
        <f>F351*AE351</f>
        <v>0</v>
      </c>
      <c r="AN351" s="16">
        <f>F351*AF351</f>
        <v>0</v>
      </c>
      <c r="AO351" s="17" t="s">
        <v>1017</v>
      </c>
      <c r="AP351" s="17" t="s">
        <v>1036</v>
      </c>
      <c r="AQ351" s="11" t="s">
        <v>1039</v>
      </c>
    </row>
    <row r="352" spans="1:13" ht="12.75">
      <c r="A352" s="183"/>
      <c r="B352" s="183"/>
      <c r="C352" s="183"/>
      <c r="D352" s="184" t="s">
        <v>12</v>
      </c>
      <c r="E352" s="183"/>
      <c r="F352" s="185">
        <v>6</v>
      </c>
      <c r="G352" s="183"/>
      <c r="H352" s="183"/>
      <c r="I352" s="183"/>
      <c r="J352" s="183"/>
      <c r="K352" s="183"/>
      <c r="L352" s="183"/>
      <c r="M352" s="183"/>
    </row>
    <row r="353" spans="1:43" ht="12.75">
      <c r="A353" s="180" t="s">
        <v>163</v>
      </c>
      <c r="B353" s="180" t="s">
        <v>282</v>
      </c>
      <c r="C353" s="180" t="s">
        <v>447</v>
      </c>
      <c r="D353" s="180" t="s">
        <v>795</v>
      </c>
      <c r="E353" s="180" t="s">
        <v>957</v>
      </c>
      <c r="F353" s="181">
        <v>6</v>
      </c>
      <c r="G353" s="181"/>
      <c r="H353" s="181">
        <f>F353*AE353</f>
        <v>0</v>
      </c>
      <c r="I353" s="181">
        <f>J353-H353</f>
        <v>0</v>
      </c>
      <c r="J353" s="181">
        <f>F353*G353</f>
        <v>0</v>
      </c>
      <c r="K353" s="181">
        <v>0</v>
      </c>
      <c r="L353" s="181">
        <f>F353*K353</f>
        <v>0</v>
      </c>
      <c r="M353" s="182" t="s">
        <v>985</v>
      </c>
      <c r="N353" s="12" t="s">
        <v>8</v>
      </c>
      <c r="O353" s="6">
        <f>IF(N353="5",I353,0)</f>
        <v>0</v>
      </c>
      <c r="Z353" s="6">
        <f>IF(AD353=0,J353,0)</f>
        <v>0</v>
      </c>
      <c r="AA353" s="6">
        <f>IF(AD353=15,J353,0)</f>
        <v>0</v>
      </c>
      <c r="AB353" s="6">
        <f>IF(AD353=21,J353,0)</f>
        <v>0</v>
      </c>
      <c r="AD353" s="16">
        <v>21</v>
      </c>
      <c r="AE353" s="16">
        <f>G353*0</f>
        <v>0</v>
      </c>
      <c r="AF353" s="16">
        <f>G353*(1-0)</f>
        <v>0</v>
      </c>
      <c r="AM353" s="16">
        <f>F353*AE353</f>
        <v>0</v>
      </c>
      <c r="AN353" s="16">
        <f>F353*AF353</f>
        <v>0</v>
      </c>
      <c r="AO353" s="17" t="s">
        <v>1017</v>
      </c>
      <c r="AP353" s="17" t="s">
        <v>1036</v>
      </c>
      <c r="AQ353" s="11" t="s">
        <v>1039</v>
      </c>
    </row>
    <row r="354" spans="1:13" ht="12.75">
      <c r="A354" s="183"/>
      <c r="B354" s="183"/>
      <c r="C354" s="183"/>
      <c r="D354" s="184" t="s">
        <v>12</v>
      </c>
      <c r="E354" s="183"/>
      <c r="F354" s="185">
        <v>6</v>
      </c>
      <c r="G354" s="183"/>
      <c r="H354" s="183"/>
      <c r="I354" s="183"/>
      <c r="J354" s="183"/>
      <c r="K354" s="183"/>
      <c r="L354" s="183"/>
      <c r="M354" s="183"/>
    </row>
    <row r="355" spans="1:43" ht="12.75">
      <c r="A355" s="192" t="s">
        <v>164</v>
      </c>
      <c r="B355" s="192" t="s">
        <v>282</v>
      </c>
      <c r="C355" s="192" t="s">
        <v>446</v>
      </c>
      <c r="D355" s="192" t="s">
        <v>796</v>
      </c>
      <c r="E355" s="192" t="s">
        <v>957</v>
      </c>
      <c r="F355" s="193">
        <v>6</v>
      </c>
      <c r="G355" s="193"/>
      <c r="H355" s="193">
        <f>F355*AE355</f>
        <v>0</v>
      </c>
      <c r="I355" s="193">
        <f>J355-H355</f>
        <v>0</v>
      </c>
      <c r="J355" s="193">
        <f>F355*G355</f>
        <v>0</v>
      </c>
      <c r="K355" s="193">
        <v>0.002</v>
      </c>
      <c r="L355" s="193">
        <f>F355*K355</f>
        <v>0.012</v>
      </c>
      <c r="M355" s="194" t="s">
        <v>985</v>
      </c>
      <c r="N355" s="13" t="s">
        <v>989</v>
      </c>
      <c r="O355" s="7">
        <f>IF(N355="5",I355,0)</f>
        <v>0</v>
      </c>
      <c r="Z355" s="7">
        <f>IF(AD355=0,J355,0)</f>
        <v>0</v>
      </c>
      <c r="AA355" s="7">
        <f>IF(AD355=15,J355,0)</f>
        <v>0</v>
      </c>
      <c r="AB355" s="7">
        <f>IF(AD355=21,J355,0)</f>
        <v>0</v>
      </c>
      <c r="AD355" s="16">
        <v>21</v>
      </c>
      <c r="AE355" s="16">
        <f>G355*1</f>
        <v>0</v>
      </c>
      <c r="AF355" s="16">
        <f>G355*(1-1)</f>
        <v>0</v>
      </c>
      <c r="AM355" s="16">
        <f>F355*AE355</f>
        <v>0</v>
      </c>
      <c r="AN355" s="16">
        <f>F355*AF355</f>
        <v>0</v>
      </c>
      <c r="AO355" s="17" t="s">
        <v>1017</v>
      </c>
      <c r="AP355" s="17" t="s">
        <v>1036</v>
      </c>
      <c r="AQ355" s="11" t="s">
        <v>1039</v>
      </c>
    </row>
    <row r="356" spans="1:13" ht="12.75">
      <c r="A356" s="183"/>
      <c r="B356" s="183"/>
      <c r="C356" s="183"/>
      <c r="D356" s="184" t="s">
        <v>12</v>
      </c>
      <c r="E356" s="183"/>
      <c r="F356" s="185">
        <v>6</v>
      </c>
      <c r="G356" s="183"/>
      <c r="H356" s="183"/>
      <c r="I356" s="183"/>
      <c r="J356" s="183"/>
      <c r="K356" s="183"/>
      <c r="L356" s="183"/>
      <c r="M356" s="183"/>
    </row>
    <row r="357" spans="1:43" ht="12.75">
      <c r="A357" s="180" t="s">
        <v>165</v>
      </c>
      <c r="B357" s="180" t="s">
        <v>282</v>
      </c>
      <c r="C357" s="180" t="s">
        <v>448</v>
      </c>
      <c r="D357" s="180" t="s">
        <v>797</v>
      </c>
      <c r="E357" s="180" t="s">
        <v>957</v>
      </c>
      <c r="F357" s="181">
        <v>5</v>
      </c>
      <c r="G357" s="181"/>
      <c r="H357" s="181">
        <f>F357*AE357</f>
        <v>0</v>
      </c>
      <c r="I357" s="181">
        <f>J357-H357</f>
        <v>0</v>
      </c>
      <c r="J357" s="181">
        <f>F357*G357</f>
        <v>0</v>
      </c>
      <c r="K357" s="181">
        <v>0</v>
      </c>
      <c r="L357" s="181">
        <f>F357*K357</f>
        <v>0</v>
      </c>
      <c r="M357" s="182" t="s">
        <v>985</v>
      </c>
      <c r="N357" s="12" t="s">
        <v>8</v>
      </c>
      <c r="O357" s="6">
        <f>IF(N357="5",I357,0)</f>
        <v>0</v>
      </c>
      <c r="Z357" s="6">
        <f>IF(AD357=0,J357,0)</f>
        <v>0</v>
      </c>
      <c r="AA357" s="6">
        <f>IF(AD357=15,J357,0)</f>
        <v>0</v>
      </c>
      <c r="AB357" s="6">
        <f>IF(AD357=21,J357,0)</f>
        <v>0</v>
      </c>
      <c r="AD357" s="16">
        <v>21</v>
      </c>
      <c r="AE357" s="16">
        <f>G357*0</f>
        <v>0</v>
      </c>
      <c r="AF357" s="16">
        <f>G357*(1-0)</f>
        <v>0</v>
      </c>
      <c r="AM357" s="16">
        <f>F357*AE357</f>
        <v>0</v>
      </c>
      <c r="AN357" s="16">
        <f>F357*AF357</f>
        <v>0</v>
      </c>
      <c r="AO357" s="17" t="s">
        <v>1017</v>
      </c>
      <c r="AP357" s="17" t="s">
        <v>1036</v>
      </c>
      <c r="AQ357" s="11" t="s">
        <v>1039</v>
      </c>
    </row>
    <row r="358" spans="1:13" ht="12.75">
      <c r="A358" s="183"/>
      <c r="B358" s="183"/>
      <c r="C358" s="183"/>
      <c r="D358" s="184" t="s">
        <v>11</v>
      </c>
      <c r="E358" s="183"/>
      <c r="F358" s="185">
        <v>5</v>
      </c>
      <c r="G358" s="183"/>
      <c r="H358" s="183"/>
      <c r="I358" s="183"/>
      <c r="J358" s="183"/>
      <c r="K358" s="183"/>
      <c r="L358" s="183"/>
      <c r="M358" s="183"/>
    </row>
    <row r="359" spans="1:43" ht="12.75">
      <c r="A359" s="192" t="s">
        <v>166</v>
      </c>
      <c r="B359" s="192" t="s">
        <v>282</v>
      </c>
      <c r="C359" s="192" t="s">
        <v>449</v>
      </c>
      <c r="D359" s="192" t="s">
        <v>798</v>
      </c>
      <c r="E359" s="192" t="s">
        <v>957</v>
      </c>
      <c r="F359" s="193">
        <v>5</v>
      </c>
      <c r="G359" s="193"/>
      <c r="H359" s="193">
        <f>F359*AE359</f>
        <v>0</v>
      </c>
      <c r="I359" s="193">
        <f>J359-H359</f>
        <v>0</v>
      </c>
      <c r="J359" s="193">
        <f>F359*G359</f>
        <v>0</v>
      </c>
      <c r="K359" s="193">
        <v>0.006</v>
      </c>
      <c r="L359" s="193">
        <f>F359*K359</f>
        <v>0.03</v>
      </c>
      <c r="M359" s="194" t="s">
        <v>985</v>
      </c>
      <c r="N359" s="13" t="s">
        <v>989</v>
      </c>
      <c r="O359" s="7">
        <f>IF(N359="5",I359,0)</f>
        <v>0</v>
      </c>
      <c r="Z359" s="7">
        <f>IF(AD359=0,J359,0)</f>
        <v>0</v>
      </c>
      <c r="AA359" s="7">
        <f>IF(AD359=15,J359,0)</f>
        <v>0</v>
      </c>
      <c r="AB359" s="7">
        <f>IF(AD359=21,J359,0)</f>
        <v>0</v>
      </c>
      <c r="AD359" s="16">
        <v>21</v>
      </c>
      <c r="AE359" s="16">
        <f>G359*1</f>
        <v>0</v>
      </c>
      <c r="AF359" s="16">
        <f>G359*(1-1)</f>
        <v>0</v>
      </c>
      <c r="AM359" s="16">
        <f>F359*AE359</f>
        <v>0</v>
      </c>
      <c r="AN359" s="16">
        <f>F359*AF359</f>
        <v>0</v>
      </c>
      <c r="AO359" s="17" t="s">
        <v>1017</v>
      </c>
      <c r="AP359" s="17" t="s">
        <v>1036</v>
      </c>
      <c r="AQ359" s="11" t="s">
        <v>1039</v>
      </c>
    </row>
    <row r="360" spans="1:13" ht="12.75">
      <c r="A360" s="183"/>
      <c r="B360" s="183"/>
      <c r="C360" s="183"/>
      <c r="D360" s="184" t="s">
        <v>11</v>
      </c>
      <c r="E360" s="183"/>
      <c r="F360" s="185">
        <v>5</v>
      </c>
      <c r="G360" s="183"/>
      <c r="H360" s="183"/>
      <c r="I360" s="183"/>
      <c r="J360" s="183"/>
      <c r="K360" s="183"/>
      <c r="L360" s="183"/>
      <c r="M360" s="183"/>
    </row>
    <row r="361" spans="1:43" ht="12.75">
      <c r="A361" s="180" t="s">
        <v>167</v>
      </c>
      <c r="B361" s="180" t="s">
        <v>282</v>
      </c>
      <c r="C361" s="180" t="s">
        <v>450</v>
      </c>
      <c r="D361" s="180" t="s">
        <v>799</v>
      </c>
      <c r="E361" s="180" t="s">
        <v>957</v>
      </c>
      <c r="F361" s="181">
        <v>3</v>
      </c>
      <c r="G361" s="181"/>
      <c r="H361" s="181">
        <f>F361*AE361</f>
        <v>0</v>
      </c>
      <c r="I361" s="181">
        <f>J361-H361</f>
        <v>0</v>
      </c>
      <c r="J361" s="181">
        <f>F361*G361</f>
        <v>0</v>
      </c>
      <c r="K361" s="181">
        <v>0</v>
      </c>
      <c r="L361" s="181">
        <f>F361*K361</f>
        <v>0</v>
      </c>
      <c r="M361" s="182" t="s">
        <v>985</v>
      </c>
      <c r="N361" s="12" t="s">
        <v>8</v>
      </c>
      <c r="O361" s="6">
        <f>IF(N361="5",I361,0)</f>
        <v>0</v>
      </c>
      <c r="Z361" s="6">
        <f>IF(AD361=0,J361,0)</f>
        <v>0</v>
      </c>
      <c r="AA361" s="6">
        <f>IF(AD361=15,J361,0)</f>
        <v>0</v>
      </c>
      <c r="AB361" s="6">
        <f>IF(AD361=21,J361,0)</f>
        <v>0</v>
      </c>
      <c r="AD361" s="16">
        <v>21</v>
      </c>
      <c r="AE361" s="16">
        <f>G361*0</f>
        <v>0</v>
      </c>
      <c r="AF361" s="16">
        <f>G361*(1-0)</f>
        <v>0</v>
      </c>
      <c r="AM361" s="16">
        <f>F361*AE361</f>
        <v>0</v>
      </c>
      <c r="AN361" s="16">
        <f>F361*AF361</f>
        <v>0</v>
      </c>
      <c r="AO361" s="17" t="s">
        <v>1017</v>
      </c>
      <c r="AP361" s="17" t="s">
        <v>1036</v>
      </c>
      <c r="AQ361" s="11" t="s">
        <v>1039</v>
      </c>
    </row>
    <row r="362" spans="1:13" ht="12.75">
      <c r="A362" s="183"/>
      <c r="B362" s="183"/>
      <c r="C362" s="183"/>
      <c r="D362" s="184" t="s">
        <v>9</v>
      </c>
      <c r="E362" s="183"/>
      <c r="F362" s="185">
        <v>3</v>
      </c>
      <c r="G362" s="183"/>
      <c r="H362" s="183"/>
      <c r="I362" s="183"/>
      <c r="J362" s="183"/>
      <c r="K362" s="183"/>
      <c r="L362" s="183"/>
      <c r="M362" s="183"/>
    </row>
    <row r="363" spans="1:43" ht="12.75">
      <c r="A363" s="192" t="s">
        <v>168</v>
      </c>
      <c r="B363" s="192" t="s">
        <v>282</v>
      </c>
      <c r="C363" s="192" t="s">
        <v>451</v>
      </c>
      <c r="D363" s="192" t="s">
        <v>800</v>
      </c>
      <c r="E363" s="192" t="s">
        <v>957</v>
      </c>
      <c r="F363" s="193">
        <v>3</v>
      </c>
      <c r="G363" s="193"/>
      <c r="H363" s="193">
        <f>F363*AE363</f>
        <v>0</v>
      </c>
      <c r="I363" s="193">
        <f>J363-H363</f>
        <v>0</v>
      </c>
      <c r="J363" s="193">
        <f>F363*G363</f>
        <v>0</v>
      </c>
      <c r="K363" s="193">
        <v>0.0045</v>
      </c>
      <c r="L363" s="193">
        <f>F363*K363</f>
        <v>0.013499999999999998</v>
      </c>
      <c r="M363" s="194" t="s">
        <v>985</v>
      </c>
      <c r="N363" s="13" t="s">
        <v>989</v>
      </c>
      <c r="O363" s="7">
        <f>IF(N363="5",I363,0)</f>
        <v>0</v>
      </c>
      <c r="Z363" s="7">
        <f>IF(AD363=0,J363,0)</f>
        <v>0</v>
      </c>
      <c r="AA363" s="7">
        <f>IF(AD363=15,J363,0)</f>
        <v>0</v>
      </c>
      <c r="AB363" s="7">
        <f>IF(AD363=21,J363,0)</f>
        <v>0</v>
      </c>
      <c r="AD363" s="16">
        <v>21</v>
      </c>
      <c r="AE363" s="16">
        <f>G363*1</f>
        <v>0</v>
      </c>
      <c r="AF363" s="16">
        <f>G363*(1-1)</f>
        <v>0</v>
      </c>
      <c r="AM363" s="16">
        <f>F363*AE363</f>
        <v>0</v>
      </c>
      <c r="AN363" s="16">
        <f>F363*AF363</f>
        <v>0</v>
      </c>
      <c r="AO363" s="17" t="s">
        <v>1017</v>
      </c>
      <c r="AP363" s="17" t="s">
        <v>1036</v>
      </c>
      <c r="AQ363" s="11" t="s">
        <v>1039</v>
      </c>
    </row>
    <row r="364" spans="1:13" ht="12.75">
      <c r="A364" s="183"/>
      <c r="B364" s="183"/>
      <c r="C364" s="183"/>
      <c r="D364" s="184" t="s">
        <v>9</v>
      </c>
      <c r="E364" s="183"/>
      <c r="F364" s="185">
        <v>3</v>
      </c>
      <c r="G364" s="183"/>
      <c r="H364" s="183"/>
      <c r="I364" s="183"/>
      <c r="J364" s="183"/>
      <c r="K364" s="183"/>
      <c r="L364" s="183"/>
      <c r="M364" s="183"/>
    </row>
    <row r="365" spans="1:43" ht="12.75">
      <c r="A365" s="180" t="s">
        <v>169</v>
      </c>
      <c r="B365" s="180" t="s">
        <v>282</v>
      </c>
      <c r="C365" s="180" t="s">
        <v>452</v>
      </c>
      <c r="D365" s="180" t="s">
        <v>801</v>
      </c>
      <c r="E365" s="180" t="s">
        <v>952</v>
      </c>
      <c r="F365" s="181">
        <v>2</v>
      </c>
      <c r="G365" s="181"/>
      <c r="H365" s="181">
        <f>F365*AE365</f>
        <v>0</v>
      </c>
      <c r="I365" s="181">
        <f>J365-H365</f>
        <v>0</v>
      </c>
      <c r="J365" s="181">
        <f>F365*G365</f>
        <v>0</v>
      </c>
      <c r="K365" s="181">
        <v>0</v>
      </c>
      <c r="L365" s="181">
        <f>F365*K365</f>
        <v>0</v>
      </c>
      <c r="M365" s="182" t="s">
        <v>985</v>
      </c>
      <c r="N365" s="12" t="s">
        <v>8</v>
      </c>
      <c r="O365" s="6">
        <f>IF(N365="5",I365,0)</f>
        <v>0</v>
      </c>
      <c r="Z365" s="6">
        <f>IF(AD365=0,J365,0)</f>
        <v>0</v>
      </c>
      <c r="AA365" s="6">
        <f>IF(AD365=15,J365,0)</f>
        <v>0</v>
      </c>
      <c r="AB365" s="6">
        <f>IF(AD365=21,J365,0)</f>
        <v>0</v>
      </c>
      <c r="AD365" s="16">
        <v>21</v>
      </c>
      <c r="AE365" s="16">
        <f>G365*0</f>
        <v>0</v>
      </c>
      <c r="AF365" s="16">
        <f>G365*(1-0)</f>
        <v>0</v>
      </c>
      <c r="AM365" s="16">
        <f>F365*AE365</f>
        <v>0</v>
      </c>
      <c r="AN365" s="16">
        <f>F365*AF365</f>
        <v>0</v>
      </c>
      <c r="AO365" s="17" t="s">
        <v>1017</v>
      </c>
      <c r="AP365" s="17" t="s">
        <v>1036</v>
      </c>
      <c r="AQ365" s="11" t="s">
        <v>1039</v>
      </c>
    </row>
    <row r="366" spans="1:13" ht="12.75">
      <c r="A366" s="183"/>
      <c r="B366" s="183"/>
      <c r="C366" s="183"/>
      <c r="D366" s="184" t="s">
        <v>8</v>
      </c>
      <c r="E366" s="183"/>
      <c r="F366" s="185">
        <v>2</v>
      </c>
      <c r="G366" s="183"/>
      <c r="H366" s="183"/>
      <c r="I366" s="183"/>
      <c r="J366" s="183"/>
      <c r="K366" s="183"/>
      <c r="L366" s="183"/>
      <c r="M366" s="183"/>
    </row>
    <row r="367" spans="1:43" ht="12.75">
      <c r="A367" s="180" t="s">
        <v>170</v>
      </c>
      <c r="B367" s="180" t="s">
        <v>282</v>
      </c>
      <c r="C367" s="180" t="s">
        <v>453</v>
      </c>
      <c r="D367" s="180" t="s">
        <v>802</v>
      </c>
      <c r="E367" s="180" t="s">
        <v>960</v>
      </c>
      <c r="F367" s="181"/>
      <c r="G367" s="181">
        <v>0.03</v>
      </c>
      <c r="H367" s="181">
        <f>F367*AE367</f>
        <v>0</v>
      </c>
      <c r="I367" s="181">
        <f>J367-H367</f>
        <v>0</v>
      </c>
      <c r="J367" s="181">
        <f>F367*G367</f>
        <v>0</v>
      </c>
      <c r="K367" s="181">
        <v>0</v>
      </c>
      <c r="L367" s="181">
        <f>F367*K367</f>
        <v>0</v>
      </c>
      <c r="M367" s="182" t="s">
        <v>985</v>
      </c>
      <c r="N367" s="12" t="s">
        <v>8</v>
      </c>
      <c r="O367" s="6">
        <f>IF(N367="5",I367,0)</f>
        <v>0</v>
      </c>
      <c r="Z367" s="6">
        <f>IF(AD367=0,J367,0)</f>
        <v>0</v>
      </c>
      <c r="AA367" s="6">
        <f>IF(AD367=15,J367,0)</f>
        <v>0</v>
      </c>
      <c r="AB367" s="6">
        <f>IF(AD367=21,J367,0)</f>
        <v>0</v>
      </c>
      <c r="AD367" s="16">
        <v>21</v>
      </c>
      <c r="AE367" s="16">
        <f>G367*0</f>
        <v>0</v>
      </c>
      <c r="AF367" s="16">
        <f>G367*(1-0)</f>
        <v>0.03</v>
      </c>
      <c r="AM367" s="16">
        <f>F367*AE367</f>
        <v>0</v>
      </c>
      <c r="AN367" s="16">
        <f>F367*AF367</f>
        <v>0</v>
      </c>
      <c r="AO367" s="17" t="s">
        <v>1017</v>
      </c>
      <c r="AP367" s="17" t="s">
        <v>1036</v>
      </c>
      <c r="AQ367" s="11" t="s">
        <v>1039</v>
      </c>
    </row>
    <row r="368" spans="1:43" ht="12.75">
      <c r="A368" s="180" t="s">
        <v>171</v>
      </c>
      <c r="B368" s="180" t="s">
        <v>282</v>
      </c>
      <c r="C368" s="180" t="s">
        <v>454</v>
      </c>
      <c r="D368" s="180" t="s">
        <v>803</v>
      </c>
      <c r="E368" s="180" t="s">
        <v>960</v>
      </c>
      <c r="F368" s="181"/>
      <c r="G368" s="181">
        <v>0.05</v>
      </c>
      <c r="H368" s="181">
        <f>F368*AE368</f>
        <v>0</v>
      </c>
      <c r="I368" s="181">
        <f>J368-H368</f>
        <v>0</v>
      </c>
      <c r="J368" s="181">
        <f>F368*G368</f>
        <v>0</v>
      </c>
      <c r="K368" s="181">
        <v>0</v>
      </c>
      <c r="L368" s="181">
        <f>F368*K368</f>
        <v>0</v>
      </c>
      <c r="M368" s="182" t="s">
        <v>985</v>
      </c>
      <c r="N368" s="12" t="s">
        <v>8</v>
      </c>
      <c r="O368" s="6">
        <f>IF(N368="5",I368,0)</f>
        <v>0</v>
      </c>
      <c r="Z368" s="6">
        <f>IF(AD368=0,J368,0)</f>
        <v>0</v>
      </c>
      <c r="AA368" s="6">
        <f>IF(AD368=15,J368,0)</f>
        <v>0</v>
      </c>
      <c r="AB368" s="6">
        <f>IF(AD368=21,J368,0)</f>
        <v>0</v>
      </c>
      <c r="AD368" s="16">
        <v>21</v>
      </c>
      <c r="AE368" s="16">
        <f>G368*0</f>
        <v>0</v>
      </c>
      <c r="AF368" s="16">
        <f>G368*(1-0)</f>
        <v>0.05</v>
      </c>
      <c r="AM368" s="16">
        <f>F368*AE368</f>
        <v>0</v>
      </c>
      <c r="AN368" s="16">
        <f>F368*AF368</f>
        <v>0</v>
      </c>
      <c r="AO368" s="17" t="s">
        <v>1017</v>
      </c>
      <c r="AP368" s="17" t="s">
        <v>1036</v>
      </c>
      <c r="AQ368" s="11" t="s">
        <v>1039</v>
      </c>
    </row>
    <row r="369" spans="1:43" ht="12.75">
      <c r="A369" s="180" t="s">
        <v>172</v>
      </c>
      <c r="B369" s="180" t="s">
        <v>282</v>
      </c>
      <c r="C369" s="180" t="s">
        <v>455</v>
      </c>
      <c r="D369" s="180" t="s">
        <v>804</v>
      </c>
      <c r="E369" s="180" t="s">
        <v>960</v>
      </c>
      <c r="F369" s="181"/>
      <c r="G369" s="181">
        <v>0.06</v>
      </c>
      <c r="H369" s="181">
        <f>F369*AE369</f>
        <v>0</v>
      </c>
      <c r="I369" s="181">
        <f>J369-H369</f>
        <v>0</v>
      </c>
      <c r="J369" s="181">
        <f>F369*G369</f>
        <v>0</v>
      </c>
      <c r="K369" s="181">
        <v>0</v>
      </c>
      <c r="L369" s="181">
        <f>F369*K369</f>
        <v>0</v>
      </c>
      <c r="M369" s="182" t="s">
        <v>985</v>
      </c>
      <c r="N369" s="12" t="s">
        <v>8</v>
      </c>
      <c r="O369" s="6">
        <f>IF(N369="5",I369,0)</f>
        <v>0</v>
      </c>
      <c r="Z369" s="6">
        <f>IF(AD369=0,J369,0)</f>
        <v>0</v>
      </c>
      <c r="AA369" s="6">
        <f>IF(AD369=15,J369,0)</f>
        <v>0</v>
      </c>
      <c r="AB369" s="6">
        <f>IF(AD369=21,J369,0)</f>
        <v>0</v>
      </c>
      <c r="AD369" s="16">
        <v>21</v>
      </c>
      <c r="AE369" s="16">
        <f>G369*0</f>
        <v>0</v>
      </c>
      <c r="AF369" s="16">
        <f>G369*(1-0)</f>
        <v>0.06</v>
      </c>
      <c r="AM369" s="16">
        <f>F369*AE369</f>
        <v>0</v>
      </c>
      <c r="AN369" s="16">
        <f>F369*AF369</f>
        <v>0</v>
      </c>
      <c r="AO369" s="17" t="s">
        <v>1017</v>
      </c>
      <c r="AP369" s="17" t="s">
        <v>1036</v>
      </c>
      <c r="AQ369" s="11" t="s">
        <v>1039</v>
      </c>
    </row>
    <row r="370" spans="1:37" ht="12.75">
      <c r="A370" s="174"/>
      <c r="B370" s="175" t="s">
        <v>282</v>
      </c>
      <c r="C370" s="175" t="s">
        <v>456</v>
      </c>
      <c r="D370" s="176" t="s">
        <v>805</v>
      </c>
      <c r="E370" s="177"/>
      <c r="F370" s="177"/>
      <c r="G370" s="177"/>
      <c r="H370" s="178">
        <f>SUM(H371:H371)</f>
        <v>0</v>
      </c>
      <c r="I370" s="178">
        <f>SUM(I371:I371)</f>
        <v>0</v>
      </c>
      <c r="J370" s="178">
        <f>H370+I370</f>
        <v>0</v>
      </c>
      <c r="K370" s="179"/>
      <c r="L370" s="178">
        <f>SUM(L371:L371)</f>
        <v>0</v>
      </c>
      <c r="M370" s="179"/>
      <c r="P370" s="18">
        <f>IF(Q370="PR",J370,SUM(O371:O371))</f>
        <v>0</v>
      </c>
      <c r="Q370" s="11" t="s">
        <v>994</v>
      </c>
      <c r="R370" s="18">
        <f>IF(Q370="HS",H370,0)</f>
        <v>0</v>
      </c>
      <c r="S370" s="18">
        <f>IF(Q370="HS",I370-P370,0)</f>
        <v>0</v>
      </c>
      <c r="T370" s="18">
        <f>IF(Q370="PS",H370,0)</f>
        <v>0</v>
      </c>
      <c r="U370" s="18">
        <f>IF(Q370="PS",I370-P370,0)</f>
        <v>0</v>
      </c>
      <c r="V370" s="18">
        <f>IF(Q370="MP",H370,0)</f>
        <v>0</v>
      </c>
      <c r="W370" s="18">
        <f>IF(Q370="MP",I370-P370,0)</f>
        <v>0</v>
      </c>
      <c r="X370" s="18">
        <f>IF(Q370="OM",H370,0)</f>
        <v>0</v>
      </c>
      <c r="Y370" s="11" t="s">
        <v>282</v>
      </c>
      <c r="AI370" s="18">
        <f>SUM(Z371:Z371)</f>
        <v>0</v>
      </c>
      <c r="AJ370" s="18">
        <f>SUM(AA371:AA371)</f>
        <v>0</v>
      </c>
      <c r="AK370" s="18">
        <f>SUM(AB371:AB371)</f>
        <v>0</v>
      </c>
    </row>
    <row r="371" spans="1:43" ht="12.75">
      <c r="A371" s="180" t="s">
        <v>173</v>
      </c>
      <c r="B371" s="180" t="s">
        <v>282</v>
      </c>
      <c r="C371" s="180" t="s">
        <v>457</v>
      </c>
      <c r="D371" s="180" t="s">
        <v>806</v>
      </c>
      <c r="E371" s="180" t="s">
        <v>961</v>
      </c>
      <c r="F371" s="181">
        <v>1</v>
      </c>
      <c r="G371" s="181">
        <f>'Skladová tech'!G15</f>
        <v>0</v>
      </c>
      <c r="H371" s="181">
        <f>F371*AE371</f>
        <v>0</v>
      </c>
      <c r="I371" s="181">
        <f>J371-H371</f>
        <v>0</v>
      </c>
      <c r="J371" s="181">
        <f>F371*G371</f>
        <v>0</v>
      </c>
      <c r="K371" s="181">
        <v>0</v>
      </c>
      <c r="L371" s="181">
        <f>F371*K371</f>
        <v>0</v>
      </c>
      <c r="M371" s="182" t="s">
        <v>987</v>
      </c>
      <c r="N371" s="12" t="s">
        <v>8</v>
      </c>
      <c r="O371" s="6">
        <f>IF(N371="5",I371,0)</f>
        <v>0</v>
      </c>
      <c r="Z371" s="6">
        <f>IF(AD371=0,J371,0)</f>
        <v>0</v>
      </c>
      <c r="AA371" s="6">
        <f>IF(AD371=15,J371,0)</f>
        <v>0</v>
      </c>
      <c r="AB371" s="6">
        <f>IF(AD371=21,J371,0)</f>
        <v>0</v>
      </c>
      <c r="AD371" s="16">
        <v>21</v>
      </c>
      <c r="AE371" s="16">
        <f>G371*0</f>
        <v>0</v>
      </c>
      <c r="AF371" s="16">
        <f>G371*(1-0)</f>
        <v>0</v>
      </c>
      <c r="AM371" s="16">
        <f>F371*AE371</f>
        <v>0</v>
      </c>
      <c r="AN371" s="16">
        <f>F371*AF371</f>
        <v>0</v>
      </c>
      <c r="AO371" s="17" t="s">
        <v>1018</v>
      </c>
      <c r="AP371" s="17" t="s">
        <v>1036</v>
      </c>
      <c r="AQ371" s="11" t="s">
        <v>1039</v>
      </c>
    </row>
    <row r="372" spans="1:13" ht="12.75">
      <c r="A372" s="183"/>
      <c r="B372" s="183"/>
      <c r="C372" s="183"/>
      <c r="D372" s="184" t="s">
        <v>7</v>
      </c>
      <c r="E372" s="183"/>
      <c r="F372" s="185">
        <v>1</v>
      </c>
      <c r="G372" s="183"/>
      <c r="H372" s="183"/>
      <c r="I372" s="183"/>
      <c r="J372" s="183"/>
      <c r="K372" s="183"/>
      <c r="L372" s="183"/>
      <c r="M372" s="183"/>
    </row>
    <row r="373" spans="1:37" ht="12.75">
      <c r="A373" s="174"/>
      <c r="B373" s="175" t="s">
        <v>282</v>
      </c>
      <c r="C373" s="175" t="s">
        <v>458</v>
      </c>
      <c r="D373" s="176" t="s">
        <v>807</v>
      </c>
      <c r="E373" s="177"/>
      <c r="F373" s="177"/>
      <c r="G373" s="177"/>
      <c r="H373" s="178">
        <f>SUM(H374:H374)</f>
        <v>0</v>
      </c>
      <c r="I373" s="178">
        <f>SUM(I374:I374)</f>
        <v>0</v>
      </c>
      <c r="J373" s="178">
        <f>H373+I373</f>
        <v>0</v>
      </c>
      <c r="K373" s="179"/>
      <c r="L373" s="178">
        <f>SUM(L374:L374)</f>
        <v>0</v>
      </c>
      <c r="M373" s="179"/>
      <c r="P373" s="18">
        <f>IF(Q373="PR",J373,SUM(O374:O374))</f>
        <v>0</v>
      </c>
      <c r="Q373" s="11" t="s">
        <v>994</v>
      </c>
      <c r="R373" s="18">
        <f>IF(Q373="HS",H373,0)</f>
        <v>0</v>
      </c>
      <c r="S373" s="18">
        <f>IF(Q373="HS",I373-P373,0)</f>
        <v>0</v>
      </c>
      <c r="T373" s="18">
        <f>IF(Q373="PS",H373,0)</f>
        <v>0</v>
      </c>
      <c r="U373" s="18">
        <f>IF(Q373="PS",I373-P373,0)</f>
        <v>0</v>
      </c>
      <c r="V373" s="18">
        <f>IF(Q373="MP",H373,0)</f>
        <v>0</v>
      </c>
      <c r="W373" s="18">
        <f>IF(Q373="MP",I373-P373,0)</f>
        <v>0</v>
      </c>
      <c r="X373" s="18">
        <f>IF(Q373="OM",H373,0)</f>
        <v>0</v>
      </c>
      <c r="Y373" s="11" t="s">
        <v>282</v>
      </c>
      <c r="AI373" s="18">
        <f>SUM(Z374:Z374)</f>
        <v>0</v>
      </c>
      <c r="AJ373" s="18">
        <f>SUM(AA374:AA374)</f>
        <v>0</v>
      </c>
      <c r="AK373" s="18">
        <f>SUM(AB374:AB374)</f>
        <v>0</v>
      </c>
    </row>
    <row r="374" spans="1:43" ht="12.75">
      <c r="A374" s="180" t="s">
        <v>174</v>
      </c>
      <c r="B374" s="180" t="s">
        <v>282</v>
      </c>
      <c r="C374" s="180" t="s">
        <v>459</v>
      </c>
      <c r="D374" s="180" t="s">
        <v>808</v>
      </c>
      <c r="E374" s="180" t="s">
        <v>961</v>
      </c>
      <c r="F374" s="181">
        <v>1</v>
      </c>
      <c r="G374" s="181">
        <f>'OK 1.et'!G10</f>
        <v>0</v>
      </c>
      <c r="H374" s="181">
        <f>F374*AE374</f>
        <v>0</v>
      </c>
      <c r="I374" s="181">
        <f>J374-H374</f>
        <v>0</v>
      </c>
      <c r="J374" s="181">
        <f>F374*G374</f>
        <v>0</v>
      </c>
      <c r="K374" s="181">
        <v>0</v>
      </c>
      <c r="L374" s="181">
        <f>F374*K374</f>
        <v>0</v>
      </c>
      <c r="M374" s="182" t="s">
        <v>987</v>
      </c>
      <c r="N374" s="12" t="s">
        <v>8</v>
      </c>
      <c r="O374" s="6">
        <f>IF(N374="5",I374,0)</f>
        <v>0</v>
      </c>
      <c r="Z374" s="6">
        <f>IF(AD374=0,J374,0)</f>
        <v>0</v>
      </c>
      <c r="AA374" s="6">
        <f>IF(AD374=15,J374,0)</f>
        <v>0</v>
      </c>
      <c r="AB374" s="6">
        <f>IF(AD374=21,J374,0)</f>
        <v>0</v>
      </c>
      <c r="AD374" s="16">
        <v>21</v>
      </c>
      <c r="AE374" s="16">
        <f>G374*0.980000000736166</f>
        <v>0</v>
      </c>
      <c r="AF374" s="16">
        <f>G374*(1-0.980000000736166)</f>
        <v>0</v>
      </c>
      <c r="AM374" s="16">
        <f>F374*AE374</f>
        <v>0</v>
      </c>
      <c r="AN374" s="16">
        <f>F374*AF374</f>
        <v>0</v>
      </c>
      <c r="AO374" s="17" t="s">
        <v>1019</v>
      </c>
      <c r="AP374" s="17" t="s">
        <v>1036</v>
      </c>
      <c r="AQ374" s="11" t="s">
        <v>1039</v>
      </c>
    </row>
    <row r="375" spans="1:13" ht="12.75">
      <c r="A375" s="183"/>
      <c r="B375" s="183"/>
      <c r="C375" s="183"/>
      <c r="D375" s="184" t="s">
        <v>7</v>
      </c>
      <c r="E375" s="183"/>
      <c r="F375" s="185">
        <v>1</v>
      </c>
      <c r="G375" s="183"/>
      <c r="H375" s="183"/>
      <c r="I375" s="183"/>
      <c r="J375" s="183"/>
      <c r="K375" s="183"/>
      <c r="L375" s="183"/>
      <c r="M375" s="183"/>
    </row>
    <row r="376" spans="1:13" ht="12.75">
      <c r="A376" s="186"/>
      <c r="B376" s="187" t="s">
        <v>283</v>
      </c>
      <c r="C376" s="187"/>
      <c r="D376" s="188" t="s">
        <v>809</v>
      </c>
      <c r="E376" s="189"/>
      <c r="F376" s="189"/>
      <c r="G376" s="189"/>
      <c r="H376" s="190">
        <f>H377+H388+H391+H400</f>
        <v>0</v>
      </c>
      <c r="I376" s="190">
        <f>I377+I388+I391+I400</f>
        <v>0</v>
      </c>
      <c r="J376" s="190">
        <f>H376+I376</f>
        <v>0</v>
      </c>
      <c r="K376" s="191"/>
      <c r="L376" s="190">
        <f>L377+L388+L391+L400</f>
        <v>147.42803999999998</v>
      </c>
      <c r="M376" s="191"/>
    </row>
    <row r="377" spans="1:37" ht="12.75">
      <c r="A377" s="174"/>
      <c r="B377" s="175" t="s">
        <v>283</v>
      </c>
      <c r="C377" s="175" t="s">
        <v>7</v>
      </c>
      <c r="D377" s="176" t="s">
        <v>549</v>
      </c>
      <c r="E377" s="177"/>
      <c r="F377" s="177"/>
      <c r="G377" s="177"/>
      <c r="H377" s="178">
        <f>SUM(H378:H386)</f>
        <v>0</v>
      </c>
      <c r="I377" s="178">
        <f>SUM(I378:I386)</f>
        <v>0</v>
      </c>
      <c r="J377" s="178">
        <f>H377+I377</f>
        <v>0</v>
      </c>
      <c r="K377" s="179"/>
      <c r="L377" s="178">
        <f>SUM(L378:L386)</f>
        <v>119.454274</v>
      </c>
      <c r="M377" s="179"/>
      <c r="P377" s="18">
        <f>IF(Q377="PR",J377,SUM(O378:O386))</f>
        <v>0</v>
      </c>
      <c r="Q377" s="11" t="s">
        <v>992</v>
      </c>
      <c r="R377" s="18">
        <f>IF(Q377="HS",H377,0)</f>
        <v>0</v>
      </c>
      <c r="S377" s="18">
        <f>IF(Q377="HS",I377-P377,0)</f>
        <v>0</v>
      </c>
      <c r="T377" s="18">
        <f>IF(Q377="PS",H377,0)</f>
        <v>0</v>
      </c>
      <c r="U377" s="18">
        <f>IF(Q377="PS",I377-P377,0)</f>
        <v>0</v>
      </c>
      <c r="V377" s="18">
        <f>IF(Q377="MP",H377,0)</f>
        <v>0</v>
      </c>
      <c r="W377" s="18">
        <f>IF(Q377="MP",I377-P377,0)</f>
        <v>0</v>
      </c>
      <c r="X377" s="18">
        <f>IF(Q377="OM",H377,0)</f>
        <v>0</v>
      </c>
      <c r="Y377" s="11" t="s">
        <v>283</v>
      </c>
      <c r="AI377" s="18">
        <f>SUM(Z378:Z386)</f>
        <v>0</v>
      </c>
      <c r="AJ377" s="18">
        <f>SUM(AA378:AA386)</f>
        <v>0</v>
      </c>
      <c r="AK377" s="18">
        <f>SUM(AB378:AB386)</f>
        <v>0</v>
      </c>
    </row>
    <row r="378" spans="1:43" ht="12.75">
      <c r="A378" s="180" t="s">
        <v>175</v>
      </c>
      <c r="B378" s="180" t="s">
        <v>283</v>
      </c>
      <c r="C378" s="180" t="s">
        <v>309</v>
      </c>
      <c r="D378" s="180" t="s">
        <v>810</v>
      </c>
      <c r="E378" s="180" t="s">
        <v>953</v>
      </c>
      <c r="F378" s="181">
        <v>239.6</v>
      </c>
      <c r="G378" s="181"/>
      <c r="H378" s="181">
        <f>F378*AE378</f>
        <v>0</v>
      </c>
      <c r="I378" s="181">
        <f>J378-H378</f>
        <v>0</v>
      </c>
      <c r="J378" s="181">
        <f>F378*G378</f>
        <v>0</v>
      </c>
      <c r="K378" s="181">
        <v>0</v>
      </c>
      <c r="L378" s="181">
        <f>F378*K378</f>
        <v>0</v>
      </c>
      <c r="M378" s="182" t="s">
        <v>985</v>
      </c>
      <c r="N378" s="12" t="s">
        <v>7</v>
      </c>
      <c r="O378" s="6">
        <f>IF(N378="5",I378,0)</f>
        <v>0</v>
      </c>
      <c r="Z378" s="6">
        <f>IF(AD378=0,J378,0)</f>
        <v>0</v>
      </c>
      <c r="AA378" s="6">
        <f>IF(AD378=15,J378,0)</f>
        <v>0</v>
      </c>
      <c r="AB378" s="6">
        <f>IF(AD378=21,J378,0)</f>
        <v>0</v>
      </c>
      <c r="AD378" s="16">
        <v>21</v>
      </c>
      <c r="AE378" s="16">
        <f>G378*0</f>
        <v>0</v>
      </c>
      <c r="AF378" s="16">
        <f>G378*(1-0)</f>
        <v>0</v>
      </c>
      <c r="AM378" s="16">
        <f>F378*AE378</f>
        <v>0</v>
      </c>
      <c r="AN378" s="16">
        <f>F378*AF378</f>
        <v>0</v>
      </c>
      <c r="AO378" s="17" t="s">
        <v>1002</v>
      </c>
      <c r="AP378" s="17" t="s">
        <v>1002</v>
      </c>
      <c r="AQ378" s="11" t="s">
        <v>1040</v>
      </c>
    </row>
    <row r="379" spans="1:13" ht="12.75">
      <c r="A379" s="183"/>
      <c r="B379" s="183"/>
      <c r="C379" s="183"/>
      <c r="D379" s="184" t="s">
        <v>811</v>
      </c>
      <c r="E379" s="183"/>
      <c r="F379" s="185">
        <v>239.6</v>
      </c>
      <c r="G379" s="183"/>
      <c r="H379" s="183"/>
      <c r="I379" s="183"/>
      <c r="J379" s="183"/>
      <c r="K379" s="183"/>
      <c r="L379" s="183"/>
      <c r="M379" s="183"/>
    </row>
    <row r="380" spans="1:43" ht="12.75">
      <c r="A380" s="180" t="s">
        <v>176</v>
      </c>
      <c r="B380" s="180" t="s">
        <v>283</v>
      </c>
      <c r="C380" s="180" t="s">
        <v>460</v>
      </c>
      <c r="D380" s="180" t="s">
        <v>812</v>
      </c>
      <c r="E380" s="180" t="s">
        <v>953</v>
      </c>
      <c r="F380" s="181">
        <v>19.17</v>
      </c>
      <c r="G380" s="181"/>
      <c r="H380" s="181">
        <f>F380*AE380</f>
        <v>0</v>
      </c>
      <c r="I380" s="181">
        <f>J380-H380</f>
        <v>0</v>
      </c>
      <c r="J380" s="181">
        <f>F380*G380</f>
        <v>0</v>
      </c>
      <c r="K380" s="181">
        <v>1.1322</v>
      </c>
      <c r="L380" s="181">
        <f>F380*K380</f>
        <v>21.704274000000005</v>
      </c>
      <c r="M380" s="182" t="s">
        <v>985</v>
      </c>
      <c r="N380" s="12" t="s">
        <v>7</v>
      </c>
      <c r="O380" s="6">
        <f>IF(N380="5",I380,0)</f>
        <v>0</v>
      </c>
      <c r="Z380" s="6">
        <f>IF(AD380=0,J380,0)</f>
        <v>0</v>
      </c>
      <c r="AA380" s="6">
        <f>IF(AD380=15,J380,0)</f>
        <v>0</v>
      </c>
      <c r="AB380" s="6">
        <f>IF(AD380=21,J380,0)</f>
        <v>0</v>
      </c>
      <c r="AD380" s="16">
        <v>21</v>
      </c>
      <c r="AE380" s="16">
        <f>G380*0.482813738441215</f>
        <v>0</v>
      </c>
      <c r="AF380" s="16">
        <f>G380*(1-0.482813738441215)</f>
        <v>0</v>
      </c>
      <c r="AM380" s="16">
        <f>F380*AE380</f>
        <v>0</v>
      </c>
      <c r="AN380" s="16">
        <f>F380*AF380</f>
        <v>0</v>
      </c>
      <c r="AO380" s="17" t="s">
        <v>1002</v>
      </c>
      <c r="AP380" s="17" t="s">
        <v>1002</v>
      </c>
      <c r="AQ380" s="11" t="s">
        <v>1040</v>
      </c>
    </row>
    <row r="381" spans="1:13" ht="12.75">
      <c r="A381" s="183"/>
      <c r="B381" s="183"/>
      <c r="C381" s="183"/>
      <c r="D381" s="184" t="s">
        <v>813</v>
      </c>
      <c r="E381" s="183"/>
      <c r="F381" s="185">
        <v>19.17</v>
      </c>
      <c r="G381" s="183"/>
      <c r="H381" s="183"/>
      <c r="I381" s="183"/>
      <c r="J381" s="183"/>
      <c r="K381" s="183"/>
      <c r="L381" s="183"/>
      <c r="M381" s="183"/>
    </row>
    <row r="382" spans="1:43" ht="12.75">
      <c r="A382" s="180" t="s">
        <v>177</v>
      </c>
      <c r="B382" s="180" t="s">
        <v>283</v>
      </c>
      <c r="C382" s="180" t="s">
        <v>312</v>
      </c>
      <c r="D382" s="180" t="s">
        <v>590</v>
      </c>
      <c r="E382" s="180" t="s">
        <v>953</v>
      </c>
      <c r="F382" s="181">
        <v>162.93</v>
      </c>
      <c r="G382" s="181"/>
      <c r="H382" s="181">
        <f>F382*AE382</f>
        <v>0</v>
      </c>
      <c r="I382" s="181">
        <f>J382-H382</f>
        <v>0</v>
      </c>
      <c r="J382" s="181">
        <f>F382*G382</f>
        <v>0</v>
      </c>
      <c r="K382" s="181">
        <v>0</v>
      </c>
      <c r="L382" s="181">
        <f>F382*K382</f>
        <v>0</v>
      </c>
      <c r="M382" s="182" t="s">
        <v>985</v>
      </c>
      <c r="N382" s="12" t="s">
        <v>7</v>
      </c>
      <c r="O382" s="6">
        <f>IF(N382="5",I382,0)</f>
        <v>0</v>
      </c>
      <c r="Z382" s="6">
        <f>IF(AD382=0,J382,0)</f>
        <v>0</v>
      </c>
      <c r="AA382" s="6">
        <f>IF(AD382=15,J382,0)</f>
        <v>0</v>
      </c>
      <c r="AB382" s="6">
        <f>IF(AD382=21,J382,0)</f>
        <v>0</v>
      </c>
      <c r="AD382" s="16">
        <v>21</v>
      </c>
      <c r="AE382" s="16">
        <f>G382*0</f>
        <v>0</v>
      </c>
      <c r="AF382" s="16">
        <f>G382*(1-0)</f>
        <v>0</v>
      </c>
      <c r="AM382" s="16">
        <f>F382*AE382</f>
        <v>0</v>
      </c>
      <c r="AN382" s="16">
        <f>F382*AF382</f>
        <v>0</v>
      </c>
      <c r="AO382" s="17" t="s">
        <v>1002</v>
      </c>
      <c r="AP382" s="17" t="s">
        <v>1002</v>
      </c>
      <c r="AQ382" s="11" t="s">
        <v>1040</v>
      </c>
    </row>
    <row r="383" spans="1:13" ht="12.75">
      <c r="A383" s="183"/>
      <c r="B383" s="183"/>
      <c r="C383" s="183"/>
      <c r="D383" s="184" t="s">
        <v>814</v>
      </c>
      <c r="E383" s="183"/>
      <c r="F383" s="185">
        <v>162.93</v>
      </c>
      <c r="G383" s="183"/>
      <c r="H383" s="183"/>
      <c r="I383" s="183"/>
      <c r="J383" s="183"/>
      <c r="K383" s="183"/>
      <c r="L383" s="183"/>
      <c r="M383" s="183"/>
    </row>
    <row r="384" spans="1:43" ht="12.75">
      <c r="A384" s="180" t="s">
        <v>178</v>
      </c>
      <c r="B384" s="180" t="s">
        <v>283</v>
      </c>
      <c r="C384" s="180" t="s">
        <v>461</v>
      </c>
      <c r="D384" s="180" t="s">
        <v>815</v>
      </c>
      <c r="E384" s="180" t="s">
        <v>953</v>
      </c>
      <c r="F384" s="181">
        <v>57.5</v>
      </c>
      <c r="G384" s="181"/>
      <c r="H384" s="181">
        <f>F384*AE384</f>
        <v>0</v>
      </c>
      <c r="I384" s="181">
        <f>J384-H384</f>
        <v>0</v>
      </c>
      <c r="J384" s="181">
        <f>F384*G384</f>
        <v>0</v>
      </c>
      <c r="K384" s="181">
        <v>1.7</v>
      </c>
      <c r="L384" s="181">
        <f>F384*K384</f>
        <v>97.75</v>
      </c>
      <c r="M384" s="182" t="s">
        <v>985</v>
      </c>
      <c r="N384" s="12" t="s">
        <v>7</v>
      </c>
      <c r="O384" s="6">
        <f>IF(N384="5",I384,0)</f>
        <v>0</v>
      </c>
      <c r="Z384" s="6">
        <f>IF(AD384=0,J384,0)</f>
        <v>0</v>
      </c>
      <c r="AA384" s="6">
        <f>IF(AD384=15,J384,0)</f>
        <v>0</v>
      </c>
      <c r="AB384" s="6">
        <f>IF(AD384=21,J384,0)</f>
        <v>0</v>
      </c>
      <c r="AD384" s="16">
        <v>21</v>
      </c>
      <c r="AE384" s="16">
        <f>G384*0.585577045352077</f>
        <v>0</v>
      </c>
      <c r="AF384" s="16">
        <f>G384*(1-0.585577045352077)</f>
        <v>0</v>
      </c>
      <c r="AM384" s="16">
        <f>F384*AE384</f>
        <v>0</v>
      </c>
      <c r="AN384" s="16">
        <f>F384*AF384</f>
        <v>0</v>
      </c>
      <c r="AO384" s="17" t="s">
        <v>1002</v>
      </c>
      <c r="AP384" s="17" t="s">
        <v>1002</v>
      </c>
      <c r="AQ384" s="11" t="s">
        <v>1040</v>
      </c>
    </row>
    <row r="385" spans="1:13" ht="12.75">
      <c r="A385" s="183"/>
      <c r="B385" s="183"/>
      <c r="C385" s="183"/>
      <c r="D385" s="184" t="s">
        <v>816</v>
      </c>
      <c r="E385" s="183"/>
      <c r="F385" s="185">
        <v>57.5</v>
      </c>
      <c r="G385" s="183"/>
      <c r="H385" s="183"/>
      <c r="I385" s="183"/>
      <c r="J385" s="183"/>
      <c r="K385" s="183"/>
      <c r="L385" s="183"/>
      <c r="M385" s="183"/>
    </row>
    <row r="386" spans="1:43" ht="12.75">
      <c r="A386" s="180" t="s">
        <v>179</v>
      </c>
      <c r="B386" s="180" t="s">
        <v>283</v>
      </c>
      <c r="C386" s="180" t="s">
        <v>293</v>
      </c>
      <c r="D386" s="180" t="s">
        <v>556</v>
      </c>
      <c r="E386" s="180" t="s">
        <v>953</v>
      </c>
      <c r="F386" s="181">
        <v>76.67</v>
      </c>
      <c r="G386" s="181"/>
      <c r="H386" s="181">
        <f>F386*AE386</f>
        <v>0</v>
      </c>
      <c r="I386" s="181">
        <f>J386-H386</f>
        <v>0</v>
      </c>
      <c r="J386" s="181">
        <f>F386*G386</f>
        <v>0</v>
      </c>
      <c r="K386" s="181">
        <v>0</v>
      </c>
      <c r="L386" s="181">
        <f>F386*K386</f>
        <v>0</v>
      </c>
      <c r="M386" s="182" t="s">
        <v>985</v>
      </c>
      <c r="N386" s="12" t="s">
        <v>7</v>
      </c>
      <c r="O386" s="6">
        <f>IF(N386="5",I386,0)</f>
        <v>0</v>
      </c>
      <c r="Z386" s="6">
        <f>IF(AD386=0,J386,0)</f>
        <v>0</v>
      </c>
      <c r="AA386" s="6">
        <f>IF(AD386=15,J386,0)</f>
        <v>0</v>
      </c>
      <c r="AB386" s="6">
        <f>IF(AD386=21,J386,0)</f>
        <v>0</v>
      </c>
      <c r="AD386" s="16">
        <v>21</v>
      </c>
      <c r="AE386" s="16">
        <f>G386*0</f>
        <v>0</v>
      </c>
      <c r="AF386" s="16">
        <f>G386*(1-0)</f>
        <v>0</v>
      </c>
      <c r="AM386" s="16">
        <f>F386*AE386</f>
        <v>0</v>
      </c>
      <c r="AN386" s="16">
        <f>F386*AF386</f>
        <v>0</v>
      </c>
      <c r="AO386" s="17" t="s">
        <v>1002</v>
      </c>
      <c r="AP386" s="17" t="s">
        <v>1002</v>
      </c>
      <c r="AQ386" s="11" t="s">
        <v>1040</v>
      </c>
    </row>
    <row r="387" spans="1:13" ht="12.75">
      <c r="A387" s="183"/>
      <c r="B387" s="183"/>
      <c r="C387" s="183"/>
      <c r="D387" s="184" t="s">
        <v>817</v>
      </c>
      <c r="E387" s="183"/>
      <c r="F387" s="185">
        <v>76.67</v>
      </c>
      <c r="G387" s="183"/>
      <c r="H387" s="183"/>
      <c r="I387" s="183"/>
      <c r="J387" s="183"/>
      <c r="K387" s="183"/>
      <c r="L387" s="183"/>
      <c r="M387" s="183"/>
    </row>
    <row r="388" spans="1:37" ht="12.75">
      <c r="A388" s="174"/>
      <c r="B388" s="175" t="s">
        <v>283</v>
      </c>
      <c r="C388" s="175" t="s">
        <v>462</v>
      </c>
      <c r="D388" s="176" t="s">
        <v>818</v>
      </c>
      <c r="E388" s="177"/>
      <c r="F388" s="177"/>
      <c r="G388" s="177"/>
      <c r="H388" s="178">
        <f>SUM(H389:H389)</f>
        <v>0</v>
      </c>
      <c r="I388" s="178">
        <f>SUM(I389:I389)</f>
        <v>0</v>
      </c>
      <c r="J388" s="178">
        <f>H388+I388</f>
        <v>0</v>
      </c>
      <c r="K388" s="179"/>
      <c r="L388" s="178">
        <f>SUM(L389:L389)</f>
        <v>0.45858</v>
      </c>
      <c r="M388" s="179"/>
      <c r="P388" s="18">
        <f>IF(Q388="PR",J388,SUM(O389:O389))</f>
        <v>0</v>
      </c>
      <c r="Q388" s="11" t="s">
        <v>993</v>
      </c>
      <c r="R388" s="18">
        <f>IF(Q388="HS",H388,0)</f>
        <v>0</v>
      </c>
      <c r="S388" s="18">
        <f>IF(Q388="HS",I388-P388,0)</f>
        <v>0</v>
      </c>
      <c r="T388" s="18">
        <f>IF(Q388="PS",H388,0)</f>
        <v>0</v>
      </c>
      <c r="U388" s="18">
        <f>IF(Q388="PS",I388-P388,0)</f>
        <v>0</v>
      </c>
      <c r="V388" s="18">
        <f>IF(Q388="MP",H388,0)</f>
        <v>0</v>
      </c>
      <c r="W388" s="18">
        <f>IF(Q388="MP",I388-P388,0)</f>
        <v>0</v>
      </c>
      <c r="X388" s="18">
        <f>IF(Q388="OM",H388,0)</f>
        <v>0</v>
      </c>
      <c r="Y388" s="11" t="s">
        <v>283</v>
      </c>
      <c r="AI388" s="18">
        <f>SUM(Z389:Z389)</f>
        <v>0</v>
      </c>
      <c r="AJ388" s="18">
        <f>SUM(AA389:AA389)</f>
        <v>0</v>
      </c>
      <c r="AK388" s="18">
        <f>SUM(AB389:AB389)</f>
        <v>0</v>
      </c>
    </row>
    <row r="389" spans="1:43" ht="12.75">
      <c r="A389" s="180" t="s">
        <v>180</v>
      </c>
      <c r="B389" s="180" t="s">
        <v>283</v>
      </c>
      <c r="C389" s="180" t="s">
        <v>463</v>
      </c>
      <c r="D389" s="180" t="s">
        <v>819</v>
      </c>
      <c r="E389" s="180" t="s">
        <v>957</v>
      </c>
      <c r="F389" s="181">
        <v>6</v>
      </c>
      <c r="G389" s="181"/>
      <c r="H389" s="181">
        <f>F389*AE389</f>
        <v>0</v>
      </c>
      <c r="I389" s="181">
        <f>J389-H389</f>
        <v>0</v>
      </c>
      <c r="J389" s="181">
        <f>F389*G389</f>
        <v>0</v>
      </c>
      <c r="K389" s="181">
        <v>0.07643</v>
      </c>
      <c r="L389" s="181">
        <f>F389*K389</f>
        <v>0.45858</v>
      </c>
      <c r="M389" s="182" t="s">
        <v>985</v>
      </c>
      <c r="N389" s="12" t="s">
        <v>7</v>
      </c>
      <c r="O389" s="6">
        <f>IF(N389="5",I389,0)</f>
        <v>0</v>
      </c>
      <c r="Z389" s="6">
        <f>IF(AD389=0,J389,0)</f>
        <v>0</v>
      </c>
      <c r="AA389" s="6">
        <f>IF(AD389=15,J389,0)</f>
        <v>0</v>
      </c>
      <c r="AB389" s="6">
        <f>IF(AD389=21,J389,0)</f>
        <v>0</v>
      </c>
      <c r="AD389" s="16">
        <v>21</v>
      </c>
      <c r="AE389" s="16">
        <f>G389*0.91624613800206</f>
        <v>0</v>
      </c>
      <c r="AF389" s="16">
        <f>G389*(1-0.91624613800206)</f>
        <v>0</v>
      </c>
      <c r="AM389" s="16">
        <f>F389*AE389</f>
        <v>0</v>
      </c>
      <c r="AN389" s="16">
        <f>F389*AF389</f>
        <v>0</v>
      </c>
      <c r="AO389" s="17" t="s">
        <v>1020</v>
      </c>
      <c r="AP389" s="17" t="s">
        <v>1035</v>
      </c>
      <c r="AQ389" s="11" t="s">
        <v>1040</v>
      </c>
    </row>
    <row r="390" spans="1:13" ht="12.75">
      <c r="A390" s="183"/>
      <c r="B390" s="183"/>
      <c r="C390" s="183"/>
      <c r="D390" s="184" t="s">
        <v>12</v>
      </c>
      <c r="E390" s="183"/>
      <c r="F390" s="185">
        <v>6</v>
      </c>
      <c r="G390" s="183"/>
      <c r="H390" s="183"/>
      <c r="I390" s="183"/>
      <c r="J390" s="183"/>
      <c r="K390" s="183"/>
      <c r="L390" s="183"/>
      <c r="M390" s="183"/>
    </row>
    <row r="391" spans="1:37" ht="12.75">
      <c r="A391" s="174"/>
      <c r="B391" s="175" t="s">
        <v>283</v>
      </c>
      <c r="C391" s="175" t="s">
        <v>93</v>
      </c>
      <c r="D391" s="176" t="s">
        <v>820</v>
      </c>
      <c r="E391" s="177"/>
      <c r="F391" s="177"/>
      <c r="G391" s="177"/>
      <c r="H391" s="178">
        <f>SUM(H392:H397)</f>
        <v>0</v>
      </c>
      <c r="I391" s="178">
        <f>SUM(I392:I397)</f>
        <v>0</v>
      </c>
      <c r="J391" s="178">
        <f>H391+I391</f>
        <v>0</v>
      </c>
      <c r="K391" s="179"/>
      <c r="L391" s="178">
        <f>SUM(L392:L397)</f>
        <v>1.509346</v>
      </c>
      <c r="M391" s="179"/>
      <c r="P391" s="18">
        <f>IF(Q391="PR",J391,SUM(O392:O397))</f>
        <v>0</v>
      </c>
      <c r="Q391" s="11" t="s">
        <v>992</v>
      </c>
      <c r="R391" s="18">
        <f>IF(Q391="HS",H391,0)</f>
        <v>0</v>
      </c>
      <c r="S391" s="18">
        <f>IF(Q391="HS",I391-P391,0)</f>
        <v>0</v>
      </c>
      <c r="T391" s="18">
        <f>IF(Q391="PS",H391,0)</f>
        <v>0</v>
      </c>
      <c r="U391" s="18">
        <f>IF(Q391="PS",I391-P391,0)</f>
        <v>0</v>
      </c>
      <c r="V391" s="18">
        <f>IF(Q391="MP",H391,0)</f>
        <v>0</v>
      </c>
      <c r="W391" s="18">
        <f>IF(Q391="MP",I391-P391,0)</f>
        <v>0</v>
      </c>
      <c r="X391" s="18">
        <f>IF(Q391="OM",H391,0)</f>
        <v>0</v>
      </c>
      <c r="Y391" s="11" t="s">
        <v>283</v>
      </c>
      <c r="AI391" s="18">
        <f>SUM(Z392:Z397)</f>
        <v>0</v>
      </c>
      <c r="AJ391" s="18">
        <f>SUM(AA392:AA397)</f>
        <v>0</v>
      </c>
      <c r="AK391" s="18">
        <f>SUM(AB392:AB397)</f>
        <v>0</v>
      </c>
    </row>
    <row r="392" spans="1:43" ht="12.75">
      <c r="A392" s="180" t="s">
        <v>181</v>
      </c>
      <c r="B392" s="180" t="s">
        <v>283</v>
      </c>
      <c r="C392" s="180" t="s">
        <v>464</v>
      </c>
      <c r="D392" s="180" t="s">
        <v>821</v>
      </c>
      <c r="E392" s="180" t="s">
        <v>954</v>
      </c>
      <c r="F392" s="181">
        <v>75</v>
      </c>
      <c r="G392" s="181"/>
      <c r="H392" s="181">
        <f>F392*AE392</f>
        <v>0</v>
      </c>
      <c r="I392" s="181">
        <f>J392-H392</f>
        <v>0</v>
      </c>
      <c r="J392" s="181">
        <f>F392*G392</f>
        <v>0</v>
      </c>
      <c r="K392" s="181">
        <v>0.00327</v>
      </c>
      <c r="L392" s="181">
        <f>F392*K392</f>
        <v>0.24525</v>
      </c>
      <c r="M392" s="182" t="s">
        <v>985</v>
      </c>
      <c r="N392" s="12" t="s">
        <v>7</v>
      </c>
      <c r="O392" s="6">
        <f>IF(N392="5",I392,0)</f>
        <v>0</v>
      </c>
      <c r="Z392" s="6">
        <f>IF(AD392=0,J392,0)</f>
        <v>0</v>
      </c>
      <c r="AA392" s="6">
        <f>IF(AD392=15,J392,0)</f>
        <v>0</v>
      </c>
      <c r="AB392" s="6">
        <f>IF(AD392=21,J392,0)</f>
        <v>0</v>
      </c>
      <c r="AD392" s="16">
        <v>21</v>
      </c>
      <c r="AE392" s="16">
        <f>G392*0.863414634146341</f>
        <v>0</v>
      </c>
      <c r="AF392" s="16">
        <f>G392*(1-0.863414634146341)</f>
        <v>0</v>
      </c>
      <c r="AM392" s="16">
        <f>F392*AE392</f>
        <v>0</v>
      </c>
      <c r="AN392" s="16">
        <f>F392*AF392</f>
        <v>0</v>
      </c>
      <c r="AO392" s="17" t="s">
        <v>1021</v>
      </c>
      <c r="AP392" s="17" t="s">
        <v>1037</v>
      </c>
      <c r="AQ392" s="11" t="s">
        <v>1040</v>
      </c>
    </row>
    <row r="393" spans="1:13" ht="12.75">
      <c r="A393" s="183"/>
      <c r="B393" s="183"/>
      <c r="C393" s="183"/>
      <c r="D393" s="184" t="s">
        <v>822</v>
      </c>
      <c r="E393" s="183"/>
      <c r="F393" s="185">
        <v>45</v>
      </c>
      <c r="G393" s="183"/>
      <c r="H393" s="183"/>
      <c r="I393" s="183"/>
      <c r="J393" s="183"/>
      <c r="K393" s="183"/>
      <c r="L393" s="183"/>
      <c r="M393" s="183"/>
    </row>
    <row r="394" spans="1:13" ht="12.75">
      <c r="A394" s="183"/>
      <c r="B394" s="183"/>
      <c r="C394" s="183"/>
      <c r="D394" s="184" t="s">
        <v>823</v>
      </c>
      <c r="E394" s="183"/>
      <c r="F394" s="185">
        <v>30</v>
      </c>
      <c r="G394" s="183"/>
      <c r="H394" s="183"/>
      <c r="I394" s="183"/>
      <c r="J394" s="183"/>
      <c r="K394" s="183"/>
      <c r="L394" s="183"/>
      <c r="M394" s="183"/>
    </row>
    <row r="395" spans="1:43" ht="12.75">
      <c r="A395" s="180" t="s">
        <v>182</v>
      </c>
      <c r="B395" s="180" t="s">
        <v>283</v>
      </c>
      <c r="C395" s="180" t="s">
        <v>465</v>
      </c>
      <c r="D395" s="180" t="s">
        <v>824</v>
      </c>
      <c r="E395" s="180" t="s">
        <v>954</v>
      </c>
      <c r="F395" s="181">
        <v>164.6</v>
      </c>
      <c r="G395" s="181"/>
      <c r="H395" s="181">
        <f>F395*AE395</f>
        <v>0</v>
      </c>
      <c r="I395" s="181">
        <f>J395-H395</f>
        <v>0</v>
      </c>
      <c r="J395" s="181">
        <f>F395*G395</f>
        <v>0</v>
      </c>
      <c r="K395" s="181">
        <v>1E-05</v>
      </c>
      <c r="L395" s="181">
        <f>F395*K395</f>
        <v>0.0016460000000000001</v>
      </c>
      <c r="M395" s="182" t="s">
        <v>985</v>
      </c>
      <c r="N395" s="12" t="s">
        <v>7</v>
      </c>
      <c r="O395" s="6">
        <f>IF(N395="5",I395,0)</f>
        <v>0</v>
      </c>
      <c r="Z395" s="6">
        <f>IF(AD395=0,J395,0)</f>
        <v>0</v>
      </c>
      <c r="AA395" s="6">
        <f>IF(AD395=15,J395,0)</f>
        <v>0</v>
      </c>
      <c r="AB395" s="6">
        <f>IF(AD395=21,J395,0)</f>
        <v>0</v>
      </c>
      <c r="AD395" s="16">
        <v>21</v>
      </c>
      <c r="AE395" s="16">
        <f>G395*0.0077857365306758</f>
        <v>0</v>
      </c>
      <c r="AF395" s="16">
        <f>G395*(1-0.0077857365306758)</f>
        <v>0</v>
      </c>
      <c r="AM395" s="16">
        <f>F395*AE395</f>
        <v>0</v>
      </c>
      <c r="AN395" s="16">
        <f>F395*AF395</f>
        <v>0</v>
      </c>
      <c r="AO395" s="17" t="s">
        <v>1021</v>
      </c>
      <c r="AP395" s="17" t="s">
        <v>1037</v>
      </c>
      <c r="AQ395" s="11" t="s">
        <v>1040</v>
      </c>
    </row>
    <row r="396" spans="1:13" ht="12.75">
      <c r="A396" s="183"/>
      <c r="B396" s="183"/>
      <c r="C396" s="183"/>
      <c r="D396" s="184" t="s">
        <v>825</v>
      </c>
      <c r="E396" s="183"/>
      <c r="F396" s="185">
        <v>164.6</v>
      </c>
      <c r="G396" s="183"/>
      <c r="H396" s="183"/>
      <c r="I396" s="183"/>
      <c r="J396" s="183"/>
      <c r="K396" s="183"/>
      <c r="L396" s="183"/>
      <c r="M396" s="183"/>
    </row>
    <row r="397" spans="1:43" ht="12.75">
      <c r="A397" s="192" t="s">
        <v>183</v>
      </c>
      <c r="B397" s="192" t="s">
        <v>283</v>
      </c>
      <c r="C397" s="192" t="s">
        <v>466</v>
      </c>
      <c r="D397" s="192" t="s">
        <v>826</v>
      </c>
      <c r="E397" s="192" t="s">
        <v>957</v>
      </c>
      <c r="F397" s="193">
        <v>36.07</v>
      </c>
      <c r="G397" s="193"/>
      <c r="H397" s="193">
        <f>F397*AE397</f>
        <v>0</v>
      </c>
      <c r="I397" s="193">
        <f>J397-H397</f>
        <v>0</v>
      </c>
      <c r="J397" s="193">
        <f>F397*G397</f>
        <v>0</v>
      </c>
      <c r="K397" s="193">
        <v>0.035</v>
      </c>
      <c r="L397" s="193">
        <f>F397*K397</f>
        <v>1.26245</v>
      </c>
      <c r="M397" s="194" t="s">
        <v>985</v>
      </c>
      <c r="N397" s="13" t="s">
        <v>989</v>
      </c>
      <c r="O397" s="7">
        <f>IF(N397="5",I397,0)</f>
        <v>0</v>
      </c>
      <c r="Z397" s="7">
        <f>IF(AD397=0,J397,0)</f>
        <v>0</v>
      </c>
      <c r="AA397" s="7">
        <f>IF(AD397=15,J397,0)</f>
        <v>0</v>
      </c>
      <c r="AB397" s="7">
        <f>IF(AD397=21,J397,0)</f>
        <v>0</v>
      </c>
      <c r="AD397" s="16">
        <v>21</v>
      </c>
      <c r="AE397" s="16">
        <f>G397*1</f>
        <v>0</v>
      </c>
      <c r="AF397" s="16">
        <f>G397*(1-1)</f>
        <v>0</v>
      </c>
      <c r="AM397" s="16">
        <f>F397*AE397</f>
        <v>0</v>
      </c>
      <c r="AN397" s="16">
        <f>F397*AF397</f>
        <v>0</v>
      </c>
      <c r="AO397" s="17" t="s">
        <v>1021</v>
      </c>
      <c r="AP397" s="17" t="s">
        <v>1037</v>
      </c>
      <c r="AQ397" s="11" t="s">
        <v>1040</v>
      </c>
    </row>
    <row r="398" spans="1:13" ht="12.75">
      <c r="A398" s="183"/>
      <c r="B398" s="183"/>
      <c r="C398" s="183"/>
      <c r="D398" s="184" t="s">
        <v>39</v>
      </c>
      <c r="E398" s="183"/>
      <c r="F398" s="185">
        <v>33</v>
      </c>
      <c r="G398" s="183"/>
      <c r="H398" s="183"/>
      <c r="I398" s="183"/>
      <c r="J398" s="183"/>
      <c r="K398" s="183"/>
      <c r="L398" s="183"/>
      <c r="M398" s="183"/>
    </row>
    <row r="399" spans="1:13" ht="12.75">
      <c r="A399" s="183"/>
      <c r="B399" s="183"/>
      <c r="C399" s="183"/>
      <c r="D399" s="184" t="s">
        <v>827</v>
      </c>
      <c r="E399" s="183"/>
      <c r="F399" s="185">
        <v>3.07</v>
      </c>
      <c r="G399" s="183"/>
      <c r="H399" s="183"/>
      <c r="I399" s="183"/>
      <c r="J399" s="183"/>
      <c r="K399" s="183"/>
      <c r="L399" s="183"/>
      <c r="M399" s="183"/>
    </row>
    <row r="400" spans="1:37" ht="12.75">
      <c r="A400" s="174"/>
      <c r="B400" s="175" t="s">
        <v>283</v>
      </c>
      <c r="C400" s="175" t="s">
        <v>95</v>
      </c>
      <c r="D400" s="176" t="s">
        <v>828</v>
      </c>
      <c r="E400" s="177"/>
      <c r="F400" s="177"/>
      <c r="G400" s="177"/>
      <c r="H400" s="178">
        <f>SUM(H401:H403)</f>
        <v>0</v>
      </c>
      <c r="I400" s="178">
        <f>SUM(I401:I403)</f>
        <v>0</v>
      </c>
      <c r="J400" s="178">
        <f>H400+I400</f>
        <v>0</v>
      </c>
      <c r="K400" s="179"/>
      <c r="L400" s="178">
        <f>SUM(L401:L403)</f>
        <v>26.005840000000003</v>
      </c>
      <c r="M400" s="179"/>
      <c r="P400" s="18">
        <f>IF(Q400="PR",J400,SUM(O401:O403))</f>
        <v>0</v>
      </c>
      <c r="Q400" s="11" t="s">
        <v>992</v>
      </c>
      <c r="R400" s="18">
        <f>IF(Q400="HS",H400,0)</f>
        <v>0</v>
      </c>
      <c r="S400" s="18">
        <f>IF(Q400="HS",I400-P400,0)</f>
        <v>0</v>
      </c>
      <c r="T400" s="18">
        <f>IF(Q400="PS",H400,0)</f>
        <v>0</v>
      </c>
      <c r="U400" s="18">
        <f>IF(Q400="PS",I400-P400,0)</f>
        <v>0</v>
      </c>
      <c r="V400" s="18">
        <f>IF(Q400="MP",H400,0)</f>
        <v>0</v>
      </c>
      <c r="W400" s="18">
        <f>IF(Q400="MP",I400-P400,0)</f>
        <v>0</v>
      </c>
      <c r="X400" s="18">
        <f>IF(Q400="OM",H400,0)</f>
        <v>0</v>
      </c>
      <c r="Y400" s="11" t="s">
        <v>283</v>
      </c>
      <c r="AI400" s="18">
        <f>SUM(Z401:Z403)</f>
        <v>0</v>
      </c>
      <c r="AJ400" s="18">
        <f>SUM(AA401:AA403)</f>
        <v>0</v>
      </c>
      <c r="AK400" s="18">
        <f>SUM(AB401:AB403)</f>
        <v>0</v>
      </c>
    </row>
    <row r="401" spans="1:43" ht="12.75">
      <c r="A401" s="180" t="s">
        <v>184</v>
      </c>
      <c r="B401" s="180" t="s">
        <v>283</v>
      </c>
      <c r="C401" s="180" t="s">
        <v>467</v>
      </c>
      <c r="D401" s="180" t="s">
        <v>829</v>
      </c>
      <c r="E401" s="180" t="s">
        <v>957</v>
      </c>
      <c r="F401" s="181">
        <v>7</v>
      </c>
      <c r="G401" s="181"/>
      <c r="H401" s="181">
        <f>F401*AE401</f>
        <v>0</v>
      </c>
      <c r="I401" s="181">
        <f>J401-H401</f>
        <v>0</v>
      </c>
      <c r="J401" s="181">
        <f>F401*G401</f>
        <v>0</v>
      </c>
      <c r="K401" s="181">
        <v>3.71512</v>
      </c>
      <c r="L401" s="181">
        <f>F401*K401</f>
        <v>26.005840000000003</v>
      </c>
      <c r="M401" s="182" t="s">
        <v>985</v>
      </c>
      <c r="N401" s="12" t="s">
        <v>9</v>
      </c>
      <c r="O401" s="6">
        <f>IF(N401="5",I401,0)</f>
        <v>0</v>
      </c>
      <c r="Z401" s="6">
        <f>IF(AD401=0,J401,0)</f>
        <v>0</v>
      </c>
      <c r="AA401" s="6">
        <f>IF(AD401=15,J401,0)</f>
        <v>0</v>
      </c>
      <c r="AB401" s="6">
        <f>IF(AD401=21,J401,0)</f>
        <v>0</v>
      </c>
      <c r="AD401" s="16">
        <v>21</v>
      </c>
      <c r="AE401" s="16">
        <f>G401*0.540281580411797</f>
        <v>0</v>
      </c>
      <c r="AF401" s="16">
        <f>G401*(1-0.540281580411797)</f>
        <v>0</v>
      </c>
      <c r="AM401" s="16">
        <f>F401*AE401</f>
        <v>0</v>
      </c>
      <c r="AN401" s="16">
        <f>F401*AF401</f>
        <v>0</v>
      </c>
      <c r="AO401" s="17" t="s">
        <v>1022</v>
      </c>
      <c r="AP401" s="17" t="s">
        <v>1037</v>
      </c>
      <c r="AQ401" s="11" t="s">
        <v>1040</v>
      </c>
    </row>
    <row r="402" spans="1:13" ht="12.75">
      <c r="A402" s="183"/>
      <c r="B402" s="183"/>
      <c r="C402" s="183"/>
      <c r="D402" s="184" t="s">
        <v>13</v>
      </c>
      <c r="E402" s="183"/>
      <c r="F402" s="185">
        <v>7</v>
      </c>
      <c r="G402" s="183"/>
      <c r="H402" s="183"/>
      <c r="I402" s="183"/>
      <c r="J402" s="183"/>
      <c r="K402" s="183"/>
      <c r="L402" s="183"/>
      <c r="M402" s="183"/>
    </row>
    <row r="403" spans="1:43" ht="12.75">
      <c r="A403" s="180" t="s">
        <v>185</v>
      </c>
      <c r="B403" s="180" t="s">
        <v>283</v>
      </c>
      <c r="C403" s="180" t="s">
        <v>468</v>
      </c>
      <c r="D403" s="180" t="s">
        <v>830</v>
      </c>
      <c r="E403" s="180" t="s">
        <v>955</v>
      </c>
      <c r="F403" s="181">
        <v>27.51519</v>
      </c>
      <c r="G403" s="181"/>
      <c r="H403" s="181">
        <f>F403*AE403</f>
        <v>0</v>
      </c>
      <c r="I403" s="181">
        <f>J403-H403</f>
        <v>0</v>
      </c>
      <c r="J403" s="181">
        <f>F403*G403</f>
        <v>0</v>
      </c>
      <c r="K403" s="181">
        <v>0</v>
      </c>
      <c r="L403" s="181">
        <f>F403*K403</f>
        <v>0</v>
      </c>
      <c r="M403" s="182" t="s">
        <v>985</v>
      </c>
      <c r="N403" s="12" t="s">
        <v>11</v>
      </c>
      <c r="O403" s="6">
        <f>IF(N403="5",I403,0)</f>
        <v>0</v>
      </c>
      <c r="Z403" s="6">
        <f>IF(AD403=0,J403,0)</f>
        <v>0</v>
      </c>
      <c r="AA403" s="6">
        <f>IF(AD403=15,J403,0)</f>
        <v>0</v>
      </c>
      <c r="AB403" s="6">
        <f>IF(AD403=21,J403,0)</f>
        <v>0</v>
      </c>
      <c r="AD403" s="16">
        <v>21</v>
      </c>
      <c r="AE403" s="16">
        <f>G403*0</f>
        <v>0</v>
      </c>
      <c r="AF403" s="16">
        <f>G403*(1-0)</f>
        <v>0</v>
      </c>
      <c r="AM403" s="16">
        <f>F403*AE403</f>
        <v>0</v>
      </c>
      <c r="AN403" s="16">
        <f>F403*AF403</f>
        <v>0</v>
      </c>
      <c r="AO403" s="17" t="s">
        <v>1022</v>
      </c>
      <c r="AP403" s="17" t="s">
        <v>1037</v>
      </c>
      <c r="AQ403" s="11" t="s">
        <v>1040</v>
      </c>
    </row>
    <row r="404" spans="1:13" ht="12.75">
      <c r="A404" s="186"/>
      <c r="B404" s="187" t="s">
        <v>284</v>
      </c>
      <c r="C404" s="187"/>
      <c r="D404" s="188" t="s">
        <v>831</v>
      </c>
      <c r="E404" s="189"/>
      <c r="F404" s="189"/>
      <c r="G404" s="189"/>
      <c r="H404" s="190">
        <f>H405+H459</f>
        <v>0</v>
      </c>
      <c r="I404" s="190">
        <f>I405+I459</f>
        <v>0</v>
      </c>
      <c r="J404" s="190">
        <f>H404+I404</f>
        <v>0</v>
      </c>
      <c r="K404" s="191"/>
      <c r="L404" s="190">
        <f>L405+L459</f>
        <v>20.890567</v>
      </c>
      <c r="M404" s="191"/>
    </row>
    <row r="405" spans="1:37" ht="12.75">
      <c r="A405" s="174"/>
      <c r="B405" s="175" t="s">
        <v>284</v>
      </c>
      <c r="C405" s="175" t="s">
        <v>376</v>
      </c>
      <c r="D405" s="176" t="s">
        <v>711</v>
      </c>
      <c r="E405" s="177"/>
      <c r="F405" s="177"/>
      <c r="G405" s="177"/>
      <c r="H405" s="178">
        <f>SUM(H406:H458)</f>
        <v>0</v>
      </c>
      <c r="I405" s="178">
        <f>SUM(I406:I458)</f>
        <v>0</v>
      </c>
      <c r="J405" s="178">
        <f>H405+I405</f>
        <v>0</v>
      </c>
      <c r="K405" s="179"/>
      <c r="L405" s="178">
        <f>SUM(L406:L458)</f>
        <v>0.44347549999999997</v>
      </c>
      <c r="M405" s="179"/>
      <c r="P405" s="18">
        <f>IF(Q405="PR",J405,SUM(O406:O458))</f>
        <v>0</v>
      </c>
      <c r="Q405" s="11" t="s">
        <v>994</v>
      </c>
      <c r="R405" s="18">
        <f>IF(Q405="HS",H405,0)</f>
        <v>0</v>
      </c>
      <c r="S405" s="18">
        <f>IF(Q405="HS",I405-P405,0)</f>
        <v>0</v>
      </c>
      <c r="T405" s="18">
        <f>IF(Q405="PS",H405,0)</f>
        <v>0</v>
      </c>
      <c r="U405" s="18">
        <f>IF(Q405="PS",I405-P405,0)</f>
        <v>0</v>
      </c>
      <c r="V405" s="18">
        <f>IF(Q405="MP",H405,0)</f>
        <v>0</v>
      </c>
      <c r="W405" s="18">
        <f>IF(Q405="MP",I405-P405,0)</f>
        <v>0</v>
      </c>
      <c r="X405" s="18">
        <f>IF(Q405="OM",H405,0)</f>
        <v>0</v>
      </c>
      <c r="Y405" s="11" t="s">
        <v>284</v>
      </c>
      <c r="AI405" s="18">
        <f>SUM(Z406:Z458)</f>
        <v>0</v>
      </c>
      <c r="AJ405" s="18">
        <f>SUM(AA406:AA458)</f>
        <v>0</v>
      </c>
      <c r="AK405" s="18">
        <f>SUM(AB406:AB458)</f>
        <v>0</v>
      </c>
    </row>
    <row r="406" spans="1:43" ht="12.75">
      <c r="A406" s="180" t="s">
        <v>186</v>
      </c>
      <c r="B406" s="180" t="s">
        <v>284</v>
      </c>
      <c r="C406" s="180" t="s">
        <v>469</v>
      </c>
      <c r="D406" s="180" t="s">
        <v>832</v>
      </c>
      <c r="E406" s="180" t="s">
        <v>957</v>
      </c>
      <c r="F406" s="181">
        <v>1</v>
      </c>
      <c r="G406" s="181"/>
      <c r="H406" s="181">
        <f>F406*AE406</f>
        <v>0</v>
      </c>
      <c r="I406" s="181">
        <f>J406-H406</f>
        <v>0</v>
      </c>
      <c r="J406" s="181">
        <f>F406*G406</f>
        <v>0</v>
      </c>
      <c r="K406" s="181">
        <v>0</v>
      </c>
      <c r="L406" s="181">
        <f>F406*K406</f>
        <v>0</v>
      </c>
      <c r="M406" s="182" t="s">
        <v>985</v>
      </c>
      <c r="N406" s="12" t="s">
        <v>8</v>
      </c>
      <c r="O406" s="6">
        <f>IF(N406="5",I406,0)</f>
        <v>0</v>
      </c>
      <c r="Z406" s="6">
        <f>IF(AD406=0,J406,0)</f>
        <v>0</v>
      </c>
      <c r="AA406" s="6">
        <f>IF(AD406=15,J406,0)</f>
        <v>0</v>
      </c>
      <c r="AB406" s="6">
        <f>IF(AD406=21,J406,0)</f>
        <v>0</v>
      </c>
      <c r="AD406" s="16">
        <v>21</v>
      </c>
      <c r="AE406" s="16">
        <f>G406*0</f>
        <v>0</v>
      </c>
      <c r="AF406" s="16">
        <f>G406*(1-0)</f>
        <v>0</v>
      </c>
      <c r="AM406" s="16">
        <f>F406*AE406</f>
        <v>0</v>
      </c>
      <c r="AN406" s="16">
        <f>F406*AF406</f>
        <v>0</v>
      </c>
      <c r="AO406" s="17" t="s">
        <v>1017</v>
      </c>
      <c r="AP406" s="17" t="s">
        <v>1036</v>
      </c>
      <c r="AQ406" s="11" t="s">
        <v>1041</v>
      </c>
    </row>
    <row r="407" spans="1:13" ht="12.75">
      <c r="A407" s="183"/>
      <c r="B407" s="183"/>
      <c r="C407" s="183"/>
      <c r="D407" s="184" t="s">
        <v>7</v>
      </c>
      <c r="E407" s="183"/>
      <c r="F407" s="185">
        <v>1</v>
      </c>
      <c r="G407" s="183"/>
      <c r="H407" s="183"/>
      <c r="I407" s="183"/>
      <c r="J407" s="183"/>
      <c r="K407" s="183"/>
      <c r="L407" s="183"/>
      <c r="M407" s="183"/>
    </row>
    <row r="408" spans="1:43" ht="12.75">
      <c r="A408" s="192" t="s">
        <v>187</v>
      </c>
      <c r="B408" s="192" t="s">
        <v>284</v>
      </c>
      <c r="C408" s="192" t="s">
        <v>470</v>
      </c>
      <c r="D408" s="192" t="s">
        <v>833</v>
      </c>
      <c r="E408" s="192" t="s">
        <v>957</v>
      </c>
      <c r="F408" s="193">
        <v>1</v>
      </c>
      <c r="G408" s="193"/>
      <c r="H408" s="193">
        <f>F408*AE408</f>
        <v>0</v>
      </c>
      <c r="I408" s="193">
        <f>J408-H408</f>
        <v>0</v>
      </c>
      <c r="J408" s="193">
        <f>F408*G408</f>
        <v>0</v>
      </c>
      <c r="K408" s="193">
        <v>0</v>
      </c>
      <c r="L408" s="193">
        <f>F408*K408</f>
        <v>0</v>
      </c>
      <c r="M408" s="194" t="s">
        <v>985</v>
      </c>
      <c r="N408" s="13" t="s">
        <v>989</v>
      </c>
      <c r="O408" s="7">
        <f>IF(N408="5",I408,0)</f>
        <v>0</v>
      </c>
      <c r="Z408" s="7">
        <f>IF(AD408=0,J408,0)</f>
        <v>0</v>
      </c>
      <c r="AA408" s="7">
        <f>IF(AD408=15,J408,0)</f>
        <v>0</v>
      </c>
      <c r="AB408" s="7">
        <f>IF(AD408=21,J408,0)</f>
        <v>0</v>
      </c>
      <c r="AD408" s="16">
        <v>21</v>
      </c>
      <c r="AE408" s="16">
        <f>G408*1</f>
        <v>0</v>
      </c>
      <c r="AF408" s="16">
        <f>G408*(1-1)</f>
        <v>0</v>
      </c>
      <c r="AM408" s="16">
        <f>F408*AE408</f>
        <v>0</v>
      </c>
      <c r="AN408" s="16">
        <f>F408*AF408</f>
        <v>0</v>
      </c>
      <c r="AO408" s="17" t="s">
        <v>1017</v>
      </c>
      <c r="AP408" s="17" t="s">
        <v>1036</v>
      </c>
      <c r="AQ408" s="11" t="s">
        <v>1041</v>
      </c>
    </row>
    <row r="409" spans="1:13" ht="12.75">
      <c r="A409" s="183"/>
      <c r="B409" s="183"/>
      <c r="C409" s="183"/>
      <c r="D409" s="184" t="s">
        <v>7</v>
      </c>
      <c r="E409" s="183"/>
      <c r="F409" s="185">
        <v>1</v>
      </c>
      <c r="G409" s="183"/>
      <c r="H409" s="183"/>
      <c r="I409" s="183"/>
      <c r="J409" s="183"/>
      <c r="K409" s="183"/>
      <c r="L409" s="183"/>
      <c r="M409" s="183"/>
    </row>
    <row r="410" spans="1:43" ht="12.75">
      <c r="A410" s="180" t="s">
        <v>188</v>
      </c>
      <c r="B410" s="180" t="s">
        <v>284</v>
      </c>
      <c r="C410" s="180" t="s">
        <v>471</v>
      </c>
      <c r="D410" s="180" t="s">
        <v>834</v>
      </c>
      <c r="E410" s="180" t="s">
        <v>957</v>
      </c>
      <c r="F410" s="181">
        <v>1</v>
      </c>
      <c r="G410" s="181"/>
      <c r="H410" s="181">
        <f>F410*AE410</f>
        <v>0</v>
      </c>
      <c r="I410" s="181">
        <f>J410-H410</f>
        <v>0</v>
      </c>
      <c r="J410" s="181">
        <f>F410*G410</f>
        <v>0</v>
      </c>
      <c r="K410" s="181">
        <v>0</v>
      </c>
      <c r="L410" s="181">
        <f>F410*K410</f>
        <v>0</v>
      </c>
      <c r="M410" s="182" t="s">
        <v>985</v>
      </c>
      <c r="N410" s="12" t="s">
        <v>8</v>
      </c>
      <c r="O410" s="6">
        <f>IF(N410="5",I410,0)</f>
        <v>0</v>
      </c>
      <c r="Z410" s="6">
        <f>IF(AD410=0,J410,0)</f>
        <v>0</v>
      </c>
      <c r="AA410" s="6">
        <f>IF(AD410=15,J410,0)</f>
        <v>0</v>
      </c>
      <c r="AB410" s="6">
        <f>IF(AD410=21,J410,0)</f>
        <v>0</v>
      </c>
      <c r="AD410" s="16">
        <v>21</v>
      </c>
      <c r="AE410" s="16">
        <f>G410*0</f>
        <v>0</v>
      </c>
      <c r="AF410" s="16">
        <f>G410*(1-0)</f>
        <v>0</v>
      </c>
      <c r="AM410" s="16">
        <f>F410*AE410</f>
        <v>0</v>
      </c>
      <c r="AN410" s="16">
        <f>F410*AF410</f>
        <v>0</v>
      </c>
      <c r="AO410" s="17" t="s">
        <v>1017</v>
      </c>
      <c r="AP410" s="17" t="s">
        <v>1036</v>
      </c>
      <c r="AQ410" s="11" t="s">
        <v>1041</v>
      </c>
    </row>
    <row r="411" spans="1:13" ht="12.75">
      <c r="A411" s="183"/>
      <c r="B411" s="183"/>
      <c r="C411" s="183"/>
      <c r="D411" s="184" t="s">
        <v>7</v>
      </c>
      <c r="E411" s="183"/>
      <c r="F411" s="185">
        <v>1</v>
      </c>
      <c r="G411" s="183"/>
      <c r="H411" s="183"/>
      <c r="I411" s="183"/>
      <c r="J411" s="183"/>
      <c r="K411" s="183"/>
      <c r="L411" s="183"/>
      <c r="M411" s="183"/>
    </row>
    <row r="412" spans="1:43" ht="12.75">
      <c r="A412" s="192" t="s">
        <v>189</v>
      </c>
      <c r="B412" s="192" t="s">
        <v>284</v>
      </c>
      <c r="C412" s="192" t="s">
        <v>472</v>
      </c>
      <c r="D412" s="192" t="s">
        <v>835</v>
      </c>
      <c r="E412" s="192" t="s">
        <v>957</v>
      </c>
      <c r="F412" s="193">
        <v>1</v>
      </c>
      <c r="G412" s="193"/>
      <c r="H412" s="193">
        <f>F412*AE412</f>
        <v>0</v>
      </c>
      <c r="I412" s="193">
        <f>J412-H412</f>
        <v>0</v>
      </c>
      <c r="J412" s="193">
        <f>F412*G412</f>
        <v>0</v>
      </c>
      <c r="K412" s="193">
        <v>0.0178</v>
      </c>
      <c r="L412" s="193">
        <f>F412*K412</f>
        <v>0.0178</v>
      </c>
      <c r="M412" s="194" t="s">
        <v>985</v>
      </c>
      <c r="N412" s="13" t="s">
        <v>989</v>
      </c>
      <c r="O412" s="7">
        <f>IF(N412="5",I412,0)</f>
        <v>0</v>
      </c>
      <c r="Z412" s="7">
        <f>IF(AD412=0,J412,0)</f>
        <v>0</v>
      </c>
      <c r="AA412" s="7">
        <f>IF(AD412=15,J412,0)</f>
        <v>0</v>
      </c>
      <c r="AB412" s="7">
        <f>IF(AD412=21,J412,0)</f>
        <v>0</v>
      </c>
      <c r="AD412" s="16">
        <v>21</v>
      </c>
      <c r="AE412" s="16">
        <f>G412*1</f>
        <v>0</v>
      </c>
      <c r="AF412" s="16">
        <f>G412*(1-1)</f>
        <v>0</v>
      </c>
      <c r="AM412" s="16">
        <f>F412*AE412</f>
        <v>0</v>
      </c>
      <c r="AN412" s="16">
        <f>F412*AF412</f>
        <v>0</v>
      </c>
      <c r="AO412" s="17" t="s">
        <v>1017</v>
      </c>
      <c r="AP412" s="17" t="s">
        <v>1036</v>
      </c>
      <c r="AQ412" s="11" t="s">
        <v>1041</v>
      </c>
    </row>
    <row r="413" spans="1:13" ht="12.75">
      <c r="A413" s="183"/>
      <c r="B413" s="183"/>
      <c r="C413" s="183"/>
      <c r="D413" s="184" t="s">
        <v>7</v>
      </c>
      <c r="E413" s="183"/>
      <c r="F413" s="185">
        <v>1</v>
      </c>
      <c r="G413" s="183"/>
      <c r="H413" s="183"/>
      <c r="I413" s="183"/>
      <c r="J413" s="183"/>
      <c r="K413" s="183"/>
      <c r="L413" s="183"/>
      <c r="M413" s="183"/>
    </row>
    <row r="414" spans="1:43" ht="12.75">
      <c r="A414" s="180" t="s">
        <v>190</v>
      </c>
      <c r="B414" s="180" t="s">
        <v>284</v>
      </c>
      <c r="C414" s="180" t="s">
        <v>383</v>
      </c>
      <c r="D414" s="180" t="s">
        <v>719</v>
      </c>
      <c r="E414" s="180" t="s">
        <v>957</v>
      </c>
      <c r="F414" s="181">
        <v>1</v>
      </c>
      <c r="G414" s="181"/>
      <c r="H414" s="181">
        <f>F414*AE414</f>
        <v>0</v>
      </c>
      <c r="I414" s="181">
        <f>J414-H414</f>
        <v>0</v>
      </c>
      <c r="J414" s="181">
        <f>F414*G414</f>
        <v>0</v>
      </c>
      <c r="K414" s="181">
        <v>4E-05</v>
      </c>
      <c r="L414" s="181">
        <f>F414*K414</f>
        <v>4E-05</v>
      </c>
      <c r="M414" s="182" t="s">
        <v>985</v>
      </c>
      <c r="N414" s="12" t="s">
        <v>8</v>
      </c>
      <c r="O414" s="6">
        <f>IF(N414="5",I414,0)</f>
        <v>0</v>
      </c>
      <c r="Z414" s="6">
        <f>IF(AD414=0,J414,0)</f>
        <v>0</v>
      </c>
      <c r="AA414" s="6">
        <f>IF(AD414=15,J414,0)</f>
        <v>0</v>
      </c>
      <c r="AB414" s="6">
        <f>IF(AD414=21,J414,0)</f>
        <v>0</v>
      </c>
      <c r="AD414" s="16">
        <v>21</v>
      </c>
      <c r="AE414" s="16">
        <f>G414*0.743555992141454</f>
        <v>0</v>
      </c>
      <c r="AF414" s="16">
        <f>G414*(1-0.743555992141454)</f>
        <v>0</v>
      </c>
      <c r="AM414" s="16">
        <f>F414*AE414</f>
        <v>0</v>
      </c>
      <c r="AN414" s="16">
        <f>F414*AF414</f>
        <v>0</v>
      </c>
      <c r="AO414" s="17" t="s">
        <v>1017</v>
      </c>
      <c r="AP414" s="17" t="s">
        <v>1036</v>
      </c>
      <c r="AQ414" s="11" t="s">
        <v>1041</v>
      </c>
    </row>
    <row r="415" spans="1:13" ht="12.75">
      <c r="A415" s="183"/>
      <c r="B415" s="183"/>
      <c r="C415" s="183"/>
      <c r="D415" s="184" t="s">
        <v>7</v>
      </c>
      <c r="E415" s="183"/>
      <c r="F415" s="185">
        <v>1</v>
      </c>
      <c r="G415" s="183"/>
      <c r="H415" s="183"/>
      <c r="I415" s="183"/>
      <c r="J415" s="183"/>
      <c r="K415" s="183"/>
      <c r="L415" s="183"/>
      <c r="M415" s="183"/>
    </row>
    <row r="416" spans="1:43" ht="12.75">
      <c r="A416" s="180" t="s">
        <v>191</v>
      </c>
      <c r="B416" s="180" t="s">
        <v>284</v>
      </c>
      <c r="C416" s="180" t="s">
        <v>473</v>
      </c>
      <c r="D416" s="180" t="s">
        <v>836</v>
      </c>
      <c r="E416" s="180" t="s">
        <v>954</v>
      </c>
      <c r="F416" s="181">
        <v>5</v>
      </c>
      <c r="G416" s="181"/>
      <c r="H416" s="181">
        <f>F416*AE416</f>
        <v>0</v>
      </c>
      <c r="I416" s="181">
        <f>J416-H416</f>
        <v>0</v>
      </c>
      <c r="J416" s="181">
        <f>F416*G416</f>
        <v>0</v>
      </c>
      <c r="K416" s="181">
        <v>0</v>
      </c>
      <c r="L416" s="181">
        <f>F416*K416</f>
        <v>0</v>
      </c>
      <c r="M416" s="182" t="s">
        <v>985</v>
      </c>
      <c r="N416" s="12" t="s">
        <v>8</v>
      </c>
      <c r="O416" s="6">
        <f>IF(N416="5",I416,0)</f>
        <v>0</v>
      </c>
      <c r="Z416" s="6">
        <f>IF(AD416=0,J416,0)</f>
        <v>0</v>
      </c>
      <c r="AA416" s="6">
        <f>IF(AD416=15,J416,0)</f>
        <v>0</v>
      </c>
      <c r="AB416" s="6">
        <f>IF(AD416=21,J416,0)</f>
        <v>0</v>
      </c>
      <c r="AD416" s="16">
        <v>21</v>
      </c>
      <c r="AE416" s="16">
        <f>G416*0</f>
        <v>0</v>
      </c>
      <c r="AF416" s="16">
        <f>G416*(1-0)</f>
        <v>0</v>
      </c>
      <c r="AM416" s="16">
        <f>F416*AE416</f>
        <v>0</v>
      </c>
      <c r="AN416" s="16">
        <f>F416*AF416</f>
        <v>0</v>
      </c>
      <c r="AO416" s="17" t="s">
        <v>1017</v>
      </c>
      <c r="AP416" s="17" t="s">
        <v>1036</v>
      </c>
      <c r="AQ416" s="11" t="s">
        <v>1041</v>
      </c>
    </row>
    <row r="417" spans="1:13" ht="12.75">
      <c r="A417" s="183"/>
      <c r="B417" s="183"/>
      <c r="C417" s="183"/>
      <c r="D417" s="184" t="s">
        <v>11</v>
      </c>
      <c r="E417" s="183"/>
      <c r="F417" s="185">
        <v>5</v>
      </c>
      <c r="G417" s="183"/>
      <c r="H417" s="183"/>
      <c r="I417" s="183"/>
      <c r="J417" s="183"/>
      <c r="K417" s="183"/>
      <c r="L417" s="183"/>
      <c r="M417" s="183"/>
    </row>
    <row r="418" spans="1:43" ht="12.75">
      <c r="A418" s="192" t="s">
        <v>192</v>
      </c>
      <c r="B418" s="192" t="s">
        <v>284</v>
      </c>
      <c r="C418" s="192" t="s">
        <v>474</v>
      </c>
      <c r="D418" s="192" t="s">
        <v>837</v>
      </c>
      <c r="E418" s="192" t="s">
        <v>954</v>
      </c>
      <c r="F418" s="193">
        <v>5.47</v>
      </c>
      <c r="G418" s="193"/>
      <c r="H418" s="193">
        <f>F418*AE418</f>
        <v>0</v>
      </c>
      <c r="I418" s="193">
        <f>J418-H418</f>
        <v>0</v>
      </c>
      <c r="J418" s="193">
        <f>F418*G418</f>
        <v>0</v>
      </c>
      <c r="K418" s="193">
        <v>0.00225</v>
      </c>
      <c r="L418" s="193">
        <f>F418*K418</f>
        <v>0.012307499999999999</v>
      </c>
      <c r="M418" s="194" t="s">
        <v>985</v>
      </c>
      <c r="N418" s="13" t="s">
        <v>989</v>
      </c>
      <c r="O418" s="7">
        <f>IF(N418="5",I418,0)</f>
        <v>0</v>
      </c>
      <c r="Z418" s="7">
        <f>IF(AD418=0,J418,0)</f>
        <v>0</v>
      </c>
      <c r="AA418" s="7">
        <f>IF(AD418=15,J418,0)</f>
        <v>0</v>
      </c>
      <c r="AB418" s="7">
        <f>IF(AD418=21,J418,0)</f>
        <v>0</v>
      </c>
      <c r="AD418" s="16">
        <v>21</v>
      </c>
      <c r="AE418" s="16">
        <f>G418*1</f>
        <v>0</v>
      </c>
      <c r="AF418" s="16">
        <f>G418*(1-1)</f>
        <v>0</v>
      </c>
      <c r="AM418" s="16">
        <f>F418*AE418</f>
        <v>0</v>
      </c>
      <c r="AN418" s="16">
        <f>F418*AF418</f>
        <v>0</v>
      </c>
      <c r="AO418" s="17" t="s">
        <v>1017</v>
      </c>
      <c r="AP418" s="17" t="s">
        <v>1036</v>
      </c>
      <c r="AQ418" s="11" t="s">
        <v>1041</v>
      </c>
    </row>
    <row r="419" spans="1:13" ht="12.75">
      <c r="A419" s="183"/>
      <c r="B419" s="183"/>
      <c r="C419" s="183"/>
      <c r="D419" s="184" t="s">
        <v>11</v>
      </c>
      <c r="E419" s="183"/>
      <c r="F419" s="185">
        <v>5</v>
      </c>
      <c r="G419" s="183"/>
      <c r="H419" s="183"/>
      <c r="I419" s="183"/>
      <c r="J419" s="183"/>
      <c r="K419" s="183"/>
      <c r="L419" s="183"/>
      <c r="M419" s="183"/>
    </row>
    <row r="420" spans="1:13" ht="12.75">
      <c r="A420" s="183"/>
      <c r="B420" s="183"/>
      <c r="C420" s="183"/>
      <c r="D420" s="184" t="s">
        <v>838</v>
      </c>
      <c r="E420" s="183"/>
      <c r="F420" s="185">
        <v>0.47</v>
      </c>
      <c r="G420" s="183"/>
      <c r="H420" s="183"/>
      <c r="I420" s="183"/>
      <c r="J420" s="183"/>
      <c r="K420" s="183"/>
      <c r="L420" s="183"/>
      <c r="M420" s="183"/>
    </row>
    <row r="421" spans="1:43" ht="12.75">
      <c r="A421" s="192" t="s">
        <v>193</v>
      </c>
      <c r="B421" s="192" t="s">
        <v>284</v>
      </c>
      <c r="C421" s="192" t="s">
        <v>475</v>
      </c>
      <c r="D421" s="192" t="s">
        <v>839</v>
      </c>
      <c r="E421" s="192" t="s">
        <v>957</v>
      </c>
      <c r="F421" s="193">
        <v>2</v>
      </c>
      <c r="G421" s="193"/>
      <c r="H421" s="193">
        <f>F421*AE421</f>
        <v>0</v>
      </c>
      <c r="I421" s="193">
        <f>J421-H421</f>
        <v>0</v>
      </c>
      <c r="J421" s="193">
        <f>F421*G421</f>
        <v>0</v>
      </c>
      <c r="K421" s="193">
        <v>0.0023</v>
      </c>
      <c r="L421" s="193">
        <f>F421*K421</f>
        <v>0.0046</v>
      </c>
      <c r="M421" s="194" t="s">
        <v>985</v>
      </c>
      <c r="N421" s="13" t="s">
        <v>989</v>
      </c>
      <c r="O421" s="7">
        <f>IF(N421="5",I421,0)</f>
        <v>0</v>
      </c>
      <c r="Z421" s="7">
        <f>IF(AD421=0,J421,0)</f>
        <v>0</v>
      </c>
      <c r="AA421" s="7">
        <f>IF(AD421=15,J421,0)</f>
        <v>0</v>
      </c>
      <c r="AB421" s="7">
        <f>IF(AD421=21,J421,0)</f>
        <v>0</v>
      </c>
      <c r="AD421" s="16">
        <v>21</v>
      </c>
      <c r="AE421" s="16">
        <f>G421*1</f>
        <v>0</v>
      </c>
      <c r="AF421" s="16">
        <f>G421*(1-1)</f>
        <v>0</v>
      </c>
      <c r="AM421" s="16">
        <f>F421*AE421</f>
        <v>0</v>
      </c>
      <c r="AN421" s="16">
        <f>F421*AF421</f>
        <v>0</v>
      </c>
      <c r="AO421" s="17" t="s">
        <v>1017</v>
      </c>
      <c r="AP421" s="17" t="s">
        <v>1036</v>
      </c>
      <c r="AQ421" s="11" t="s">
        <v>1041</v>
      </c>
    </row>
    <row r="422" spans="1:13" ht="12.75">
      <c r="A422" s="183"/>
      <c r="B422" s="183"/>
      <c r="C422" s="183"/>
      <c r="D422" s="184" t="s">
        <v>8</v>
      </c>
      <c r="E422" s="183"/>
      <c r="F422" s="185">
        <v>2</v>
      </c>
      <c r="G422" s="183"/>
      <c r="H422" s="183"/>
      <c r="I422" s="183"/>
      <c r="J422" s="183"/>
      <c r="K422" s="183"/>
      <c r="L422" s="183"/>
      <c r="M422" s="183"/>
    </row>
    <row r="423" spans="1:43" ht="12.75">
      <c r="A423" s="180" t="s">
        <v>194</v>
      </c>
      <c r="B423" s="180" t="s">
        <v>284</v>
      </c>
      <c r="C423" s="180" t="s">
        <v>476</v>
      </c>
      <c r="D423" s="180" t="s">
        <v>840</v>
      </c>
      <c r="E423" s="180" t="s">
        <v>954</v>
      </c>
      <c r="F423" s="181">
        <v>45</v>
      </c>
      <c r="G423" s="181"/>
      <c r="H423" s="181">
        <f>F423*AE423</f>
        <v>0</v>
      </c>
      <c r="I423" s="181">
        <f>J423-H423</f>
        <v>0</v>
      </c>
      <c r="J423" s="181">
        <f>F423*G423</f>
        <v>0</v>
      </c>
      <c r="K423" s="181">
        <v>0</v>
      </c>
      <c r="L423" s="181">
        <f>F423*K423</f>
        <v>0</v>
      </c>
      <c r="M423" s="182" t="s">
        <v>985</v>
      </c>
      <c r="N423" s="12" t="s">
        <v>8</v>
      </c>
      <c r="O423" s="6">
        <f>IF(N423="5",I423,0)</f>
        <v>0</v>
      </c>
      <c r="Z423" s="6">
        <f>IF(AD423=0,J423,0)</f>
        <v>0</v>
      </c>
      <c r="AA423" s="6">
        <f>IF(AD423=15,J423,0)</f>
        <v>0</v>
      </c>
      <c r="AB423" s="6">
        <f>IF(AD423=21,J423,0)</f>
        <v>0</v>
      </c>
      <c r="AD423" s="16">
        <v>21</v>
      </c>
      <c r="AE423" s="16">
        <f>G423*0</f>
        <v>0</v>
      </c>
      <c r="AF423" s="16">
        <f>G423*(1-0)</f>
        <v>0</v>
      </c>
      <c r="AM423" s="16">
        <f>F423*AE423</f>
        <v>0</v>
      </c>
      <c r="AN423" s="16">
        <f>F423*AF423</f>
        <v>0</v>
      </c>
      <c r="AO423" s="17" t="s">
        <v>1017</v>
      </c>
      <c r="AP423" s="17" t="s">
        <v>1036</v>
      </c>
      <c r="AQ423" s="11" t="s">
        <v>1041</v>
      </c>
    </row>
    <row r="424" spans="1:13" ht="12.75">
      <c r="A424" s="183"/>
      <c r="B424" s="183"/>
      <c r="C424" s="183"/>
      <c r="D424" s="184" t="s">
        <v>51</v>
      </c>
      <c r="E424" s="183"/>
      <c r="F424" s="185">
        <v>45</v>
      </c>
      <c r="G424" s="183"/>
      <c r="H424" s="183"/>
      <c r="I424" s="183"/>
      <c r="J424" s="183"/>
      <c r="K424" s="183"/>
      <c r="L424" s="183"/>
      <c r="M424" s="183"/>
    </row>
    <row r="425" spans="1:43" ht="12.75">
      <c r="A425" s="192" t="s">
        <v>195</v>
      </c>
      <c r="B425" s="192" t="s">
        <v>284</v>
      </c>
      <c r="C425" s="192" t="s">
        <v>477</v>
      </c>
      <c r="D425" s="192" t="s">
        <v>841</v>
      </c>
      <c r="E425" s="192" t="s">
        <v>954</v>
      </c>
      <c r="F425" s="193">
        <v>48.15</v>
      </c>
      <c r="G425" s="193"/>
      <c r="H425" s="193">
        <f>F425*AE425</f>
        <v>0</v>
      </c>
      <c r="I425" s="193">
        <f>J425-H425</f>
        <v>0</v>
      </c>
      <c r="J425" s="193">
        <f>F425*G425</f>
        <v>0</v>
      </c>
      <c r="K425" s="193">
        <v>0.00054</v>
      </c>
      <c r="L425" s="193">
        <f>F425*K425</f>
        <v>0.026001</v>
      </c>
      <c r="M425" s="194" t="s">
        <v>985</v>
      </c>
      <c r="N425" s="13" t="s">
        <v>989</v>
      </c>
      <c r="O425" s="7">
        <f>IF(N425="5",I425,0)</f>
        <v>0</v>
      </c>
      <c r="Z425" s="7">
        <f>IF(AD425=0,J425,0)</f>
        <v>0</v>
      </c>
      <c r="AA425" s="7">
        <f>IF(AD425=15,J425,0)</f>
        <v>0</v>
      </c>
      <c r="AB425" s="7">
        <f>IF(AD425=21,J425,0)</f>
        <v>0</v>
      </c>
      <c r="AD425" s="16">
        <v>21</v>
      </c>
      <c r="AE425" s="16">
        <f>G425*1</f>
        <v>0</v>
      </c>
      <c r="AF425" s="16">
        <f>G425*(1-1)</f>
        <v>0</v>
      </c>
      <c r="AM425" s="16">
        <f>F425*AE425</f>
        <v>0</v>
      </c>
      <c r="AN425" s="16">
        <f>F425*AF425</f>
        <v>0</v>
      </c>
      <c r="AO425" s="17" t="s">
        <v>1017</v>
      </c>
      <c r="AP425" s="17" t="s">
        <v>1036</v>
      </c>
      <c r="AQ425" s="11" t="s">
        <v>1041</v>
      </c>
    </row>
    <row r="426" spans="1:13" ht="12.75">
      <c r="A426" s="183"/>
      <c r="B426" s="183"/>
      <c r="C426" s="183"/>
      <c r="D426" s="184" t="s">
        <v>51</v>
      </c>
      <c r="E426" s="183"/>
      <c r="F426" s="185">
        <v>45</v>
      </c>
      <c r="G426" s="183"/>
      <c r="H426" s="183"/>
      <c r="I426" s="183"/>
      <c r="J426" s="183"/>
      <c r="K426" s="183"/>
      <c r="L426" s="183"/>
      <c r="M426" s="183"/>
    </row>
    <row r="427" spans="1:13" ht="12.75">
      <c r="A427" s="183"/>
      <c r="B427" s="183"/>
      <c r="C427" s="183"/>
      <c r="D427" s="184" t="s">
        <v>842</v>
      </c>
      <c r="E427" s="183"/>
      <c r="F427" s="185">
        <v>3.15</v>
      </c>
      <c r="G427" s="183"/>
      <c r="H427" s="183"/>
      <c r="I427" s="183"/>
      <c r="J427" s="183"/>
      <c r="K427" s="183"/>
      <c r="L427" s="183"/>
      <c r="M427" s="183"/>
    </row>
    <row r="428" spans="1:43" ht="12.75">
      <c r="A428" s="180" t="s">
        <v>196</v>
      </c>
      <c r="B428" s="180" t="s">
        <v>284</v>
      </c>
      <c r="C428" s="180" t="s">
        <v>478</v>
      </c>
      <c r="D428" s="180" t="s">
        <v>843</v>
      </c>
      <c r="E428" s="180" t="s">
        <v>957</v>
      </c>
      <c r="F428" s="181">
        <v>25</v>
      </c>
      <c r="G428" s="181"/>
      <c r="H428" s="181">
        <f>F428*AE428</f>
        <v>0</v>
      </c>
      <c r="I428" s="181">
        <f>J428-H428</f>
        <v>0</v>
      </c>
      <c r="J428" s="181">
        <f>F428*G428</f>
        <v>0</v>
      </c>
      <c r="K428" s="181">
        <v>0.00105</v>
      </c>
      <c r="L428" s="181">
        <f>F428*K428</f>
        <v>0.02625</v>
      </c>
      <c r="M428" s="182" t="s">
        <v>985</v>
      </c>
      <c r="N428" s="12" t="s">
        <v>8</v>
      </c>
      <c r="O428" s="6">
        <f>IF(N428="5",I428,0)</f>
        <v>0</v>
      </c>
      <c r="Z428" s="6">
        <f>IF(AD428=0,J428,0)</f>
        <v>0</v>
      </c>
      <c r="AA428" s="6">
        <f>IF(AD428=15,J428,0)</f>
        <v>0</v>
      </c>
      <c r="AB428" s="6">
        <f>IF(AD428=21,J428,0)</f>
        <v>0</v>
      </c>
      <c r="AD428" s="16">
        <v>21</v>
      </c>
      <c r="AE428" s="16">
        <f>G428*0.178188976377953</f>
        <v>0</v>
      </c>
      <c r="AF428" s="16">
        <f>G428*(1-0.178188976377953)</f>
        <v>0</v>
      </c>
      <c r="AM428" s="16">
        <f>F428*AE428</f>
        <v>0</v>
      </c>
      <c r="AN428" s="16">
        <f>F428*AF428</f>
        <v>0</v>
      </c>
      <c r="AO428" s="17" t="s">
        <v>1017</v>
      </c>
      <c r="AP428" s="17" t="s">
        <v>1036</v>
      </c>
      <c r="AQ428" s="11" t="s">
        <v>1041</v>
      </c>
    </row>
    <row r="429" spans="1:13" ht="12.75">
      <c r="A429" s="183"/>
      <c r="B429" s="183"/>
      <c r="C429" s="183"/>
      <c r="D429" s="184" t="s">
        <v>31</v>
      </c>
      <c r="E429" s="183"/>
      <c r="F429" s="185">
        <v>25</v>
      </c>
      <c r="G429" s="183"/>
      <c r="H429" s="183"/>
      <c r="I429" s="183"/>
      <c r="J429" s="183"/>
      <c r="K429" s="183"/>
      <c r="L429" s="183"/>
      <c r="M429" s="183"/>
    </row>
    <row r="430" spans="1:43" ht="12.75">
      <c r="A430" s="180" t="s">
        <v>197</v>
      </c>
      <c r="B430" s="180" t="s">
        <v>284</v>
      </c>
      <c r="C430" s="180" t="s">
        <v>479</v>
      </c>
      <c r="D430" s="180" t="s">
        <v>844</v>
      </c>
      <c r="E430" s="180" t="s">
        <v>954</v>
      </c>
      <c r="F430" s="181">
        <v>125</v>
      </c>
      <c r="G430" s="181"/>
      <c r="H430" s="181">
        <f>F430*AE430</f>
        <v>0</v>
      </c>
      <c r="I430" s="181">
        <f>J430-H430</f>
        <v>0</v>
      </c>
      <c r="J430" s="181">
        <f>F430*G430</f>
        <v>0</v>
      </c>
      <c r="K430" s="181">
        <v>0</v>
      </c>
      <c r="L430" s="181">
        <f>F430*K430</f>
        <v>0</v>
      </c>
      <c r="M430" s="182" t="s">
        <v>985</v>
      </c>
      <c r="N430" s="12" t="s">
        <v>8</v>
      </c>
      <c r="O430" s="6">
        <f>IF(N430="5",I430,0)</f>
        <v>0</v>
      </c>
      <c r="Z430" s="6">
        <f>IF(AD430=0,J430,0)</f>
        <v>0</v>
      </c>
      <c r="AA430" s="6">
        <f>IF(AD430=15,J430,0)</f>
        <v>0</v>
      </c>
      <c r="AB430" s="6">
        <f>IF(AD430=21,J430,0)</f>
        <v>0</v>
      </c>
      <c r="AD430" s="16">
        <v>21</v>
      </c>
      <c r="AE430" s="16">
        <f>G430*0</f>
        <v>0</v>
      </c>
      <c r="AF430" s="16">
        <f>G430*(1-0)</f>
        <v>0</v>
      </c>
      <c r="AM430" s="16">
        <f>F430*AE430</f>
        <v>0</v>
      </c>
      <c r="AN430" s="16">
        <f>F430*AF430</f>
        <v>0</v>
      </c>
      <c r="AO430" s="17" t="s">
        <v>1017</v>
      </c>
      <c r="AP430" s="17" t="s">
        <v>1036</v>
      </c>
      <c r="AQ430" s="11" t="s">
        <v>1041</v>
      </c>
    </row>
    <row r="431" spans="1:13" ht="12.75">
      <c r="A431" s="183"/>
      <c r="B431" s="183"/>
      <c r="C431" s="183"/>
      <c r="D431" s="184" t="s">
        <v>131</v>
      </c>
      <c r="E431" s="183"/>
      <c r="F431" s="185">
        <v>125</v>
      </c>
      <c r="G431" s="183"/>
      <c r="H431" s="183"/>
      <c r="I431" s="183"/>
      <c r="J431" s="183"/>
      <c r="K431" s="183"/>
      <c r="L431" s="183"/>
      <c r="M431" s="183"/>
    </row>
    <row r="432" spans="1:43" ht="12.75">
      <c r="A432" s="192" t="s">
        <v>198</v>
      </c>
      <c r="B432" s="192" t="s">
        <v>284</v>
      </c>
      <c r="C432" s="192" t="s">
        <v>480</v>
      </c>
      <c r="D432" s="192" t="s">
        <v>845</v>
      </c>
      <c r="E432" s="192" t="s">
        <v>954</v>
      </c>
      <c r="F432" s="193">
        <v>133.75</v>
      </c>
      <c r="G432" s="193"/>
      <c r="H432" s="193">
        <f>F432*AE432</f>
        <v>0</v>
      </c>
      <c r="I432" s="193">
        <f>J432-H432</f>
        <v>0</v>
      </c>
      <c r="J432" s="193">
        <f>F432*G432</f>
        <v>0</v>
      </c>
      <c r="K432" s="193">
        <v>0.0003</v>
      </c>
      <c r="L432" s="193">
        <f>F432*K432</f>
        <v>0.040124999999999994</v>
      </c>
      <c r="M432" s="194" t="s">
        <v>985</v>
      </c>
      <c r="N432" s="13" t="s">
        <v>989</v>
      </c>
      <c r="O432" s="7">
        <f>IF(N432="5",I432,0)</f>
        <v>0</v>
      </c>
      <c r="Z432" s="7">
        <f>IF(AD432=0,J432,0)</f>
        <v>0</v>
      </c>
      <c r="AA432" s="7">
        <f>IF(AD432=15,J432,0)</f>
        <v>0</v>
      </c>
      <c r="AB432" s="7">
        <f>IF(AD432=21,J432,0)</f>
        <v>0</v>
      </c>
      <c r="AD432" s="16">
        <v>21</v>
      </c>
      <c r="AE432" s="16">
        <f>G432*1</f>
        <v>0</v>
      </c>
      <c r="AF432" s="16">
        <f>G432*(1-1)</f>
        <v>0</v>
      </c>
      <c r="AM432" s="16">
        <f>F432*AE432</f>
        <v>0</v>
      </c>
      <c r="AN432" s="16">
        <f>F432*AF432</f>
        <v>0</v>
      </c>
      <c r="AO432" s="17" t="s">
        <v>1017</v>
      </c>
      <c r="AP432" s="17" t="s">
        <v>1036</v>
      </c>
      <c r="AQ432" s="11" t="s">
        <v>1041</v>
      </c>
    </row>
    <row r="433" spans="1:13" ht="12.75">
      <c r="A433" s="183"/>
      <c r="B433" s="183"/>
      <c r="C433" s="183"/>
      <c r="D433" s="184" t="s">
        <v>131</v>
      </c>
      <c r="E433" s="183"/>
      <c r="F433" s="185">
        <v>125</v>
      </c>
      <c r="G433" s="183"/>
      <c r="H433" s="183"/>
      <c r="I433" s="183"/>
      <c r="J433" s="183"/>
      <c r="K433" s="183"/>
      <c r="L433" s="183"/>
      <c r="M433" s="183"/>
    </row>
    <row r="434" spans="1:13" ht="12.75">
      <c r="A434" s="183"/>
      <c r="B434" s="183"/>
      <c r="C434" s="183"/>
      <c r="D434" s="184" t="s">
        <v>846</v>
      </c>
      <c r="E434" s="183"/>
      <c r="F434" s="185">
        <v>8.75</v>
      </c>
      <c r="G434" s="183"/>
      <c r="H434" s="183"/>
      <c r="I434" s="183"/>
      <c r="J434" s="183"/>
      <c r="K434" s="183"/>
      <c r="L434" s="183"/>
      <c r="M434" s="183"/>
    </row>
    <row r="435" spans="1:43" ht="12.75">
      <c r="A435" s="180" t="s">
        <v>199</v>
      </c>
      <c r="B435" s="180" t="s">
        <v>284</v>
      </c>
      <c r="C435" s="180" t="s">
        <v>481</v>
      </c>
      <c r="D435" s="180" t="s">
        <v>847</v>
      </c>
      <c r="E435" s="180" t="s">
        <v>954</v>
      </c>
      <c r="F435" s="181">
        <v>10</v>
      </c>
      <c r="G435" s="181"/>
      <c r="H435" s="181">
        <f>F435*AE435</f>
        <v>0</v>
      </c>
      <c r="I435" s="181">
        <f>J435-H435</f>
        <v>0</v>
      </c>
      <c r="J435" s="181">
        <f>F435*G435</f>
        <v>0</v>
      </c>
      <c r="K435" s="181">
        <v>0.00043</v>
      </c>
      <c r="L435" s="181">
        <f>F435*K435</f>
        <v>0.0043</v>
      </c>
      <c r="M435" s="182" t="s">
        <v>985</v>
      </c>
      <c r="N435" s="12" t="s">
        <v>8</v>
      </c>
      <c r="O435" s="6">
        <f>IF(N435="5",I435,0)</f>
        <v>0</v>
      </c>
      <c r="Z435" s="6">
        <f>IF(AD435=0,J435,0)</f>
        <v>0</v>
      </c>
      <c r="AA435" s="6">
        <f>IF(AD435=15,J435,0)</f>
        <v>0</v>
      </c>
      <c r="AB435" s="6">
        <f>IF(AD435=21,J435,0)</f>
        <v>0</v>
      </c>
      <c r="AD435" s="16">
        <v>21</v>
      </c>
      <c r="AE435" s="16">
        <f>G435*0.590210118558516</f>
        <v>0</v>
      </c>
      <c r="AF435" s="16">
        <f>G435*(1-0.590210118558516)</f>
        <v>0</v>
      </c>
      <c r="AM435" s="16">
        <f>F435*AE435</f>
        <v>0</v>
      </c>
      <c r="AN435" s="16">
        <f>F435*AF435</f>
        <v>0</v>
      </c>
      <c r="AO435" s="17" t="s">
        <v>1017</v>
      </c>
      <c r="AP435" s="17" t="s">
        <v>1036</v>
      </c>
      <c r="AQ435" s="11" t="s">
        <v>1041</v>
      </c>
    </row>
    <row r="436" spans="1:13" ht="12.75">
      <c r="A436" s="183"/>
      <c r="B436" s="183"/>
      <c r="C436" s="183"/>
      <c r="D436" s="184" t="s">
        <v>16</v>
      </c>
      <c r="E436" s="183"/>
      <c r="F436" s="185">
        <v>10</v>
      </c>
      <c r="G436" s="183"/>
      <c r="H436" s="183"/>
      <c r="I436" s="183"/>
      <c r="J436" s="183"/>
      <c r="K436" s="183"/>
      <c r="L436" s="183"/>
      <c r="M436" s="183"/>
    </row>
    <row r="437" spans="1:43" ht="12.75">
      <c r="A437" s="180" t="s">
        <v>200</v>
      </c>
      <c r="B437" s="180" t="s">
        <v>284</v>
      </c>
      <c r="C437" s="180" t="s">
        <v>418</v>
      </c>
      <c r="D437" s="180" t="s">
        <v>762</v>
      </c>
      <c r="E437" s="180" t="s">
        <v>954</v>
      </c>
      <c r="F437" s="181">
        <v>125</v>
      </c>
      <c r="G437" s="181"/>
      <c r="H437" s="181">
        <f>F437*AE437</f>
        <v>0</v>
      </c>
      <c r="I437" s="181">
        <f>J437-H437</f>
        <v>0</v>
      </c>
      <c r="J437" s="181">
        <f>F437*G437</f>
        <v>0</v>
      </c>
      <c r="K437" s="181">
        <v>0.00064</v>
      </c>
      <c r="L437" s="181">
        <f>F437*K437</f>
        <v>0.08</v>
      </c>
      <c r="M437" s="182" t="s">
        <v>985</v>
      </c>
      <c r="N437" s="12" t="s">
        <v>8</v>
      </c>
      <c r="O437" s="6">
        <f>IF(N437="5",I437,0)</f>
        <v>0</v>
      </c>
      <c r="Z437" s="6">
        <f>IF(AD437=0,J437,0)</f>
        <v>0</v>
      </c>
      <c r="AA437" s="6">
        <f>IF(AD437=15,J437,0)</f>
        <v>0</v>
      </c>
      <c r="AB437" s="6">
        <f>IF(AD437=21,J437,0)</f>
        <v>0</v>
      </c>
      <c r="AD437" s="16">
        <v>21</v>
      </c>
      <c r="AE437" s="16">
        <f>G437*0.710597014925373</f>
        <v>0</v>
      </c>
      <c r="AF437" s="16">
        <f>G437*(1-0.710597014925373)</f>
        <v>0</v>
      </c>
      <c r="AM437" s="16">
        <f>F437*AE437</f>
        <v>0</v>
      </c>
      <c r="AN437" s="16">
        <f>F437*AF437</f>
        <v>0</v>
      </c>
      <c r="AO437" s="17" t="s">
        <v>1017</v>
      </c>
      <c r="AP437" s="17" t="s">
        <v>1036</v>
      </c>
      <c r="AQ437" s="11" t="s">
        <v>1041</v>
      </c>
    </row>
    <row r="438" spans="1:13" ht="12.75">
      <c r="A438" s="183"/>
      <c r="B438" s="183"/>
      <c r="C438" s="183"/>
      <c r="D438" s="184" t="s">
        <v>131</v>
      </c>
      <c r="E438" s="183"/>
      <c r="F438" s="185">
        <v>125</v>
      </c>
      <c r="G438" s="183"/>
      <c r="H438" s="183"/>
      <c r="I438" s="183"/>
      <c r="J438" s="183"/>
      <c r="K438" s="183"/>
      <c r="L438" s="183"/>
      <c r="M438" s="183"/>
    </row>
    <row r="439" spans="1:43" ht="12.75">
      <c r="A439" s="180" t="s">
        <v>201</v>
      </c>
      <c r="B439" s="180" t="s">
        <v>284</v>
      </c>
      <c r="C439" s="180" t="s">
        <v>482</v>
      </c>
      <c r="D439" s="180" t="s">
        <v>848</v>
      </c>
      <c r="E439" s="180" t="s">
        <v>954</v>
      </c>
      <c r="F439" s="181">
        <v>40</v>
      </c>
      <c r="G439" s="181"/>
      <c r="H439" s="181">
        <f>F439*AE439</f>
        <v>0</v>
      </c>
      <c r="I439" s="181">
        <f>J439-H439</f>
        <v>0</v>
      </c>
      <c r="J439" s="181">
        <f>F439*G439</f>
        <v>0</v>
      </c>
      <c r="K439" s="181">
        <v>0</v>
      </c>
      <c r="L439" s="181">
        <f>F439*K439</f>
        <v>0</v>
      </c>
      <c r="M439" s="182" t="s">
        <v>985</v>
      </c>
      <c r="N439" s="12" t="s">
        <v>8</v>
      </c>
      <c r="O439" s="6">
        <f>IF(N439="5",I439,0)</f>
        <v>0</v>
      </c>
      <c r="Z439" s="6">
        <f>IF(AD439=0,J439,0)</f>
        <v>0</v>
      </c>
      <c r="AA439" s="6">
        <f>IF(AD439=15,J439,0)</f>
        <v>0</v>
      </c>
      <c r="AB439" s="6">
        <f>IF(AD439=21,J439,0)</f>
        <v>0</v>
      </c>
      <c r="AD439" s="16">
        <v>21</v>
      </c>
      <c r="AE439" s="16">
        <f>G439*0</f>
        <v>0</v>
      </c>
      <c r="AF439" s="16">
        <f>G439*(1-0)</f>
        <v>0</v>
      </c>
      <c r="AM439" s="16">
        <f>F439*AE439</f>
        <v>0</v>
      </c>
      <c r="AN439" s="16">
        <f>F439*AF439</f>
        <v>0</v>
      </c>
      <c r="AO439" s="17" t="s">
        <v>1017</v>
      </c>
      <c r="AP439" s="17" t="s">
        <v>1036</v>
      </c>
      <c r="AQ439" s="11" t="s">
        <v>1041</v>
      </c>
    </row>
    <row r="440" spans="1:13" ht="12.75">
      <c r="A440" s="183"/>
      <c r="B440" s="183"/>
      <c r="C440" s="183"/>
      <c r="D440" s="184" t="s">
        <v>46</v>
      </c>
      <c r="E440" s="183"/>
      <c r="F440" s="185">
        <v>40</v>
      </c>
      <c r="G440" s="183"/>
      <c r="H440" s="183"/>
      <c r="I440" s="183"/>
      <c r="J440" s="183"/>
      <c r="K440" s="183"/>
      <c r="L440" s="183"/>
      <c r="M440" s="183"/>
    </row>
    <row r="441" spans="1:43" ht="12.75">
      <c r="A441" s="192" t="s">
        <v>202</v>
      </c>
      <c r="B441" s="192" t="s">
        <v>284</v>
      </c>
      <c r="C441" s="192" t="s">
        <v>483</v>
      </c>
      <c r="D441" s="192" t="s">
        <v>849</v>
      </c>
      <c r="E441" s="192" t="s">
        <v>954</v>
      </c>
      <c r="F441" s="193">
        <v>42.8</v>
      </c>
      <c r="G441" s="193"/>
      <c r="H441" s="193">
        <f>F441*AE441</f>
        <v>0</v>
      </c>
      <c r="I441" s="193">
        <f>J441-H441</f>
        <v>0</v>
      </c>
      <c r="J441" s="193">
        <f>F441*G441</f>
        <v>0</v>
      </c>
      <c r="K441" s="193">
        <v>0.00319</v>
      </c>
      <c r="L441" s="193">
        <f>F441*K441</f>
        <v>0.136532</v>
      </c>
      <c r="M441" s="194" t="s">
        <v>985</v>
      </c>
      <c r="N441" s="13" t="s">
        <v>989</v>
      </c>
      <c r="O441" s="7">
        <f>IF(N441="5",I441,0)</f>
        <v>0</v>
      </c>
      <c r="Z441" s="7">
        <f>IF(AD441=0,J441,0)</f>
        <v>0</v>
      </c>
      <c r="AA441" s="7">
        <f>IF(AD441=15,J441,0)</f>
        <v>0</v>
      </c>
      <c r="AB441" s="7">
        <f>IF(AD441=21,J441,0)</f>
        <v>0</v>
      </c>
      <c r="AD441" s="16">
        <v>21</v>
      </c>
      <c r="AE441" s="16">
        <f>G441*1</f>
        <v>0</v>
      </c>
      <c r="AF441" s="16">
        <f>G441*(1-1)</f>
        <v>0</v>
      </c>
      <c r="AM441" s="16">
        <f>F441*AE441</f>
        <v>0</v>
      </c>
      <c r="AN441" s="16">
        <f>F441*AF441</f>
        <v>0</v>
      </c>
      <c r="AO441" s="17" t="s">
        <v>1017</v>
      </c>
      <c r="AP441" s="17" t="s">
        <v>1036</v>
      </c>
      <c r="AQ441" s="11" t="s">
        <v>1041</v>
      </c>
    </row>
    <row r="442" spans="1:13" ht="12.75">
      <c r="A442" s="183"/>
      <c r="B442" s="183"/>
      <c r="C442" s="183"/>
      <c r="D442" s="184" t="s">
        <v>46</v>
      </c>
      <c r="E442" s="183"/>
      <c r="F442" s="185">
        <v>40</v>
      </c>
      <c r="G442" s="183"/>
      <c r="H442" s="183"/>
      <c r="I442" s="183"/>
      <c r="J442" s="183"/>
      <c r="K442" s="183"/>
      <c r="L442" s="183"/>
      <c r="M442" s="183"/>
    </row>
    <row r="443" spans="1:13" ht="12.75">
      <c r="A443" s="183"/>
      <c r="B443" s="183"/>
      <c r="C443" s="183"/>
      <c r="D443" s="184" t="s">
        <v>850</v>
      </c>
      <c r="E443" s="183"/>
      <c r="F443" s="185">
        <v>2.8</v>
      </c>
      <c r="G443" s="183"/>
      <c r="H443" s="183"/>
      <c r="I443" s="183"/>
      <c r="J443" s="183"/>
      <c r="K443" s="183"/>
      <c r="L443" s="183"/>
      <c r="M443" s="183"/>
    </row>
    <row r="444" spans="1:43" ht="12.75">
      <c r="A444" s="180" t="s">
        <v>203</v>
      </c>
      <c r="B444" s="180" t="s">
        <v>284</v>
      </c>
      <c r="C444" s="180" t="s">
        <v>484</v>
      </c>
      <c r="D444" s="180" t="s">
        <v>851</v>
      </c>
      <c r="E444" s="180" t="s">
        <v>954</v>
      </c>
      <c r="F444" s="181">
        <v>60</v>
      </c>
      <c r="G444" s="181"/>
      <c r="H444" s="181">
        <f>F444*AE444</f>
        <v>0</v>
      </c>
      <c r="I444" s="181">
        <f>J444-H444</f>
        <v>0</v>
      </c>
      <c r="J444" s="181">
        <f>F444*G444</f>
        <v>0</v>
      </c>
      <c r="K444" s="181">
        <v>0.00155</v>
      </c>
      <c r="L444" s="181">
        <f>F444*K444</f>
        <v>0.093</v>
      </c>
      <c r="M444" s="182" t="s">
        <v>985</v>
      </c>
      <c r="N444" s="12" t="s">
        <v>8</v>
      </c>
      <c r="O444" s="6">
        <f>IF(N444="5",I444,0)</f>
        <v>0</v>
      </c>
      <c r="Z444" s="6">
        <f>IF(AD444=0,J444,0)</f>
        <v>0</v>
      </c>
      <c r="AA444" s="6">
        <f>IF(AD444=15,J444,0)</f>
        <v>0</v>
      </c>
      <c r="AB444" s="6">
        <f>IF(AD444=21,J444,0)</f>
        <v>0</v>
      </c>
      <c r="AD444" s="16">
        <v>21</v>
      </c>
      <c r="AE444" s="16">
        <f>G444*0.829305250397757</f>
        <v>0</v>
      </c>
      <c r="AF444" s="16">
        <f>G444*(1-0.829305250397757)</f>
        <v>0</v>
      </c>
      <c r="AM444" s="16">
        <f>F444*AE444</f>
        <v>0</v>
      </c>
      <c r="AN444" s="16">
        <f>F444*AF444</f>
        <v>0</v>
      </c>
      <c r="AO444" s="17" t="s">
        <v>1017</v>
      </c>
      <c r="AP444" s="17" t="s">
        <v>1036</v>
      </c>
      <c r="AQ444" s="11" t="s">
        <v>1041</v>
      </c>
    </row>
    <row r="445" spans="1:13" ht="12.75">
      <c r="A445" s="183"/>
      <c r="B445" s="183"/>
      <c r="C445" s="183"/>
      <c r="D445" s="184" t="s">
        <v>66</v>
      </c>
      <c r="E445" s="183"/>
      <c r="F445" s="185">
        <v>60</v>
      </c>
      <c r="G445" s="183"/>
      <c r="H445" s="183"/>
      <c r="I445" s="183"/>
      <c r="J445" s="183"/>
      <c r="K445" s="183"/>
      <c r="L445" s="183"/>
      <c r="M445" s="183"/>
    </row>
    <row r="446" spans="1:43" ht="12.75">
      <c r="A446" s="180" t="s">
        <v>204</v>
      </c>
      <c r="B446" s="180" t="s">
        <v>284</v>
      </c>
      <c r="C446" s="180" t="s">
        <v>423</v>
      </c>
      <c r="D446" s="180" t="s">
        <v>768</v>
      </c>
      <c r="E446" s="180" t="s">
        <v>954</v>
      </c>
      <c r="F446" s="181">
        <v>155</v>
      </c>
      <c r="G446" s="181"/>
      <c r="H446" s="181">
        <f>F446*AE446</f>
        <v>0</v>
      </c>
      <c r="I446" s="181">
        <f>J446-H446</f>
        <v>0</v>
      </c>
      <c r="J446" s="181">
        <f>F446*G446</f>
        <v>0</v>
      </c>
      <c r="K446" s="181">
        <v>0</v>
      </c>
      <c r="L446" s="181">
        <f>F446*K446</f>
        <v>0</v>
      </c>
      <c r="M446" s="182" t="s">
        <v>985</v>
      </c>
      <c r="N446" s="12" t="s">
        <v>8</v>
      </c>
      <c r="O446" s="6">
        <f>IF(N446="5",I446,0)</f>
        <v>0</v>
      </c>
      <c r="Z446" s="6">
        <f>IF(AD446=0,J446,0)</f>
        <v>0</v>
      </c>
      <c r="AA446" s="6">
        <f>IF(AD446=15,J446,0)</f>
        <v>0</v>
      </c>
      <c r="AB446" s="6">
        <f>IF(AD446=21,J446,0)</f>
        <v>0</v>
      </c>
      <c r="AD446" s="16">
        <v>21</v>
      </c>
      <c r="AE446" s="16">
        <f>G446*0.399033149171271</f>
        <v>0</v>
      </c>
      <c r="AF446" s="16">
        <f>G446*(1-0.399033149171271)</f>
        <v>0</v>
      </c>
      <c r="AM446" s="16">
        <f>F446*AE446</f>
        <v>0</v>
      </c>
      <c r="AN446" s="16">
        <f>F446*AF446</f>
        <v>0</v>
      </c>
      <c r="AO446" s="17" t="s">
        <v>1017</v>
      </c>
      <c r="AP446" s="17" t="s">
        <v>1036</v>
      </c>
      <c r="AQ446" s="11" t="s">
        <v>1041</v>
      </c>
    </row>
    <row r="447" spans="1:13" ht="12.75">
      <c r="A447" s="183"/>
      <c r="B447" s="183"/>
      <c r="C447" s="183"/>
      <c r="D447" s="184" t="s">
        <v>161</v>
      </c>
      <c r="E447" s="183"/>
      <c r="F447" s="185">
        <v>155</v>
      </c>
      <c r="G447" s="183"/>
      <c r="H447" s="183"/>
      <c r="I447" s="183"/>
      <c r="J447" s="183"/>
      <c r="K447" s="183"/>
      <c r="L447" s="183"/>
      <c r="M447" s="183"/>
    </row>
    <row r="448" spans="1:43" ht="12.75">
      <c r="A448" s="180" t="s">
        <v>205</v>
      </c>
      <c r="B448" s="180" t="s">
        <v>284</v>
      </c>
      <c r="C448" s="180" t="s">
        <v>431</v>
      </c>
      <c r="D448" s="180" t="s">
        <v>777</v>
      </c>
      <c r="E448" s="180" t="s">
        <v>957</v>
      </c>
      <c r="F448" s="181">
        <v>12</v>
      </c>
      <c r="G448" s="181"/>
      <c r="H448" s="181">
        <f>F448*AE448</f>
        <v>0</v>
      </c>
      <c r="I448" s="181">
        <f>J448-H448</f>
        <v>0</v>
      </c>
      <c r="J448" s="181">
        <f>F448*G448</f>
        <v>0</v>
      </c>
      <c r="K448" s="181">
        <v>0.00021</v>
      </c>
      <c r="L448" s="181">
        <f>F448*K448</f>
        <v>0.00252</v>
      </c>
      <c r="M448" s="182" t="s">
        <v>985</v>
      </c>
      <c r="N448" s="12" t="s">
        <v>8</v>
      </c>
      <c r="O448" s="6">
        <f>IF(N448="5",I448,0)</f>
        <v>0</v>
      </c>
      <c r="Z448" s="6">
        <f>IF(AD448=0,J448,0)</f>
        <v>0</v>
      </c>
      <c r="AA448" s="6">
        <f>IF(AD448=15,J448,0)</f>
        <v>0</v>
      </c>
      <c r="AB448" s="6">
        <f>IF(AD448=21,J448,0)</f>
        <v>0</v>
      </c>
      <c r="AD448" s="16">
        <v>21</v>
      </c>
      <c r="AE448" s="16">
        <f>G448*0.143272727272727</f>
        <v>0</v>
      </c>
      <c r="AF448" s="16">
        <f>G448*(1-0.143272727272727)</f>
        <v>0</v>
      </c>
      <c r="AM448" s="16">
        <f>F448*AE448</f>
        <v>0</v>
      </c>
      <c r="AN448" s="16">
        <f>F448*AF448</f>
        <v>0</v>
      </c>
      <c r="AO448" s="17" t="s">
        <v>1017</v>
      </c>
      <c r="AP448" s="17" t="s">
        <v>1036</v>
      </c>
      <c r="AQ448" s="11" t="s">
        <v>1041</v>
      </c>
    </row>
    <row r="449" spans="1:13" ht="12.75">
      <c r="A449" s="183"/>
      <c r="B449" s="183"/>
      <c r="C449" s="183"/>
      <c r="D449" s="184" t="s">
        <v>18</v>
      </c>
      <c r="E449" s="183"/>
      <c r="F449" s="185">
        <v>12</v>
      </c>
      <c r="G449" s="183"/>
      <c r="H449" s="183"/>
      <c r="I449" s="183"/>
      <c r="J449" s="183"/>
      <c r="K449" s="183"/>
      <c r="L449" s="183"/>
      <c r="M449" s="183"/>
    </row>
    <row r="450" spans="1:43" ht="12.75">
      <c r="A450" s="180" t="s">
        <v>206</v>
      </c>
      <c r="B450" s="180" t="s">
        <v>284</v>
      </c>
      <c r="C450" s="180" t="s">
        <v>485</v>
      </c>
      <c r="D450" s="180" t="s">
        <v>852</v>
      </c>
      <c r="E450" s="180" t="s">
        <v>957</v>
      </c>
      <c r="F450" s="181">
        <v>12</v>
      </c>
      <c r="G450" s="181"/>
      <c r="H450" s="181">
        <f>F450*AE450</f>
        <v>0</v>
      </c>
      <c r="I450" s="181">
        <f>J450-H450</f>
        <v>0</v>
      </c>
      <c r="J450" s="181">
        <f>F450*G450</f>
        <v>0</v>
      </c>
      <c r="K450" s="181">
        <v>0</v>
      </c>
      <c r="L450" s="181">
        <f>F450*K450</f>
        <v>0</v>
      </c>
      <c r="M450" s="182" t="s">
        <v>985</v>
      </c>
      <c r="N450" s="12" t="s">
        <v>8</v>
      </c>
      <c r="O450" s="6">
        <f>IF(N450="5",I450,0)</f>
        <v>0</v>
      </c>
      <c r="Z450" s="6">
        <f>IF(AD450=0,J450,0)</f>
        <v>0</v>
      </c>
      <c r="AA450" s="6">
        <f>IF(AD450=15,J450,0)</f>
        <v>0</v>
      </c>
      <c r="AB450" s="6">
        <f>IF(AD450=21,J450,0)</f>
        <v>0</v>
      </c>
      <c r="AD450" s="16">
        <v>21</v>
      </c>
      <c r="AE450" s="16">
        <f>G450*0</f>
        <v>0</v>
      </c>
      <c r="AF450" s="16">
        <f>G450*(1-0)</f>
        <v>0</v>
      </c>
      <c r="AM450" s="16">
        <f>F450*AE450</f>
        <v>0</v>
      </c>
      <c r="AN450" s="16">
        <f>F450*AF450</f>
        <v>0</v>
      </c>
      <c r="AO450" s="17" t="s">
        <v>1017</v>
      </c>
      <c r="AP450" s="17" t="s">
        <v>1036</v>
      </c>
      <c r="AQ450" s="11" t="s">
        <v>1041</v>
      </c>
    </row>
    <row r="451" spans="1:13" ht="12.75">
      <c r="A451" s="183"/>
      <c r="B451" s="183"/>
      <c r="C451" s="183"/>
      <c r="D451" s="184" t="s">
        <v>18</v>
      </c>
      <c r="E451" s="183"/>
      <c r="F451" s="185">
        <v>12</v>
      </c>
      <c r="G451" s="183"/>
      <c r="H451" s="183"/>
      <c r="I451" s="183"/>
      <c r="J451" s="183"/>
      <c r="K451" s="183"/>
      <c r="L451" s="183"/>
      <c r="M451" s="183"/>
    </row>
    <row r="452" spans="1:43" ht="12.75">
      <c r="A452" s="180" t="s">
        <v>207</v>
      </c>
      <c r="B452" s="180" t="s">
        <v>284</v>
      </c>
      <c r="C452" s="180" t="s">
        <v>486</v>
      </c>
      <c r="D452" s="180" t="s">
        <v>853</v>
      </c>
      <c r="E452" s="180" t="s">
        <v>962</v>
      </c>
      <c r="F452" s="181">
        <v>3</v>
      </c>
      <c r="G452" s="181"/>
      <c r="H452" s="181">
        <f>F452*AE452</f>
        <v>0</v>
      </c>
      <c r="I452" s="181">
        <f>J452-H452</f>
        <v>0</v>
      </c>
      <c r="J452" s="181">
        <f>F452*G452</f>
        <v>0</v>
      </c>
      <c r="K452" s="181">
        <v>0</v>
      </c>
      <c r="L452" s="181">
        <f>F452*K452</f>
        <v>0</v>
      </c>
      <c r="M452" s="182" t="s">
        <v>985</v>
      </c>
      <c r="N452" s="12" t="s">
        <v>7</v>
      </c>
      <c r="O452" s="6">
        <f>IF(N452="5",I452,0)</f>
        <v>0</v>
      </c>
      <c r="Z452" s="6">
        <f>IF(AD452=0,J452,0)</f>
        <v>0</v>
      </c>
      <c r="AA452" s="6">
        <f>IF(AD452=15,J452,0)</f>
        <v>0</v>
      </c>
      <c r="AB452" s="6">
        <f>IF(AD452=21,J452,0)</f>
        <v>0</v>
      </c>
      <c r="AD452" s="16">
        <v>21</v>
      </c>
      <c r="AE452" s="16">
        <f>G452*0</f>
        <v>0</v>
      </c>
      <c r="AF452" s="16">
        <f>G452*(1-0)</f>
        <v>0</v>
      </c>
      <c r="AM452" s="16">
        <f>F452*AE452</f>
        <v>0</v>
      </c>
      <c r="AN452" s="16">
        <f>F452*AF452</f>
        <v>0</v>
      </c>
      <c r="AO452" s="17" t="s">
        <v>1017</v>
      </c>
      <c r="AP452" s="17" t="s">
        <v>1036</v>
      </c>
      <c r="AQ452" s="11" t="s">
        <v>1041</v>
      </c>
    </row>
    <row r="453" spans="1:13" ht="12.75">
      <c r="A453" s="183"/>
      <c r="B453" s="183"/>
      <c r="C453" s="183"/>
      <c r="D453" s="184" t="s">
        <v>9</v>
      </c>
      <c r="E453" s="183"/>
      <c r="F453" s="185">
        <v>3</v>
      </c>
      <c r="G453" s="183"/>
      <c r="H453" s="183"/>
      <c r="I453" s="183"/>
      <c r="J453" s="183"/>
      <c r="K453" s="183"/>
      <c r="L453" s="183"/>
      <c r="M453" s="183"/>
    </row>
    <row r="454" spans="1:43" ht="12.75">
      <c r="A454" s="180" t="s">
        <v>208</v>
      </c>
      <c r="B454" s="180" t="s">
        <v>284</v>
      </c>
      <c r="C454" s="180" t="s">
        <v>442</v>
      </c>
      <c r="D454" s="180" t="s">
        <v>854</v>
      </c>
      <c r="E454" s="180" t="s">
        <v>962</v>
      </c>
      <c r="F454" s="181">
        <v>20</v>
      </c>
      <c r="G454" s="181"/>
      <c r="H454" s="181">
        <f>F454*AE454</f>
        <v>0</v>
      </c>
      <c r="I454" s="181">
        <f>J454-H454</f>
        <v>0</v>
      </c>
      <c r="J454" s="181">
        <f>F454*G454</f>
        <v>0</v>
      </c>
      <c r="K454" s="181">
        <v>0</v>
      </c>
      <c r="L454" s="181">
        <f>F454*K454</f>
        <v>0</v>
      </c>
      <c r="M454" s="182" t="s">
        <v>985</v>
      </c>
      <c r="N454" s="12" t="s">
        <v>7</v>
      </c>
      <c r="O454" s="6">
        <f>IF(N454="5",I454,0)</f>
        <v>0</v>
      </c>
      <c r="Z454" s="6">
        <f>IF(AD454=0,J454,0)</f>
        <v>0</v>
      </c>
      <c r="AA454" s="6">
        <f>IF(AD454=15,J454,0)</f>
        <v>0</v>
      </c>
      <c r="AB454" s="6">
        <f>IF(AD454=21,J454,0)</f>
        <v>0</v>
      </c>
      <c r="AD454" s="16">
        <v>21</v>
      </c>
      <c r="AE454" s="16">
        <f>G454*0</f>
        <v>0</v>
      </c>
      <c r="AF454" s="16">
        <f>G454*(1-0)</f>
        <v>0</v>
      </c>
      <c r="AM454" s="16">
        <f>F454*AE454</f>
        <v>0</v>
      </c>
      <c r="AN454" s="16">
        <f>F454*AF454</f>
        <v>0</v>
      </c>
      <c r="AO454" s="17" t="s">
        <v>1017</v>
      </c>
      <c r="AP454" s="17" t="s">
        <v>1036</v>
      </c>
      <c r="AQ454" s="11" t="s">
        <v>1041</v>
      </c>
    </row>
    <row r="455" spans="1:13" ht="12.75">
      <c r="A455" s="183"/>
      <c r="B455" s="183"/>
      <c r="C455" s="183"/>
      <c r="D455" s="184" t="s">
        <v>26</v>
      </c>
      <c r="E455" s="183"/>
      <c r="F455" s="185">
        <v>20</v>
      </c>
      <c r="G455" s="183"/>
      <c r="H455" s="183"/>
      <c r="I455" s="183"/>
      <c r="J455" s="183"/>
      <c r="K455" s="183"/>
      <c r="L455" s="183"/>
      <c r="M455" s="183"/>
    </row>
    <row r="456" spans="1:43" ht="12.75">
      <c r="A456" s="180" t="s">
        <v>209</v>
      </c>
      <c r="B456" s="180" t="s">
        <v>284</v>
      </c>
      <c r="C456" s="180" t="s">
        <v>453</v>
      </c>
      <c r="D456" s="180" t="s">
        <v>802</v>
      </c>
      <c r="E456" s="180" t="s">
        <v>960</v>
      </c>
      <c r="F456" s="181"/>
      <c r="G456" s="181">
        <v>0.03</v>
      </c>
      <c r="H456" s="181">
        <f>F456*AE456</f>
        <v>0</v>
      </c>
      <c r="I456" s="181">
        <f>J456-H456</f>
        <v>0</v>
      </c>
      <c r="J456" s="181">
        <f>F456*G456</f>
        <v>0</v>
      </c>
      <c r="K456" s="181">
        <v>0</v>
      </c>
      <c r="L456" s="181">
        <f>F456*K456</f>
        <v>0</v>
      </c>
      <c r="M456" s="182" t="s">
        <v>985</v>
      </c>
      <c r="N456" s="12" t="s">
        <v>8</v>
      </c>
      <c r="O456" s="6">
        <f>IF(N456="5",I456,0)</f>
        <v>0</v>
      </c>
      <c r="Z456" s="6">
        <f>IF(AD456=0,J456,0)</f>
        <v>0</v>
      </c>
      <c r="AA456" s="6">
        <f>IF(AD456=15,J456,0)</f>
        <v>0</v>
      </c>
      <c r="AB456" s="6">
        <f>IF(AD456=21,J456,0)</f>
        <v>0</v>
      </c>
      <c r="AD456" s="16">
        <v>21</v>
      </c>
      <c r="AE456" s="16">
        <f>G456*0</f>
        <v>0</v>
      </c>
      <c r="AF456" s="16">
        <f>G456*(1-0)</f>
        <v>0.03</v>
      </c>
      <c r="AM456" s="16">
        <f>F456*AE456</f>
        <v>0</v>
      </c>
      <c r="AN456" s="16">
        <f>F456*AF456</f>
        <v>0</v>
      </c>
      <c r="AO456" s="17" t="s">
        <v>1017</v>
      </c>
      <c r="AP456" s="17" t="s">
        <v>1036</v>
      </c>
      <c r="AQ456" s="11" t="s">
        <v>1041</v>
      </c>
    </row>
    <row r="457" spans="1:43" ht="12.75">
      <c r="A457" s="180" t="s">
        <v>210</v>
      </c>
      <c r="B457" s="180" t="s">
        <v>284</v>
      </c>
      <c r="C457" s="180" t="s">
        <v>454</v>
      </c>
      <c r="D457" s="180" t="s">
        <v>803</v>
      </c>
      <c r="E457" s="180" t="s">
        <v>960</v>
      </c>
      <c r="F457" s="181"/>
      <c r="G457" s="181">
        <v>0.05</v>
      </c>
      <c r="H457" s="181">
        <f>F457*AE457</f>
        <v>0</v>
      </c>
      <c r="I457" s="181">
        <f>J457-H457</f>
        <v>0</v>
      </c>
      <c r="J457" s="181">
        <f>F457*G457</f>
        <v>0</v>
      </c>
      <c r="K457" s="181">
        <v>0</v>
      </c>
      <c r="L457" s="181">
        <f>F457*K457</f>
        <v>0</v>
      </c>
      <c r="M457" s="182" t="s">
        <v>985</v>
      </c>
      <c r="N457" s="12" t="s">
        <v>8</v>
      </c>
      <c r="O457" s="6">
        <f>IF(N457="5",I457,0)</f>
        <v>0</v>
      </c>
      <c r="Z457" s="6">
        <f>IF(AD457=0,J457,0)</f>
        <v>0</v>
      </c>
      <c r="AA457" s="6">
        <f>IF(AD457=15,J457,0)</f>
        <v>0</v>
      </c>
      <c r="AB457" s="6">
        <f>IF(AD457=21,J457,0)</f>
        <v>0</v>
      </c>
      <c r="AD457" s="16">
        <v>21</v>
      </c>
      <c r="AE457" s="16">
        <f>G457*0</f>
        <v>0</v>
      </c>
      <c r="AF457" s="16">
        <f>G457*(1-0)</f>
        <v>0.05</v>
      </c>
      <c r="AM457" s="16">
        <f>F457*AE457</f>
        <v>0</v>
      </c>
      <c r="AN457" s="16">
        <f>F457*AF457</f>
        <v>0</v>
      </c>
      <c r="AO457" s="17" t="s">
        <v>1017</v>
      </c>
      <c r="AP457" s="17" t="s">
        <v>1036</v>
      </c>
      <c r="AQ457" s="11" t="s">
        <v>1041</v>
      </c>
    </row>
    <row r="458" spans="1:43" ht="12.75">
      <c r="A458" s="180" t="s">
        <v>211</v>
      </c>
      <c r="B458" s="180" t="s">
        <v>284</v>
      </c>
      <c r="C458" s="180" t="s">
        <v>455</v>
      </c>
      <c r="D458" s="180" t="s">
        <v>804</v>
      </c>
      <c r="E458" s="180" t="s">
        <v>960</v>
      </c>
      <c r="F458" s="181"/>
      <c r="G458" s="181">
        <v>0.06</v>
      </c>
      <c r="H458" s="181">
        <f>F458*AE458</f>
        <v>0</v>
      </c>
      <c r="I458" s="181">
        <f>J458-H458</f>
        <v>0</v>
      </c>
      <c r="J458" s="181">
        <f>F458*G458</f>
        <v>0</v>
      </c>
      <c r="K458" s="181">
        <v>0</v>
      </c>
      <c r="L458" s="181">
        <f>F458*K458</f>
        <v>0</v>
      </c>
      <c r="M458" s="182" t="s">
        <v>985</v>
      </c>
      <c r="N458" s="12" t="s">
        <v>8</v>
      </c>
      <c r="O458" s="6">
        <f>IF(N458="5",I458,0)</f>
        <v>0</v>
      </c>
      <c r="Z458" s="6">
        <f>IF(AD458=0,J458,0)</f>
        <v>0</v>
      </c>
      <c r="AA458" s="6">
        <f>IF(AD458=15,J458,0)</f>
        <v>0</v>
      </c>
      <c r="AB458" s="6">
        <f>IF(AD458=21,J458,0)</f>
        <v>0</v>
      </c>
      <c r="AD458" s="16">
        <v>21</v>
      </c>
      <c r="AE458" s="16">
        <f>G458*0</f>
        <v>0</v>
      </c>
      <c r="AF458" s="16">
        <f>G458*(1-0)</f>
        <v>0.06</v>
      </c>
      <c r="AM458" s="16">
        <f>F458*AE458</f>
        <v>0</v>
      </c>
      <c r="AN458" s="16">
        <f>F458*AF458</f>
        <v>0</v>
      </c>
      <c r="AO458" s="17" t="s">
        <v>1017</v>
      </c>
      <c r="AP458" s="17" t="s">
        <v>1036</v>
      </c>
      <c r="AQ458" s="11" t="s">
        <v>1041</v>
      </c>
    </row>
    <row r="459" spans="1:37" ht="12.75">
      <c r="A459" s="174"/>
      <c r="B459" s="175" t="s">
        <v>284</v>
      </c>
      <c r="C459" s="175" t="s">
        <v>487</v>
      </c>
      <c r="D459" s="176" t="s">
        <v>855</v>
      </c>
      <c r="E459" s="177"/>
      <c r="F459" s="177"/>
      <c r="G459" s="177"/>
      <c r="H459" s="178">
        <f>SUM(H460:H472)</f>
        <v>0</v>
      </c>
      <c r="I459" s="178">
        <f>SUM(I460:I472)</f>
        <v>0</v>
      </c>
      <c r="J459" s="178">
        <f>H459+I459</f>
        <v>0</v>
      </c>
      <c r="K459" s="179"/>
      <c r="L459" s="178">
        <f>SUM(L460:L472)</f>
        <v>20.4470915</v>
      </c>
      <c r="M459" s="179"/>
      <c r="P459" s="18">
        <f>IF(Q459="PR",J459,SUM(O460:O472))</f>
        <v>0</v>
      </c>
      <c r="Q459" s="11" t="s">
        <v>994</v>
      </c>
      <c r="R459" s="18">
        <f>IF(Q459="HS",H459,0)</f>
        <v>0</v>
      </c>
      <c r="S459" s="18">
        <f>IF(Q459="HS",I459-P459,0)</f>
        <v>0</v>
      </c>
      <c r="T459" s="18">
        <f>IF(Q459="PS",H459,0)</f>
        <v>0</v>
      </c>
      <c r="U459" s="18">
        <f>IF(Q459="PS",I459-P459,0)</f>
        <v>0</v>
      </c>
      <c r="V459" s="18">
        <f>IF(Q459="MP",H459,0)</f>
        <v>0</v>
      </c>
      <c r="W459" s="18">
        <f>IF(Q459="MP",I459-P459,0)</f>
        <v>0</v>
      </c>
      <c r="X459" s="18">
        <f>IF(Q459="OM",H459,0)</f>
        <v>0</v>
      </c>
      <c r="Y459" s="11" t="s">
        <v>284</v>
      </c>
      <c r="AI459" s="18">
        <f>SUM(Z460:Z472)</f>
        <v>0</v>
      </c>
      <c r="AJ459" s="18">
        <f>SUM(AA460:AA472)</f>
        <v>0</v>
      </c>
      <c r="AK459" s="18">
        <f>SUM(AB460:AB472)</f>
        <v>0</v>
      </c>
    </row>
    <row r="460" spans="1:43" ht="12.75">
      <c r="A460" s="180" t="s">
        <v>212</v>
      </c>
      <c r="B460" s="180" t="s">
        <v>284</v>
      </c>
      <c r="C460" s="180" t="s">
        <v>488</v>
      </c>
      <c r="D460" s="180" t="s">
        <v>856</v>
      </c>
      <c r="E460" s="180" t="s">
        <v>963</v>
      </c>
      <c r="F460" s="181">
        <v>0.15</v>
      </c>
      <c r="G460" s="181"/>
      <c r="H460" s="181">
        <f>F460*AE460</f>
        <v>0</v>
      </c>
      <c r="I460" s="181">
        <f>J460-H460</f>
        <v>0</v>
      </c>
      <c r="J460" s="181">
        <f>F460*G460</f>
        <v>0</v>
      </c>
      <c r="K460" s="181">
        <v>0.03421</v>
      </c>
      <c r="L460" s="181">
        <f>F460*K460</f>
        <v>0.0051315</v>
      </c>
      <c r="M460" s="182" t="s">
        <v>985</v>
      </c>
      <c r="N460" s="12" t="s">
        <v>8</v>
      </c>
      <c r="O460" s="6">
        <f>IF(N460="5",I460,0)</f>
        <v>0</v>
      </c>
      <c r="Z460" s="6">
        <f>IF(AD460=0,J460,0)</f>
        <v>0</v>
      </c>
      <c r="AA460" s="6">
        <f>IF(AD460=15,J460,0)</f>
        <v>0</v>
      </c>
      <c r="AB460" s="6">
        <f>IF(AD460=21,J460,0)</f>
        <v>0</v>
      </c>
      <c r="AD460" s="16">
        <v>21</v>
      </c>
      <c r="AE460" s="16">
        <f>G460*0.268540792540792</f>
        <v>0</v>
      </c>
      <c r="AF460" s="16">
        <f>G460*(1-0.268540792540792)</f>
        <v>0</v>
      </c>
      <c r="AM460" s="16">
        <f>F460*AE460</f>
        <v>0</v>
      </c>
      <c r="AN460" s="16">
        <f>F460*AF460</f>
        <v>0</v>
      </c>
      <c r="AO460" s="17" t="s">
        <v>1023</v>
      </c>
      <c r="AP460" s="17" t="s">
        <v>1036</v>
      </c>
      <c r="AQ460" s="11" t="s">
        <v>1041</v>
      </c>
    </row>
    <row r="461" spans="1:13" ht="12.75">
      <c r="A461" s="183"/>
      <c r="B461" s="183"/>
      <c r="C461" s="183"/>
      <c r="D461" s="184" t="s">
        <v>857</v>
      </c>
      <c r="E461" s="183"/>
      <c r="F461" s="185">
        <v>0.15</v>
      </c>
      <c r="G461" s="183"/>
      <c r="H461" s="183"/>
      <c r="I461" s="183"/>
      <c r="J461" s="183"/>
      <c r="K461" s="183"/>
      <c r="L461" s="183"/>
      <c r="M461" s="183"/>
    </row>
    <row r="462" spans="1:43" ht="12.75">
      <c r="A462" s="180" t="s">
        <v>213</v>
      </c>
      <c r="B462" s="180" t="s">
        <v>284</v>
      </c>
      <c r="C462" s="180" t="s">
        <v>489</v>
      </c>
      <c r="D462" s="180" t="s">
        <v>858</v>
      </c>
      <c r="E462" s="180" t="s">
        <v>954</v>
      </c>
      <c r="F462" s="181">
        <v>115</v>
      </c>
      <c r="G462" s="181"/>
      <c r="H462" s="181">
        <f>F462*AE462</f>
        <v>0</v>
      </c>
      <c r="I462" s="181">
        <f>J462-H462</f>
        <v>0</v>
      </c>
      <c r="J462" s="181">
        <f>F462*G462</f>
        <v>0</v>
      </c>
      <c r="K462" s="181">
        <v>0</v>
      </c>
      <c r="L462" s="181">
        <f>F462*K462</f>
        <v>0</v>
      </c>
      <c r="M462" s="182" t="s">
        <v>985</v>
      </c>
      <c r="N462" s="12" t="s">
        <v>8</v>
      </c>
      <c r="O462" s="6">
        <f>IF(N462="5",I462,0)</f>
        <v>0</v>
      </c>
      <c r="Z462" s="6">
        <f>IF(AD462=0,J462,0)</f>
        <v>0</v>
      </c>
      <c r="AA462" s="6">
        <f>IF(AD462=15,J462,0)</f>
        <v>0</v>
      </c>
      <c r="AB462" s="6">
        <f>IF(AD462=21,J462,0)</f>
        <v>0</v>
      </c>
      <c r="AD462" s="16">
        <v>21</v>
      </c>
      <c r="AE462" s="16">
        <f>G462*0</f>
        <v>0</v>
      </c>
      <c r="AF462" s="16">
        <f>G462*(1-0)</f>
        <v>0</v>
      </c>
      <c r="AM462" s="16">
        <f>F462*AE462</f>
        <v>0</v>
      </c>
      <c r="AN462" s="16">
        <f>F462*AF462</f>
        <v>0</v>
      </c>
      <c r="AO462" s="17" t="s">
        <v>1023</v>
      </c>
      <c r="AP462" s="17" t="s">
        <v>1036</v>
      </c>
      <c r="AQ462" s="11" t="s">
        <v>1041</v>
      </c>
    </row>
    <row r="463" spans="1:13" ht="12.75">
      <c r="A463" s="183"/>
      <c r="B463" s="183"/>
      <c r="C463" s="183"/>
      <c r="D463" s="184" t="s">
        <v>121</v>
      </c>
      <c r="E463" s="183"/>
      <c r="F463" s="185">
        <v>115</v>
      </c>
      <c r="G463" s="183"/>
      <c r="H463" s="183"/>
      <c r="I463" s="183"/>
      <c r="J463" s="183"/>
      <c r="K463" s="183"/>
      <c r="L463" s="183"/>
      <c r="M463" s="183"/>
    </row>
    <row r="464" spans="1:43" ht="12.75">
      <c r="A464" s="180" t="s">
        <v>214</v>
      </c>
      <c r="B464" s="180" t="s">
        <v>284</v>
      </c>
      <c r="C464" s="180" t="s">
        <v>490</v>
      </c>
      <c r="D464" s="180" t="s">
        <v>859</v>
      </c>
      <c r="E464" s="180" t="s">
        <v>954</v>
      </c>
      <c r="F464" s="181">
        <v>39</v>
      </c>
      <c r="G464" s="181"/>
      <c r="H464" s="181">
        <f>F464*AE464</f>
        <v>0</v>
      </c>
      <c r="I464" s="181">
        <f>J464-H464</f>
        <v>0</v>
      </c>
      <c r="J464" s="181">
        <f>F464*G464</f>
        <v>0</v>
      </c>
      <c r="K464" s="181">
        <v>0</v>
      </c>
      <c r="L464" s="181">
        <f>F464*K464</f>
        <v>0</v>
      </c>
      <c r="M464" s="182" t="s">
        <v>985</v>
      </c>
      <c r="N464" s="12" t="s">
        <v>8</v>
      </c>
      <c r="O464" s="6">
        <f>IF(N464="5",I464,0)</f>
        <v>0</v>
      </c>
      <c r="Z464" s="6">
        <f>IF(AD464=0,J464,0)</f>
        <v>0</v>
      </c>
      <c r="AA464" s="6">
        <f>IF(AD464=15,J464,0)</f>
        <v>0</v>
      </c>
      <c r="AB464" s="6">
        <f>IF(AD464=21,J464,0)</f>
        <v>0</v>
      </c>
      <c r="AD464" s="16">
        <v>21</v>
      </c>
      <c r="AE464" s="16">
        <f>G464*0</f>
        <v>0</v>
      </c>
      <c r="AF464" s="16">
        <f>G464*(1-0)</f>
        <v>0</v>
      </c>
      <c r="AM464" s="16">
        <f>F464*AE464</f>
        <v>0</v>
      </c>
      <c r="AN464" s="16">
        <f>F464*AF464</f>
        <v>0</v>
      </c>
      <c r="AO464" s="17" t="s">
        <v>1023</v>
      </c>
      <c r="AP464" s="17" t="s">
        <v>1036</v>
      </c>
      <c r="AQ464" s="11" t="s">
        <v>1041</v>
      </c>
    </row>
    <row r="465" spans="1:13" ht="12.75">
      <c r="A465" s="183"/>
      <c r="B465" s="183"/>
      <c r="C465" s="183"/>
      <c r="D465" s="184" t="s">
        <v>45</v>
      </c>
      <c r="E465" s="183"/>
      <c r="F465" s="185">
        <v>39</v>
      </c>
      <c r="G465" s="183"/>
      <c r="H465" s="183"/>
      <c r="I465" s="183"/>
      <c r="J465" s="183"/>
      <c r="K465" s="183"/>
      <c r="L465" s="183"/>
      <c r="M465" s="183"/>
    </row>
    <row r="466" spans="1:43" ht="12.75">
      <c r="A466" s="180" t="s">
        <v>215</v>
      </c>
      <c r="B466" s="180" t="s">
        <v>284</v>
      </c>
      <c r="C466" s="180" t="s">
        <v>491</v>
      </c>
      <c r="D466" s="180" t="s">
        <v>860</v>
      </c>
      <c r="E466" s="180" t="s">
        <v>954</v>
      </c>
      <c r="F466" s="181">
        <v>154</v>
      </c>
      <c r="G466" s="181"/>
      <c r="H466" s="181">
        <f>F466*AE466</f>
        <v>0</v>
      </c>
      <c r="I466" s="181">
        <f>J466-H466</f>
        <v>0</v>
      </c>
      <c r="J466" s="181">
        <f>F466*G466</f>
        <v>0</v>
      </c>
      <c r="K466" s="181">
        <v>0.13243</v>
      </c>
      <c r="L466" s="181">
        <f>F466*K466</f>
        <v>20.394219999999997</v>
      </c>
      <c r="M466" s="182" t="s">
        <v>985</v>
      </c>
      <c r="N466" s="12" t="s">
        <v>8</v>
      </c>
      <c r="O466" s="6">
        <f>IF(N466="5",I466,0)</f>
        <v>0</v>
      </c>
      <c r="Z466" s="6">
        <f>IF(AD466=0,J466,0)</f>
        <v>0</v>
      </c>
      <c r="AA466" s="6">
        <f>IF(AD466=15,J466,0)</f>
        <v>0</v>
      </c>
      <c r="AB466" s="6">
        <f>IF(AD466=21,J466,0)</f>
        <v>0</v>
      </c>
      <c r="AD466" s="16">
        <v>21</v>
      </c>
      <c r="AE466" s="16">
        <f>G466*0.696954893339847</f>
        <v>0</v>
      </c>
      <c r="AF466" s="16">
        <f>G466*(1-0.696954893339847)</f>
        <v>0</v>
      </c>
      <c r="AM466" s="16">
        <f>F466*AE466</f>
        <v>0</v>
      </c>
      <c r="AN466" s="16">
        <f>F466*AF466</f>
        <v>0</v>
      </c>
      <c r="AO466" s="17" t="s">
        <v>1023</v>
      </c>
      <c r="AP466" s="17" t="s">
        <v>1036</v>
      </c>
      <c r="AQ466" s="11" t="s">
        <v>1041</v>
      </c>
    </row>
    <row r="467" spans="1:13" ht="12.75">
      <c r="A467" s="183"/>
      <c r="B467" s="183"/>
      <c r="C467" s="183"/>
      <c r="D467" s="184" t="s">
        <v>861</v>
      </c>
      <c r="E467" s="183"/>
      <c r="F467" s="185">
        <v>154</v>
      </c>
      <c r="G467" s="183"/>
      <c r="H467" s="183"/>
      <c r="I467" s="183"/>
      <c r="J467" s="183"/>
      <c r="K467" s="183"/>
      <c r="L467" s="183"/>
      <c r="M467" s="183"/>
    </row>
    <row r="468" spans="1:43" ht="12.75">
      <c r="A468" s="180" t="s">
        <v>216</v>
      </c>
      <c r="B468" s="180" t="s">
        <v>284</v>
      </c>
      <c r="C468" s="180" t="s">
        <v>492</v>
      </c>
      <c r="D468" s="180" t="s">
        <v>862</v>
      </c>
      <c r="E468" s="180" t="s">
        <v>954</v>
      </c>
      <c r="F468" s="181">
        <v>154</v>
      </c>
      <c r="G468" s="181"/>
      <c r="H468" s="181">
        <f>F468*AE468</f>
        <v>0</v>
      </c>
      <c r="I468" s="181">
        <f>J468-H468</f>
        <v>0</v>
      </c>
      <c r="J468" s="181">
        <f>F468*G468</f>
        <v>0</v>
      </c>
      <c r="K468" s="181">
        <v>0.00031</v>
      </c>
      <c r="L468" s="181">
        <f>F468*K468</f>
        <v>0.04774</v>
      </c>
      <c r="M468" s="182" t="s">
        <v>985</v>
      </c>
      <c r="N468" s="12" t="s">
        <v>8</v>
      </c>
      <c r="O468" s="6">
        <f>IF(N468="5",I468,0)</f>
        <v>0</v>
      </c>
      <c r="Z468" s="6">
        <f>IF(AD468=0,J468,0)</f>
        <v>0</v>
      </c>
      <c r="AA468" s="6">
        <f>IF(AD468=15,J468,0)</f>
        <v>0</v>
      </c>
      <c r="AB468" s="6">
        <f>IF(AD468=21,J468,0)</f>
        <v>0</v>
      </c>
      <c r="AD468" s="16">
        <v>21</v>
      </c>
      <c r="AE468" s="16">
        <f>G468*0.395252837977296</f>
        <v>0</v>
      </c>
      <c r="AF468" s="16">
        <f>G468*(1-0.395252837977296)</f>
        <v>0</v>
      </c>
      <c r="AM468" s="16">
        <f>F468*AE468</f>
        <v>0</v>
      </c>
      <c r="AN468" s="16">
        <f>F468*AF468</f>
        <v>0</v>
      </c>
      <c r="AO468" s="17" t="s">
        <v>1023</v>
      </c>
      <c r="AP468" s="17" t="s">
        <v>1036</v>
      </c>
      <c r="AQ468" s="11" t="s">
        <v>1041</v>
      </c>
    </row>
    <row r="469" spans="1:13" ht="12.75">
      <c r="A469" s="183"/>
      <c r="B469" s="183"/>
      <c r="C469" s="183"/>
      <c r="D469" s="184" t="s">
        <v>160</v>
      </c>
      <c r="E469" s="183"/>
      <c r="F469" s="185">
        <v>154</v>
      </c>
      <c r="G469" s="183"/>
      <c r="H469" s="183"/>
      <c r="I469" s="183"/>
      <c r="J469" s="183"/>
      <c r="K469" s="183"/>
      <c r="L469" s="183"/>
      <c r="M469" s="183"/>
    </row>
    <row r="470" spans="1:43" ht="12.75">
      <c r="A470" s="180" t="s">
        <v>217</v>
      </c>
      <c r="B470" s="180" t="s">
        <v>284</v>
      </c>
      <c r="C470" s="180" t="s">
        <v>493</v>
      </c>
      <c r="D470" s="180" t="s">
        <v>863</v>
      </c>
      <c r="E470" s="180" t="s">
        <v>954</v>
      </c>
      <c r="F470" s="181">
        <v>115</v>
      </c>
      <c r="G470" s="181"/>
      <c r="H470" s="181">
        <f>F470*AE470</f>
        <v>0</v>
      </c>
      <c r="I470" s="181">
        <f>J470-H470</f>
        <v>0</v>
      </c>
      <c r="J470" s="181">
        <f>F470*G470</f>
        <v>0</v>
      </c>
      <c r="K470" s="181">
        <v>0</v>
      </c>
      <c r="L470" s="181">
        <f>F470*K470</f>
        <v>0</v>
      </c>
      <c r="M470" s="182" t="s">
        <v>985</v>
      </c>
      <c r="N470" s="12" t="s">
        <v>8</v>
      </c>
      <c r="O470" s="6">
        <f>IF(N470="5",I470,0)</f>
        <v>0</v>
      </c>
      <c r="Z470" s="6">
        <f>IF(AD470=0,J470,0)</f>
        <v>0</v>
      </c>
      <c r="AA470" s="6">
        <f>IF(AD470=15,J470,0)</f>
        <v>0</v>
      </c>
      <c r="AB470" s="6">
        <f>IF(AD470=21,J470,0)</f>
        <v>0</v>
      </c>
      <c r="AD470" s="16">
        <v>21</v>
      </c>
      <c r="AE470" s="16">
        <f>G470*0</f>
        <v>0</v>
      </c>
      <c r="AF470" s="16">
        <f>G470*(1-0)</f>
        <v>0</v>
      </c>
      <c r="AM470" s="16">
        <f>F470*AE470</f>
        <v>0</v>
      </c>
      <c r="AN470" s="16">
        <f>F470*AF470</f>
        <v>0</v>
      </c>
      <c r="AO470" s="17" t="s">
        <v>1023</v>
      </c>
      <c r="AP470" s="17" t="s">
        <v>1036</v>
      </c>
      <c r="AQ470" s="11" t="s">
        <v>1041</v>
      </c>
    </row>
    <row r="471" spans="1:13" ht="12.75">
      <c r="A471" s="183"/>
      <c r="B471" s="183"/>
      <c r="C471" s="183"/>
      <c r="D471" s="184" t="s">
        <v>121</v>
      </c>
      <c r="E471" s="183"/>
      <c r="F471" s="185">
        <v>115</v>
      </c>
      <c r="G471" s="183"/>
      <c r="H471" s="183"/>
      <c r="I471" s="183"/>
      <c r="J471" s="183"/>
      <c r="K471" s="183"/>
      <c r="L471" s="183"/>
      <c r="M471" s="183"/>
    </row>
    <row r="472" spans="1:43" ht="12.75">
      <c r="A472" s="180" t="s">
        <v>218</v>
      </c>
      <c r="B472" s="180" t="s">
        <v>284</v>
      </c>
      <c r="C472" s="180" t="s">
        <v>494</v>
      </c>
      <c r="D472" s="180" t="s">
        <v>864</v>
      </c>
      <c r="E472" s="180" t="s">
        <v>954</v>
      </c>
      <c r="F472" s="181">
        <v>39</v>
      </c>
      <c r="G472" s="181"/>
      <c r="H472" s="181">
        <f>F472*AE472</f>
        <v>0</v>
      </c>
      <c r="I472" s="181">
        <f>J472-H472</f>
        <v>0</v>
      </c>
      <c r="J472" s="181">
        <f>F472*G472</f>
        <v>0</v>
      </c>
      <c r="K472" s="181">
        <v>0</v>
      </c>
      <c r="L472" s="181">
        <f>F472*K472</f>
        <v>0</v>
      </c>
      <c r="M472" s="182" t="s">
        <v>985</v>
      </c>
      <c r="N472" s="12" t="s">
        <v>8</v>
      </c>
      <c r="O472" s="6">
        <f>IF(N472="5",I472,0)</f>
        <v>0</v>
      </c>
      <c r="Z472" s="6">
        <f>IF(AD472=0,J472,0)</f>
        <v>0</v>
      </c>
      <c r="AA472" s="6">
        <f>IF(AD472=15,J472,0)</f>
        <v>0</v>
      </c>
      <c r="AB472" s="6">
        <f>IF(AD472=21,J472,0)</f>
        <v>0</v>
      </c>
      <c r="AD472" s="16">
        <v>21</v>
      </c>
      <c r="AE472" s="16">
        <f>G472*0</f>
        <v>0</v>
      </c>
      <c r="AF472" s="16">
        <f>G472*(1-0)</f>
        <v>0</v>
      </c>
      <c r="AM472" s="16">
        <f>F472*AE472</f>
        <v>0</v>
      </c>
      <c r="AN472" s="16">
        <f>F472*AF472</f>
        <v>0</v>
      </c>
      <c r="AO472" s="17" t="s">
        <v>1023</v>
      </c>
      <c r="AP472" s="17" t="s">
        <v>1036</v>
      </c>
      <c r="AQ472" s="11" t="s">
        <v>1041</v>
      </c>
    </row>
    <row r="473" spans="1:13" ht="12.75">
      <c r="A473" s="183"/>
      <c r="B473" s="183"/>
      <c r="C473" s="183"/>
      <c r="D473" s="184" t="s">
        <v>45</v>
      </c>
      <c r="E473" s="183"/>
      <c r="F473" s="185">
        <v>39</v>
      </c>
      <c r="G473" s="183"/>
      <c r="H473" s="183"/>
      <c r="I473" s="183"/>
      <c r="J473" s="183"/>
      <c r="K473" s="183"/>
      <c r="L473" s="183"/>
      <c r="M473" s="183"/>
    </row>
    <row r="474" spans="1:13" ht="12.75">
      <c r="A474" s="186"/>
      <c r="B474" s="187" t="s">
        <v>285</v>
      </c>
      <c r="C474" s="187"/>
      <c r="D474" s="188" t="s">
        <v>865</v>
      </c>
      <c r="E474" s="189"/>
      <c r="F474" s="189"/>
      <c r="G474" s="189"/>
      <c r="H474" s="190">
        <f>H475+H482+H485+H491+H497+H509+H528</f>
        <v>0</v>
      </c>
      <c r="I474" s="190">
        <f>I475+I482+I485+I491+I497+I509+I528</f>
        <v>0</v>
      </c>
      <c r="J474" s="190">
        <f>H474+I474</f>
        <v>0</v>
      </c>
      <c r="K474" s="191"/>
      <c r="L474" s="190">
        <f>L475+L482+L485+L491+L497+L509+L528</f>
        <v>101.8498332</v>
      </c>
      <c r="M474" s="191"/>
    </row>
    <row r="475" spans="1:37" ht="12.75">
      <c r="A475" s="174"/>
      <c r="B475" s="175" t="s">
        <v>285</v>
      </c>
      <c r="C475" s="175" t="s">
        <v>7</v>
      </c>
      <c r="D475" s="176" t="s">
        <v>549</v>
      </c>
      <c r="E475" s="177"/>
      <c r="F475" s="177"/>
      <c r="G475" s="177"/>
      <c r="H475" s="178">
        <f>SUM(H476:H480)</f>
        <v>0</v>
      </c>
      <c r="I475" s="178">
        <f>SUM(I476:I480)</f>
        <v>0</v>
      </c>
      <c r="J475" s="178">
        <f>H475+I475</f>
        <v>0</v>
      </c>
      <c r="K475" s="179"/>
      <c r="L475" s="178">
        <f>SUM(L476:L480)</f>
        <v>0</v>
      </c>
      <c r="M475" s="179"/>
      <c r="P475" s="18">
        <f>IF(Q475="PR",J475,SUM(O476:O480))</f>
        <v>0</v>
      </c>
      <c r="Q475" s="11" t="s">
        <v>992</v>
      </c>
      <c r="R475" s="18">
        <f>IF(Q475="HS",H475,0)</f>
        <v>0</v>
      </c>
      <c r="S475" s="18">
        <f>IF(Q475="HS",I475-P475,0)</f>
        <v>0</v>
      </c>
      <c r="T475" s="18">
        <f>IF(Q475="PS",H475,0)</f>
        <v>0</v>
      </c>
      <c r="U475" s="18">
        <f>IF(Q475="PS",I475-P475,0)</f>
        <v>0</v>
      </c>
      <c r="V475" s="18">
        <f>IF(Q475="MP",H475,0)</f>
        <v>0</v>
      </c>
      <c r="W475" s="18">
        <f>IF(Q475="MP",I475-P475,0)</f>
        <v>0</v>
      </c>
      <c r="X475" s="18">
        <f>IF(Q475="OM",H475,0)</f>
        <v>0</v>
      </c>
      <c r="Y475" s="11" t="s">
        <v>285</v>
      </c>
      <c r="AI475" s="18">
        <f>SUM(Z476:Z480)</f>
        <v>0</v>
      </c>
      <c r="AJ475" s="18">
        <f>SUM(AA476:AA480)</f>
        <v>0</v>
      </c>
      <c r="AK475" s="18">
        <f>SUM(AB476:AB480)</f>
        <v>0</v>
      </c>
    </row>
    <row r="476" spans="1:43" ht="12.75">
      <c r="A476" s="180" t="s">
        <v>219</v>
      </c>
      <c r="B476" s="180" t="s">
        <v>285</v>
      </c>
      <c r="C476" s="180" t="s">
        <v>495</v>
      </c>
      <c r="D476" s="180" t="s">
        <v>866</v>
      </c>
      <c r="E476" s="180" t="s">
        <v>953</v>
      </c>
      <c r="F476" s="181">
        <v>313.6</v>
      </c>
      <c r="G476" s="181"/>
      <c r="H476" s="181">
        <f>F476*AE476</f>
        <v>0</v>
      </c>
      <c r="I476" s="181">
        <f>J476-H476</f>
        <v>0</v>
      </c>
      <c r="J476" s="181">
        <f>F476*G476</f>
        <v>0</v>
      </c>
      <c r="K476" s="181">
        <v>0</v>
      </c>
      <c r="L476" s="181">
        <f>F476*K476</f>
        <v>0</v>
      </c>
      <c r="M476" s="182" t="s">
        <v>985</v>
      </c>
      <c r="N476" s="12" t="s">
        <v>7</v>
      </c>
      <c r="O476" s="6">
        <f>IF(N476="5",I476,0)</f>
        <v>0</v>
      </c>
      <c r="Z476" s="6">
        <f>IF(AD476=0,J476,0)</f>
        <v>0</v>
      </c>
      <c r="AA476" s="6">
        <f>IF(AD476=15,J476,0)</f>
        <v>0</v>
      </c>
      <c r="AB476" s="6">
        <f>IF(AD476=21,J476,0)</f>
        <v>0</v>
      </c>
      <c r="AD476" s="16">
        <v>21</v>
      </c>
      <c r="AE476" s="16">
        <f>G476*0</f>
        <v>0</v>
      </c>
      <c r="AF476" s="16">
        <f>G476*(1-0)</f>
        <v>0</v>
      </c>
      <c r="AM476" s="16">
        <f>F476*AE476</f>
        <v>0</v>
      </c>
      <c r="AN476" s="16">
        <f>F476*AF476</f>
        <v>0</v>
      </c>
      <c r="AO476" s="17" t="s">
        <v>1002</v>
      </c>
      <c r="AP476" s="17" t="s">
        <v>1002</v>
      </c>
      <c r="AQ476" s="11" t="s">
        <v>1042</v>
      </c>
    </row>
    <row r="477" spans="1:13" ht="12.75">
      <c r="A477" s="183"/>
      <c r="B477" s="183"/>
      <c r="C477" s="183"/>
      <c r="D477" s="184" t="s">
        <v>867</v>
      </c>
      <c r="E477" s="183"/>
      <c r="F477" s="185">
        <v>313.6</v>
      </c>
      <c r="G477" s="183"/>
      <c r="H477" s="183"/>
      <c r="I477" s="183"/>
      <c r="J477" s="183"/>
      <c r="K477" s="183"/>
      <c r="L477" s="183"/>
      <c r="M477" s="183"/>
    </row>
    <row r="478" spans="1:43" ht="12.75">
      <c r="A478" s="180" t="s">
        <v>220</v>
      </c>
      <c r="B478" s="180" t="s">
        <v>285</v>
      </c>
      <c r="C478" s="180" t="s">
        <v>496</v>
      </c>
      <c r="D478" s="180" t="s">
        <v>868</v>
      </c>
      <c r="E478" s="180" t="s">
        <v>953</v>
      </c>
      <c r="F478" s="181">
        <v>249.16</v>
      </c>
      <c r="G478" s="181"/>
      <c r="H478" s="181">
        <f>F478*AE478</f>
        <v>0</v>
      </c>
      <c r="I478" s="181">
        <f>J478-H478</f>
        <v>0</v>
      </c>
      <c r="J478" s="181">
        <f>F478*G478</f>
        <v>0</v>
      </c>
      <c r="K478" s="181">
        <v>0</v>
      </c>
      <c r="L478" s="181">
        <f>F478*K478</f>
        <v>0</v>
      </c>
      <c r="M478" s="182" t="s">
        <v>985</v>
      </c>
      <c r="N478" s="12" t="s">
        <v>7</v>
      </c>
      <c r="O478" s="6">
        <f>IF(N478="5",I478,0)</f>
        <v>0</v>
      </c>
      <c r="Z478" s="6">
        <f>IF(AD478=0,J478,0)</f>
        <v>0</v>
      </c>
      <c r="AA478" s="6">
        <f>IF(AD478=15,J478,0)</f>
        <v>0</v>
      </c>
      <c r="AB478" s="6">
        <f>IF(AD478=21,J478,0)</f>
        <v>0</v>
      </c>
      <c r="AD478" s="16">
        <v>21</v>
      </c>
      <c r="AE478" s="16">
        <f>G478*0</f>
        <v>0</v>
      </c>
      <c r="AF478" s="16">
        <f>G478*(1-0)</f>
        <v>0</v>
      </c>
      <c r="AM478" s="16">
        <f>F478*AE478</f>
        <v>0</v>
      </c>
      <c r="AN478" s="16">
        <f>F478*AF478</f>
        <v>0</v>
      </c>
      <c r="AO478" s="17" t="s">
        <v>1002</v>
      </c>
      <c r="AP478" s="17" t="s">
        <v>1002</v>
      </c>
      <c r="AQ478" s="11" t="s">
        <v>1042</v>
      </c>
    </row>
    <row r="479" spans="1:13" ht="12.75">
      <c r="A479" s="183"/>
      <c r="B479" s="183"/>
      <c r="C479" s="183"/>
      <c r="D479" s="184" t="s">
        <v>869</v>
      </c>
      <c r="E479" s="183"/>
      <c r="F479" s="185">
        <v>249.16</v>
      </c>
      <c r="G479" s="183"/>
      <c r="H479" s="183"/>
      <c r="I479" s="183"/>
      <c r="J479" s="183"/>
      <c r="K479" s="183"/>
      <c r="L479" s="183"/>
      <c r="M479" s="183"/>
    </row>
    <row r="480" spans="1:43" ht="12.75">
      <c r="A480" s="180" t="s">
        <v>221</v>
      </c>
      <c r="B480" s="180" t="s">
        <v>285</v>
      </c>
      <c r="C480" s="180" t="s">
        <v>293</v>
      </c>
      <c r="D480" s="180" t="s">
        <v>556</v>
      </c>
      <c r="E480" s="180" t="s">
        <v>953</v>
      </c>
      <c r="F480" s="181">
        <v>64.44</v>
      </c>
      <c r="G480" s="181"/>
      <c r="H480" s="181">
        <f>F480*AE480</f>
        <v>0</v>
      </c>
      <c r="I480" s="181">
        <f>J480-H480</f>
        <v>0</v>
      </c>
      <c r="J480" s="181">
        <f>F480*G480</f>
        <v>0</v>
      </c>
      <c r="K480" s="181">
        <v>0</v>
      </c>
      <c r="L480" s="181">
        <f>F480*K480</f>
        <v>0</v>
      </c>
      <c r="M480" s="182" t="s">
        <v>985</v>
      </c>
      <c r="N480" s="12" t="s">
        <v>7</v>
      </c>
      <c r="O480" s="6">
        <f>IF(N480="5",I480,0)</f>
        <v>0</v>
      </c>
      <c r="Z480" s="6">
        <f>IF(AD480=0,J480,0)</f>
        <v>0</v>
      </c>
      <c r="AA480" s="6">
        <f>IF(AD480=15,J480,0)</f>
        <v>0</v>
      </c>
      <c r="AB480" s="6">
        <f>IF(AD480=21,J480,0)</f>
        <v>0</v>
      </c>
      <c r="AD480" s="16">
        <v>21</v>
      </c>
      <c r="AE480" s="16">
        <f>G480*0</f>
        <v>0</v>
      </c>
      <c r="AF480" s="16">
        <f>G480*(1-0)</f>
        <v>0</v>
      </c>
      <c r="AM480" s="16">
        <f>F480*AE480</f>
        <v>0</v>
      </c>
      <c r="AN480" s="16">
        <f>F480*AF480</f>
        <v>0</v>
      </c>
      <c r="AO480" s="17" t="s">
        <v>1002</v>
      </c>
      <c r="AP480" s="17" t="s">
        <v>1002</v>
      </c>
      <c r="AQ480" s="11" t="s">
        <v>1042</v>
      </c>
    </row>
    <row r="481" spans="1:13" ht="12.75">
      <c r="A481" s="183"/>
      <c r="B481" s="183"/>
      <c r="C481" s="183"/>
      <c r="D481" s="184" t="s">
        <v>870</v>
      </c>
      <c r="E481" s="183"/>
      <c r="F481" s="185">
        <v>64.44</v>
      </c>
      <c r="G481" s="183"/>
      <c r="H481" s="183"/>
      <c r="I481" s="183"/>
      <c r="J481" s="183"/>
      <c r="K481" s="183"/>
      <c r="L481" s="183"/>
      <c r="M481" s="183"/>
    </row>
    <row r="482" spans="1:37" ht="12.75">
      <c r="A482" s="174"/>
      <c r="B482" s="175" t="s">
        <v>285</v>
      </c>
      <c r="C482" s="175" t="s">
        <v>51</v>
      </c>
      <c r="D482" s="176" t="s">
        <v>871</v>
      </c>
      <c r="E482" s="177"/>
      <c r="F482" s="177"/>
      <c r="G482" s="177"/>
      <c r="H482" s="178">
        <f>SUM(H483:H483)</f>
        <v>0</v>
      </c>
      <c r="I482" s="178">
        <f>SUM(I483:I483)</f>
        <v>0</v>
      </c>
      <c r="J482" s="178">
        <f>H482+I482</f>
        <v>0</v>
      </c>
      <c r="K482" s="179"/>
      <c r="L482" s="178">
        <f>SUM(L483:L483)</f>
        <v>2.5116628</v>
      </c>
      <c r="M482" s="179"/>
      <c r="P482" s="18">
        <f>IF(Q482="PR",J482,SUM(O483:O483))</f>
        <v>0</v>
      </c>
      <c r="Q482" s="11" t="s">
        <v>992</v>
      </c>
      <c r="R482" s="18">
        <f>IF(Q482="HS",H482,0)</f>
        <v>0</v>
      </c>
      <c r="S482" s="18">
        <f>IF(Q482="HS",I482-P482,0)</f>
        <v>0</v>
      </c>
      <c r="T482" s="18">
        <f>IF(Q482="PS",H482,0)</f>
        <v>0</v>
      </c>
      <c r="U482" s="18">
        <f>IF(Q482="PS",I482-P482,0)</f>
        <v>0</v>
      </c>
      <c r="V482" s="18">
        <f>IF(Q482="MP",H482,0)</f>
        <v>0</v>
      </c>
      <c r="W482" s="18">
        <f>IF(Q482="MP",I482-P482,0)</f>
        <v>0</v>
      </c>
      <c r="X482" s="18">
        <f>IF(Q482="OM",H482,0)</f>
        <v>0</v>
      </c>
      <c r="Y482" s="11" t="s">
        <v>285</v>
      </c>
      <c r="AI482" s="18">
        <f>SUM(Z483:Z483)</f>
        <v>0</v>
      </c>
      <c r="AJ482" s="18">
        <f>SUM(AA483:AA483)</f>
        <v>0</v>
      </c>
      <c r="AK482" s="18">
        <f>SUM(AB483:AB483)</f>
        <v>0</v>
      </c>
    </row>
    <row r="483" spans="1:43" ht="12.75">
      <c r="A483" s="180" t="s">
        <v>222</v>
      </c>
      <c r="B483" s="180" t="s">
        <v>285</v>
      </c>
      <c r="C483" s="180" t="s">
        <v>497</v>
      </c>
      <c r="D483" s="180" t="s">
        <v>872</v>
      </c>
      <c r="E483" s="180" t="s">
        <v>952</v>
      </c>
      <c r="F483" s="181">
        <v>13.03</v>
      </c>
      <c r="G483" s="181"/>
      <c r="H483" s="181">
        <f>F483*AE483</f>
        <v>0</v>
      </c>
      <c r="I483" s="181">
        <f>J483-H483</f>
        <v>0</v>
      </c>
      <c r="J483" s="181">
        <f>F483*G483</f>
        <v>0</v>
      </c>
      <c r="K483" s="181">
        <v>0.19276</v>
      </c>
      <c r="L483" s="181">
        <f>F483*K483</f>
        <v>2.5116628</v>
      </c>
      <c r="M483" s="182" t="s">
        <v>985</v>
      </c>
      <c r="N483" s="12" t="s">
        <v>7</v>
      </c>
      <c r="O483" s="6">
        <f>IF(N483="5",I483,0)</f>
        <v>0</v>
      </c>
      <c r="Z483" s="6">
        <f>IF(AD483=0,J483,0)</f>
        <v>0</v>
      </c>
      <c r="AA483" s="6">
        <f>IF(AD483=15,J483,0)</f>
        <v>0</v>
      </c>
      <c r="AB483" s="6">
        <f>IF(AD483=21,J483,0)</f>
        <v>0</v>
      </c>
      <c r="AD483" s="16">
        <v>21</v>
      </c>
      <c r="AE483" s="16">
        <f>G483*0.390076838638858</f>
        <v>0</v>
      </c>
      <c r="AF483" s="16">
        <f>G483*(1-0.390076838638858)</f>
        <v>0</v>
      </c>
      <c r="AM483" s="16">
        <f>F483*AE483</f>
        <v>0</v>
      </c>
      <c r="AN483" s="16">
        <f>F483*AF483</f>
        <v>0</v>
      </c>
      <c r="AO483" s="17" t="s">
        <v>1024</v>
      </c>
      <c r="AP483" s="17" t="s">
        <v>1031</v>
      </c>
      <c r="AQ483" s="11" t="s">
        <v>1042</v>
      </c>
    </row>
    <row r="484" spans="1:13" ht="12.75">
      <c r="A484" s="183"/>
      <c r="B484" s="183"/>
      <c r="C484" s="183"/>
      <c r="D484" s="184" t="s">
        <v>873</v>
      </c>
      <c r="E484" s="183"/>
      <c r="F484" s="185">
        <v>13.03</v>
      </c>
      <c r="G484" s="183"/>
      <c r="H484" s="183"/>
      <c r="I484" s="183"/>
      <c r="J484" s="183"/>
      <c r="K484" s="183"/>
      <c r="L484" s="183"/>
      <c r="M484" s="183"/>
    </row>
    <row r="485" spans="1:37" ht="12.75">
      <c r="A485" s="174"/>
      <c r="B485" s="175" t="s">
        <v>285</v>
      </c>
      <c r="C485" s="175" t="s">
        <v>350</v>
      </c>
      <c r="D485" s="176" t="s">
        <v>674</v>
      </c>
      <c r="E485" s="177"/>
      <c r="F485" s="177"/>
      <c r="G485" s="177"/>
      <c r="H485" s="178">
        <f>SUM(H486:H490)</f>
        <v>0</v>
      </c>
      <c r="I485" s="178">
        <f>SUM(I486:I490)</f>
        <v>0</v>
      </c>
      <c r="J485" s="178">
        <f>H485+I485</f>
        <v>0</v>
      </c>
      <c r="K485" s="179"/>
      <c r="L485" s="178">
        <f>SUM(L486:L490)</f>
        <v>0.17240000000000003</v>
      </c>
      <c r="M485" s="179"/>
      <c r="P485" s="18">
        <f>IF(Q485="PR",J485,SUM(O486:O490))</f>
        <v>0</v>
      </c>
      <c r="Q485" s="11" t="s">
        <v>993</v>
      </c>
      <c r="R485" s="18">
        <f>IF(Q485="HS",H485,0)</f>
        <v>0</v>
      </c>
      <c r="S485" s="18">
        <f>IF(Q485="HS",I485-P485,0)</f>
        <v>0</v>
      </c>
      <c r="T485" s="18">
        <f>IF(Q485="PS",H485,0)</f>
        <v>0</v>
      </c>
      <c r="U485" s="18">
        <f>IF(Q485="PS",I485-P485,0)</f>
        <v>0</v>
      </c>
      <c r="V485" s="18">
        <f>IF(Q485="MP",H485,0)</f>
        <v>0</v>
      </c>
      <c r="W485" s="18">
        <f>IF(Q485="MP",I485-P485,0)</f>
        <v>0</v>
      </c>
      <c r="X485" s="18">
        <f>IF(Q485="OM",H485,0)</f>
        <v>0</v>
      </c>
      <c r="Y485" s="11" t="s">
        <v>285</v>
      </c>
      <c r="AI485" s="18">
        <f>SUM(Z486:Z490)</f>
        <v>0</v>
      </c>
      <c r="AJ485" s="18">
        <f>SUM(AA486:AA490)</f>
        <v>0</v>
      </c>
      <c r="AK485" s="18">
        <f>SUM(AB486:AB490)</f>
        <v>0</v>
      </c>
    </row>
    <row r="486" spans="1:43" ht="12.75">
      <c r="A486" s="180" t="s">
        <v>223</v>
      </c>
      <c r="B486" s="180" t="s">
        <v>285</v>
      </c>
      <c r="C486" s="180" t="s">
        <v>498</v>
      </c>
      <c r="D486" s="180" t="s">
        <v>874</v>
      </c>
      <c r="E486" s="180" t="s">
        <v>957</v>
      </c>
      <c r="F486" s="181">
        <v>2</v>
      </c>
      <c r="G486" s="181"/>
      <c r="H486" s="181">
        <f>F486*AE486</f>
        <v>0</v>
      </c>
      <c r="I486" s="181">
        <f>J486-H486</f>
        <v>0</v>
      </c>
      <c r="J486" s="181">
        <f>F486*G486</f>
        <v>0</v>
      </c>
      <c r="K486" s="181">
        <v>0.0012</v>
      </c>
      <c r="L486" s="181">
        <f>F486*K486</f>
        <v>0.0024</v>
      </c>
      <c r="M486" s="182" t="s">
        <v>985</v>
      </c>
      <c r="N486" s="12" t="s">
        <v>7</v>
      </c>
      <c r="O486" s="6">
        <f>IF(N486="5",I486,0)</f>
        <v>0</v>
      </c>
      <c r="Z486" s="6">
        <f>IF(AD486=0,J486,0)</f>
        <v>0</v>
      </c>
      <c r="AA486" s="6">
        <f>IF(AD486=15,J486,0)</f>
        <v>0</v>
      </c>
      <c r="AB486" s="6">
        <f>IF(AD486=21,J486,0)</f>
        <v>0</v>
      </c>
      <c r="AD486" s="16">
        <v>21</v>
      </c>
      <c r="AE486" s="16">
        <f>G486*0.860512</f>
        <v>0</v>
      </c>
      <c r="AF486" s="16">
        <f>G486*(1-0.860512)</f>
        <v>0</v>
      </c>
      <c r="AM486" s="16">
        <f>F486*AE486</f>
        <v>0</v>
      </c>
      <c r="AN486" s="16">
        <f>F486*AF486</f>
        <v>0</v>
      </c>
      <c r="AO486" s="17" t="s">
        <v>1014</v>
      </c>
      <c r="AP486" s="17" t="s">
        <v>1035</v>
      </c>
      <c r="AQ486" s="11" t="s">
        <v>1042</v>
      </c>
    </row>
    <row r="487" spans="1:13" ht="12.75">
      <c r="A487" s="183"/>
      <c r="B487" s="183"/>
      <c r="C487" s="183"/>
      <c r="D487" s="184" t="s">
        <v>8</v>
      </c>
      <c r="E487" s="183"/>
      <c r="F487" s="185">
        <v>2</v>
      </c>
      <c r="G487" s="183"/>
      <c r="H487" s="183"/>
      <c r="I487" s="183"/>
      <c r="J487" s="183"/>
      <c r="K487" s="183"/>
      <c r="L487" s="183"/>
      <c r="M487" s="183"/>
    </row>
    <row r="488" spans="1:43" ht="12.75">
      <c r="A488" s="180" t="s">
        <v>224</v>
      </c>
      <c r="B488" s="180" t="s">
        <v>285</v>
      </c>
      <c r="C488" s="180" t="s">
        <v>499</v>
      </c>
      <c r="D488" s="180" t="s">
        <v>875</v>
      </c>
      <c r="E488" s="180" t="s">
        <v>954</v>
      </c>
      <c r="F488" s="181">
        <v>8.5</v>
      </c>
      <c r="G488" s="181"/>
      <c r="H488" s="181">
        <f>F488*AE488</f>
        <v>0</v>
      </c>
      <c r="I488" s="181">
        <f>J488-H488</f>
        <v>0</v>
      </c>
      <c r="J488" s="181">
        <f>F488*G488</f>
        <v>0</v>
      </c>
      <c r="K488" s="181">
        <v>0.02</v>
      </c>
      <c r="L488" s="181">
        <f>F488*K488</f>
        <v>0.17</v>
      </c>
      <c r="M488" s="182" t="s">
        <v>985</v>
      </c>
      <c r="N488" s="12" t="s">
        <v>7</v>
      </c>
      <c r="O488" s="6">
        <f>IF(N488="5",I488,0)</f>
        <v>0</v>
      </c>
      <c r="Z488" s="6">
        <f>IF(AD488=0,J488,0)</f>
        <v>0</v>
      </c>
      <c r="AA488" s="6">
        <f>IF(AD488=15,J488,0)</f>
        <v>0</v>
      </c>
      <c r="AB488" s="6">
        <f>IF(AD488=21,J488,0)</f>
        <v>0</v>
      </c>
      <c r="AD488" s="16">
        <v>21</v>
      </c>
      <c r="AE488" s="16">
        <f>G488*0.676638811513464</f>
        <v>0</v>
      </c>
      <c r="AF488" s="16">
        <f>G488*(1-0.676638811513464)</f>
        <v>0</v>
      </c>
      <c r="AM488" s="16">
        <f>F488*AE488</f>
        <v>0</v>
      </c>
      <c r="AN488" s="16">
        <f>F488*AF488</f>
        <v>0</v>
      </c>
      <c r="AO488" s="17" t="s">
        <v>1014</v>
      </c>
      <c r="AP488" s="17" t="s">
        <v>1035</v>
      </c>
      <c r="AQ488" s="11" t="s">
        <v>1042</v>
      </c>
    </row>
    <row r="489" spans="1:13" ht="12.75">
      <c r="A489" s="183"/>
      <c r="B489" s="183"/>
      <c r="C489" s="183"/>
      <c r="D489" s="184" t="s">
        <v>876</v>
      </c>
      <c r="E489" s="183"/>
      <c r="F489" s="185">
        <v>8.5</v>
      </c>
      <c r="G489" s="183"/>
      <c r="H489" s="183"/>
      <c r="I489" s="183"/>
      <c r="J489" s="183"/>
      <c r="K489" s="183"/>
      <c r="L489" s="183"/>
      <c r="M489" s="183"/>
    </row>
    <row r="490" spans="1:43" ht="12.75">
      <c r="A490" s="180" t="s">
        <v>225</v>
      </c>
      <c r="B490" s="180" t="s">
        <v>285</v>
      </c>
      <c r="C490" s="180" t="s">
        <v>500</v>
      </c>
      <c r="D490" s="180" t="s">
        <v>877</v>
      </c>
      <c r="E490" s="180" t="s">
        <v>955</v>
      </c>
      <c r="F490" s="181">
        <v>0.1724</v>
      </c>
      <c r="G490" s="181"/>
      <c r="H490" s="181">
        <f>F490*AE490</f>
        <v>0</v>
      </c>
      <c r="I490" s="181">
        <f>J490-H490</f>
        <v>0</v>
      </c>
      <c r="J490" s="181">
        <f>F490*G490</f>
        <v>0</v>
      </c>
      <c r="K490" s="181">
        <v>0</v>
      </c>
      <c r="L490" s="181">
        <f>F490*K490</f>
        <v>0</v>
      </c>
      <c r="M490" s="182" t="s">
        <v>985</v>
      </c>
      <c r="N490" s="12" t="s">
        <v>11</v>
      </c>
      <c r="O490" s="6">
        <f>IF(N490="5",I490,0)</f>
        <v>0</v>
      </c>
      <c r="Z490" s="6">
        <f>IF(AD490=0,J490,0)</f>
        <v>0</v>
      </c>
      <c r="AA490" s="6">
        <f>IF(AD490=15,J490,0)</f>
        <v>0</v>
      </c>
      <c r="AB490" s="6">
        <f>IF(AD490=21,J490,0)</f>
        <v>0</v>
      </c>
      <c r="AD490" s="16">
        <v>21</v>
      </c>
      <c r="AE490" s="16">
        <f>G490*0</f>
        <v>0</v>
      </c>
      <c r="AF490" s="16">
        <f>G490*(1-0)</f>
        <v>0</v>
      </c>
      <c r="AM490" s="16">
        <f>F490*AE490</f>
        <v>0</v>
      </c>
      <c r="AN490" s="16">
        <f>F490*AF490</f>
        <v>0</v>
      </c>
      <c r="AO490" s="17" t="s">
        <v>1014</v>
      </c>
      <c r="AP490" s="17" t="s">
        <v>1035</v>
      </c>
      <c r="AQ490" s="11" t="s">
        <v>1042</v>
      </c>
    </row>
    <row r="491" spans="1:37" ht="12.75">
      <c r="A491" s="174"/>
      <c r="B491" s="175" t="s">
        <v>285</v>
      </c>
      <c r="C491" s="175" t="s">
        <v>501</v>
      </c>
      <c r="D491" s="176" t="s">
        <v>878</v>
      </c>
      <c r="E491" s="177"/>
      <c r="F491" s="177"/>
      <c r="G491" s="177"/>
      <c r="H491" s="178">
        <f>SUM(H492:H496)</f>
        <v>0</v>
      </c>
      <c r="I491" s="178">
        <f>SUM(I492:I496)</f>
        <v>0</v>
      </c>
      <c r="J491" s="178">
        <f>H491+I491</f>
        <v>0</v>
      </c>
      <c r="K491" s="179"/>
      <c r="L491" s="178">
        <f>SUM(L492:L496)</f>
        <v>0.52406</v>
      </c>
      <c r="M491" s="179"/>
      <c r="P491" s="18">
        <f>IF(Q491="PR",J491,SUM(O492:O496))</f>
        <v>0</v>
      </c>
      <c r="Q491" s="11" t="s">
        <v>993</v>
      </c>
      <c r="R491" s="18">
        <f>IF(Q491="HS",H491,0)</f>
        <v>0</v>
      </c>
      <c r="S491" s="18">
        <f>IF(Q491="HS",I491-P491,0)</f>
        <v>0</v>
      </c>
      <c r="T491" s="18">
        <f>IF(Q491="PS",H491,0)</f>
        <v>0</v>
      </c>
      <c r="U491" s="18">
        <f>IF(Q491="PS",I491-P491,0)</f>
        <v>0</v>
      </c>
      <c r="V491" s="18">
        <f>IF(Q491="MP",H491,0)</f>
        <v>0</v>
      </c>
      <c r="W491" s="18">
        <f>IF(Q491="MP",I491-P491,0)</f>
        <v>0</v>
      </c>
      <c r="X491" s="18">
        <f>IF(Q491="OM",H491,0)</f>
        <v>0</v>
      </c>
      <c r="Y491" s="11" t="s">
        <v>285</v>
      </c>
      <c r="AI491" s="18">
        <f>SUM(Z492:Z496)</f>
        <v>0</v>
      </c>
      <c r="AJ491" s="18">
        <f>SUM(AA492:AA496)</f>
        <v>0</v>
      </c>
      <c r="AK491" s="18">
        <f>SUM(AB492:AB496)</f>
        <v>0</v>
      </c>
    </row>
    <row r="492" spans="1:43" ht="12.75">
      <c r="A492" s="180" t="s">
        <v>226</v>
      </c>
      <c r="B492" s="180" t="s">
        <v>285</v>
      </c>
      <c r="C492" s="180" t="s">
        <v>502</v>
      </c>
      <c r="D492" s="180" t="s">
        <v>879</v>
      </c>
      <c r="E492" s="180" t="s">
        <v>957</v>
      </c>
      <c r="F492" s="181">
        <v>2</v>
      </c>
      <c r="G492" s="181"/>
      <c r="H492" s="181">
        <f>F492*AE492</f>
        <v>0</v>
      </c>
      <c r="I492" s="181">
        <f>J492-H492</f>
        <v>0</v>
      </c>
      <c r="J492" s="181">
        <f>F492*G492</f>
        <v>0</v>
      </c>
      <c r="K492" s="181">
        <v>3E-05</v>
      </c>
      <c r="L492" s="181">
        <f>F492*K492</f>
        <v>6E-05</v>
      </c>
      <c r="M492" s="182" t="s">
        <v>985</v>
      </c>
      <c r="N492" s="12" t="s">
        <v>7</v>
      </c>
      <c r="O492" s="6">
        <f>IF(N492="5",I492,0)</f>
        <v>0</v>
      </c>
      <c r="Z492" s="6">
        <f>IF(AD492=0,J492,0)</f>
        <v>0</v>
      </c>
      <c r="AA492" s="6">
        <f>IF(AD492=15,J492,0)</f>
        <v>0</v>
      </c>
      <c r="AB492" s="6">
        <f>IF(AD492=21,J492,0)</f>
        <v>0</v>
      </c>
      <c r="AD492" s="16">
        <v>21</v>
      </c>
      <c r="AE492" s="16">
        <f>G492*0.00538690476190476</f>
        <v>0</v>
      </c>
      <c r="AF492" s="16">
        <f>G492*(1-0.00538690476190476)</f>
        <v>0</v>
      </c>
      <c r="AM492" s="16">
        <f>F492*AE492</f>
        <v>0</v>
      </c>
      <c r="AN492" s="16">
        <f>F492*AF492</f>
        <v>0</v>
      </c>
      <c r="AO492" s="17" t="s">
        <v>1025</v>
      </c>
      <c r="AP492" s="17" t="s">
        <v>1035</v>
      </c>
      <c r="AQ492" s="11" t="s">
        <v>1042</v>
      </c>
    </row>
    <row r="493" spans="1:13" ht="12.75">
      <c r="A493" s="183"/>
      <c r="B493" s="183"/>
      <c r="C493" s="183"/>
      <c r="D493" s="184" t="s">
        <v>8</v>
      </c>
      <c r="E493" s="183"/>
      <c r="F493" s="185">
        <v>2</v>
      </c>
      <c r="G493" s="183"/>
      <c r="H493" s="183"/>
      <c r="I493" s="183"/>
      <c r="J493" s="183"/>
      <c r="K493" s="183"/>
      <c r="L493" s="183"/>
      <c r="M493" s="183"/>
    </row>
    <row r="494" spans="1:43" ht="12.75">
      <c r="A494" s="192" t="s">
        <v>227</v>
      </c>
      <c r="B494" s="192" t="s">
        <v>285</v>
      </c>
      <c r="C494" s="192" t="s">
        <v>503</v>
      </c>
      <c r="D494" s="192" t="s">
        <v>880</v>
      </c>
      <c r="E494" s="192" t="s">
        <v>957</v>
      </c>
      <c r="F494" s="193">
        <v>2</v>
      </c>
      <c r="G494" s="193"/>
      <c r="H494" s="193">
        <f>F494*AE494</f>
        <v>0</v>
      </c>
      <c r="I494" s="193">
        <f>J494-H494</f>
        <v>0</v>
      </c>
      <c r="J494" s="193">
        <f>F494*G494</f>
        <v>0</v>
      </c>
      <c r="K494" s="193">
        <v>0.262</v>
      </c>
      <c r="L494" s="193">
        <f>F494*K494</f>
        <v>0.524</v>
      </c>
      <c r="M494" s="194" t="s">
        <v>985</v>
      </c>
      <c r="N494" s="13" t="s">
        <v>989</v>
      </c>
      <c r="O494" s="7">
        <f>IF(N494="5",I494,0)</f>
        <v>0</v>
      </c>
      <c r="Z494" s="7">
        <f>IF(AD494=0,J494,0)</f>
        <v>0</v>
      </c>
      <c r="AA494" s="7">
        <f>IF(AD494=15,J494,0)</f>
        <v>0</v>
      </c>
      <c r="AB494" s="7">
        <f>IF(AD494=21,J494,0)</f>
        <v>0</v>
      </c>
      <c r="AD494" s="16">
        <v>21</v>
      </c>
      <c r="AE494" s="16">
        <f>G494*1</f>
        <v>0</v>
      </c>
      <c r="AF494" s="16">
        <f>G494*(1-1)</f>
        <v>0</v>
      </c>
      <c r="AM494" s="16">
        <f>F494*AE494</f>
        <v>0</v>
      </c>
      <c r="AN494" s="16">
        <f>F494*AF494</f>
        <v>0</v>
      </c>
      <c r="AO494" s="17" t="s">
        <v>1025</v>
      </c>
      <c r="AP494" s="17" t="s">
        <v>1035</v>
      </c>
      <c r="AQ494" s="11" t="s">
        <v>1042</v>
      </c>
    </row>
    <row r="495" spans="1:13" ht="12.75">
      <c r="A495" s="183"/>
      <c r="B495" s="183"/>
      <c r="C495" s="183"/>
      <c r="D495" s="184" t="s">
        <v>8</v>
      </c>
      <c r="E495" s="183"/>
      <c r="F495" s="185">
        <v>2</v>
      </c>
      <c r="G495" s="183"/>
      <c r="H495" s="183"/>
      <c r="I495" s="183"/>
      <c r="J495" s="183"/>
      <c r="K495" s="183"/>
      <c r="L495" s="183"/>
      <c r="M495" s="183"/>
    </row>
    <row r="496" spans="1:43" ht="12.75">
      <c r="A496" s="180" t="s">
        <v>228</v>
      </c>
      <c r="B496" s="180" t="s">
        <v>285</v>
      </c>
      <c r="C496" s="180" t="s">
        <v>504</v>
      </c>
      <c r="D496" s="180" t="s">
        <v>881</v>
      </c>
      <c r="E496" s="180" t="s">
        <v>955</v>
      </c>
      <c r="F496" s="181">
        <v>0.52406</v>
      </c>
      <c r="G496" s="181"/>
      <c r="H496" s="181">
        <f>F496*AE496</f>
        <v>0</v>
      </c>
      <c r="I496" s="181">
        <f>J496-H496</f>
        <v>0</v>
      </c>
      <c r="J496" s="181">
        <f>F496*G496</f>
        <v>0</v>
      </c>
      <c r="K496" s="181">
        <v>0</v>
      </c>
      <c r="L496" s="181">
        <f>F496*K496</f>
        <v>0</v>
      </c>
      <c r="M496" s="182" t="s">
        <v>985</v>
      </c>
      <c r="N496" s="12" t="s">
        <v>11</v>
      </c>
      <c r="O496" s="6">
        <f>IF(N496="5",I496,0)</f>
        <v>0</v>
      </c>
      <c r="Z496" s="6">
        <f>IF(AD496=0,J496,0)</f>
        <v>0</v>
      </c>
      <c r="AA496" s="6">
        <f>IF(AD496=15,J496,0)</f>
        <v>0</v>
      </c>
      <c r="AB496" s="6">
        <f>IF(AD496=21,J496,0)</f>
        <v>0</v>
      </c>
      <c r="AD496" s="16">
        <v>21</v>
      </c>
      <c r="AE496" s="16">
        <f>G496*0</f>
        <v>0</v>
      </c>
      <c r="AF496" s="16">
        <f>G496*(1-0)</f>
        <v>0</v>
      </c>
      <c r="AM496" s="16">
        <f>F496*AE496</f>
        <v>0</v>
      </c>
      <c r="AN496" s="16">
        <f>F496*AF496</f>
        <v>0</v>
      </c>
      <c r="AO496" s="17" t="s">
        <v>1025</v>
      </c>
      <c r="AP496" s="17" t="s">
        <v>1035</v>
      </c>
      <c r="AQ496" s="11" t="s">
        <v>1042</v>
      </c>
    </row>
    <row r="497" spans="1:37" ht="12.75">
      <c r="A497" s="174"/>
      <c r="B497" s="175" t="s">
        <v>285</v>
      </c>
      <c r="C497" s="175" t="s">
        <v>93</v>
      </c>
      <c r="D497" s="176" t="s">
        <v>820</v>
      </c>
      <c r="E497" s="177"/>
      <c r="F497" s="177"/>
      <c r="G497" s="177"/>
      <c r="H497" s="178">
        <f>SUM(H498:H507)</f>
        <v>0</v>
      </c>
      <c r="I497" s="178">
        <f>SUM(I498:I507)</f>
        <v>0</v>
      </c>
      <c r="J497" s="178">
        <f>H497+I497</f>
        <v>0</v>
      </c>
      <c r="K497" s="179"/>
      <c r="L497" s="178">
        <f>SUM(L498:L507)</f>
        <v>0.17882040000000002</v>
      </c>
      <c r="M497" s="179"/>
      <c r="P497" s="18">
        <f>IF(Q497="PR",J497,SUM(O498:O507))</f>
        <v>0</v>
      </c>
      <c r="Q497" s="11" t="s">
        <v>992</v>
      </c>
      <c r="R497" s="18">
        <f>IF(Q497="HS",H497,0)</f>
        <v>0</v>
      </c>
      <c r="S497" s="18">
        <f>IF(Q497="HS",I497-P497,0)</f>
        <v>0</v>
      </c>
      <c r="T497" s="18">
        <f>IF(Q497="PS",H497,0)</f>
        <v>0</v>
      </c>
      <c r="U497" s="18">
        <f>IF(Q497="PS",I497-P497,0)</f>
        <v>0</v>
      </c>
      <c r="V497" s="18">
        <f>IF(Q497="MP",H497,0)</f>
        <v>0</v>
      </c>
      <c r="W497" s="18">
        <f>IF(Q497="MP",I497-P497,0)</f>
        <v>0</v>
      </c>
      <c r="X497" s="18">
        <f>IF(Q497="OM",H497,0)</f>
        <v>0</v>
      </c>
      <c r="Y497" s="11" t="s">
        <v>285</v>
      </c>
      <c r="AI497" s="18">
        <f>SUM(Z498:Z507)</f>
        <v>0</v>
      </c>
      <c r="AJ497" s="18">
        <f>SUM(AA498:AA507)</f>
        <v>0</v>
      </c>
      <c r="AK497" s="18">
        <f>SUM(AB498:AB507)</f>
        <v>0</v>
      </c>
    </row>
    <row r="498" spans="1:43" ht="12.75">
      <c r="A498" s="180" t="s">
        <v>229</v>
      </c>
      <c r="B498" s="180" t="s">
        <v>285</v>
      </c>
      <c r="C498" s="180" t="s">
        <v>505</v>
      </c>
      <c r="D498" s="180" t="s">
        <v>882</v>
      </c>
      <c r="E498" s="180" t="s">
        <v>954</v>
      </c>
      <c r="F498" s="181">
        <v>110</v>
      </c>
      <c r="G498" s="181"/>
      <c r="H498" s="181">
        <f>F498*AE498</f>
        <v>0</v>
      </c>
      <c r="I498" s="181">
        <f>J498-H498</f>
        <v>0</v>
      </c>
      <c r="J498" s="181">
        <f>F498*G498</f>
        <v>0</v>
      </c>
      <c r="K498" s="181">
        <v>0</v>
      </c>
      <c r="L498" s="181">
        <f>F498*K498</f>
        <v>0</v>
      </c>
      <c r="M498" s="182" t="s">
        <v>985</v>
      </c>
      <c r="N498" s="12" t="s">
        <v>7</v>
      </c>
      <c r="O498" s="6">
        <f>IF(N498="5",I498,0)</f>
        <v>0</v>
      </c>
      <c r="Z498" s="6">
        <f>IF(AD498=0,J498,0)</f>
        <v>0</v>
      </c>
      <c r="AA498" s="6">
        <f>IF(AD498=15,J498,0)</f>
        <v>0</v>
      </c>
      <c r="AB498" s="6">
        <f>IF(AD498=21,J498,0)</f>
        <v>0</v>
      </c>
      <c r="AD498" s="16">
        <v>21</v>
      </c>
      <c r="AE498" s="16">
        <f>G498*0</f>
        <v>0</v>
      </c>
      <c r="AF498" s="16">
        <f>G498*(1-0)</f>
        <v>0</v>
      </c>
      <c r="AM498" s="16">
        <f>F498*AE498</f>
        <v>0</v>
      </c>
      <c r="AN498" s="16">
        <f>F498*AF498</f>
        <v>0</v>
      </c>
      <c r="AO498" s="17" t="s">
        <v>1021</v>
      </c>
      <c r="AP498" s="17" t="s">
        <v>1037</v>
      </c>
      <c r="AQ498" s="11" t="s">
        <v>1042</v>
      </c>
    </row>
    <row r="499" spans="1:13" ht="12.75">
      <c r="A499" s="183"/>
      <c r="B499" s="183"/>
      <c r="C499" s="183"/>
      <c r="D499" s="184" t="s">
        <v>116</v>
      </c>
      <c r="E499" s="183"/>
      <c r="F499" s="185">
        <v>110</v>
      </c>
      <c r="G499" s="183"/>
      <c r="H499" s="183"/>
      <c r="I499" s="183"/>
      <c r="J499" s="183"/>
      <c r="K499" s="183"/>
      <c r="L499" s="183"/>
      <c r="M499" s="183"/>
    </row>
    <row r="500" spans="1:43" ht="12.75">
      <c r="A500" s="192" t="s">
        <v>230</v>
      </c>
      <c r="B500" s="192" t="s">
        <v>285</v>
      </c>
      <c r="C500" s="192" t="s">
        <v>355</v>
      </c>
      <c r="D500" s="192" t="s">
        <v>680</v>
      </c>
      <c r="E500" s="192" t="s">
        <v>954</v>
      </c>
      <c r="F500" s="193">
        <v>120.23</v>
      </c>
      <c r="G500" s="193"/>
      <c r="H500" s="193">
        <f>F500*AE500</f>
        <v>0</v>
      </c>
      <c r="I500" s="193">
        <f>J500-H500</f>
        <v>0</v>
      </c>
      <c r="J500" s="193">
        <f>F500*G500</f>
        <v>0</v>
      </c>
      <c r="K500" s="193">
        <v>0.00148</v>
      </c>
      <c r="L500" s="193">
        <f>F500*K500</f>
        <v>0.1779404</v>
      </c>
      <c r="M500" s="194" t="s">
        <v>985</v>
      </c>
      <c r="N500" s="13" t="s">
        <v>989</v>
      </c>
      <c r="O500" s="7">
        <f>IF(N500="5",I500,0)</f>
        <v>0</v>
      </c>
      <c r="Z500" s="7">
        <f>IF(AD500=0,J500,0)</f>
        <v>0</v>
      </c>
      <c r="AA500" s="7">
        <f>IF(AD500=15,J500,0)</f>
        <v>0</v>
      </c>
      <c r="AB500" s="7">
        <f>IF(AD500=21,J500,0)</f>
        <v>0</v>
      </c>
      <c r="AD500" s="16">
        <v>21</v>
      </c>
      <c r="AE500" s="16">
        <f>G500*1</f>
        <v>0</v>
      </c>
      <c r="AF500" s="16">
        <f>G500*(1-1)</f>
        <v>0</v>
      </c>
      <c r="AM500" s="16">
        <f>F500*AE500</f>
        <v>0</v>
      </c>
      <c r="AN500" s="16">
        <f>F500*AF500</f>
        <v>0</v>
      </c>
      <c r="AO500" s="17" t="s">
        <v>1021</v>
      </c>
      <c r="AP500" s="17" t="s">
        <v>1037</v>
      </c>
      <c r="AQ500" s="11" t="s">
        <v>1042</v>
      </c>
    </row>
    <row r="501" spans="1:13" ht="12.75">
      <c r="A501" s="183"/>
      <c r="B501" s="183"/>
      <c r="C501" s="183"/>
      <c r="D501" s="184" t="s">
        <v>116</v>
      </c>
      <c r="E501" s="183"/>
      <c r="F501" s="185">
        <v>110</v>
      </c>
      <c r="G501" s="183"/>
      <c r="H501" s="183"/>
      <c r="I501" s="183"/>
      <c r="J501" s="183"/>
      <c r="K501" s="183"/>
      <c r="L501" s="183"/>
      <c r="M501" s="183"/>
    </row>
    <row r="502" spans="1:13" ht="12.75">
      <c r="A502" s="183"/>
      <c r="B502" s="183"/>
      <c r="C502" s="183"/>
      <c r="D502" s="184" t="s">
        <v>883</v>
      </c>
      <c r="E502" s="183"/>
      <c r="F502" s="185">
        <v>10.23</v>
      </c>
      <c r="G502" s="183"/>
      <c r="H502" s="183"/>
      <c r="I502" s="183"/>
      <c r="J502" s="183"/>
      <c r="K502" s="183"/>
      <c r="L502" s="183"/>
      <c r="M502" s="183"/>
    </row>
    <row r="503" spans="1:43" ht="12.75">
      <c r="A503" s="180" t="s">
        <v>231</v>
      </c>
      <c r="B503" s="180" t="s">
        <v>285</v>
      </c>
      <c r="C503" s="180" t="s">
        <v>506</v>
      </c>
      <c r="D503" s="180" t="s">
        <v>884</v>
      </c>
      <c r="E503" s="180" t="s">
        <v>957</v>
      </c>
      <c r="F503" s="181">
        <v>6</v>
      </c>
      <c r="G503" s="181"/>
      <c r="H503" s="181">
        <f>F503*AE503</f>
        <v>0</v>
      </c>
      <c r="I503" s="181">
        <f>J503-H503</f>
        <v>0</v>
      </c>
      <c r="J503" s="181">
        <f>F503*G503</f>
        <v>0</v>
      </c>
      <c r="K503" s="181">
        <v>0</v>
      </c>
      <c r="L503" s="181">
        <f>F503*K503</f>
        <v>0</v>
      </c>
      <c r="M503" s="182" t="s">
        <v>985</v>
      </c>
      <c r="N503" s="12" t="s">
        <v>7</v>
      </c>
      <c r="O503" s="6">
        <f>IF(N503="5",I503,0)</f>
        <v>0</v>
      </c>
      <c r="Z503" s="6">
        <f>IF(AD503=0,J503,0)</f>
        <v>0</v>
      </c>
      <c r="AA503" s="6">
        <f>IF(AD503=15,J503,0)</f>
        <v>0</v>
      </c>
      <c r="AB503" s="6">
        <f>IF(AD503=21,J503,0)</f>
        <v>0</v>
      </c>
      <c r="AD503" s="16">
        <v>21</v>
      </c>
      <c r="AE503" s="16">
        <f>G503*0</f>
        <v>0</v>
      </c>
      <c r="AF503" s="16">
        <f>G503*(1-0)</f>
        <v>0</v>
      </c>
      <c r="AM503" s="16">
        <f>F503*AE503</f>
        <v>0</v>
      </c>
      <c r="AN503" s="16">
        <f>F503*AF503</f>
        <v>0</v>
      </c>
      <c r="AO503" s="17" t="s">
        <v>1021</v>
      </c>
      <c r="AP503" s="17" t="s">
        <v>1037</v>
      </c>
      <c r="AQ503" s="11" t="s">
        <v>1042</v>
      </c>
    </row>
    <row r="504" spans="1:13" ht="12.75">
      <c r="A504" s="183"/>
      <c r="B504" s="183"/>
      <c r="C504" s="183"/>
      <c r="D504" s="184" t="s">
        <v>12</v>
      </c>
      <c r="E504" s="183"/>
      <c r="F504" s="185">
        <v>6</v>
      </c>
      <c r="G504" s="183"/>
      <c r="H504" s="183"/>
      <c r="I504" s="183"/>
      <c r="J504" s="183"/>
      <c r="K504" s="183"/>
      <c r="L504" s="183"/>
      <c r="M504" s="183"/>
    </row>
    <row r="505" spans="1:43" ht="12.75">
      <c r="A505" s="192" t="s">
        <v>232</v>
      </c>
      <c r="B505" s="192" t="s">
        <v>285</v>
      </c>
      <c r="C505" s="192" t="s">
        <v>507</v>
      </c>
      <c r="D505" s="192" t="s">
        <v>885</v>
      </c>
      <c r="E505" s="192" t="s">
        <v>957</v>
      </c>
      <c r="F505" s="193">
        <v>2</v>
      </c>
      <c r="G505" s="193"/>
      <c r="H505" s="193">
        <f>F505*AE505</f>
        <v>0</v>
      </c>
      <c r="I505" s="193">
        <f>J505-H505</f>
        <v>0</v>
      </c>
      <c r="J505" s="193">
        <f>F505*G505</f>
        <v>0</v>
      </c>
      <c r="K505" s="193">
        <v>0.00027</v>
      </c>
      <c r="L505" s="193">
        <f>F505*K505</f>
        <v>0.00054</v>
      </c>
      <c r="M505" s="194" t="s">
        <v>985</v>
      </c>
      <c r="N505" s="13" t="s">
        <v>989</v>
      </c>
      <c r="O505" s="7">
        <f>IF(N505="5",I505,0)</f>
        <v>0</v>
      </c>
      <c r="Z505" s="7">
        <f>IF(AD505=0,J505,0)</f>
        <v>0</v>
      </c>
      <c r="AA505" s="7">
        <f>IF(AD505=15,J505,0)</f>
        <v>0</v>
      </c>
      <c r="AB505" s="7">
        <f>IF(AD505=21,J505,0)</f>
        <v>0</v>
      </c>
      <c r="AD505" s="16">
        <v>21</v>
      </c>
      <c r="AE505" s="16">
        <f>G505*1</f>
        <v>0</v>
      </c>
      <c r="AF505" s="16">
        <f>G505*(1-1)</f>
        <v>0</v>
      </c>
      <c r="AM505" s="16">
        <f>F505*AE505</f>
        <v>0</v>
      </c>
      <c r="AN505" s="16">
        <f>F505*AF505</f>
        <v>0</v>
      </c>
      <c r="AO505" s="17" t="s">
        <v>1021</v>
      </c>
      <c r="AP505" s="17" t="s">
        <v>1037</v>
      </c>
      <c r="AQ505" s="11" t="s">
        <v>1042</v>
      </c>
    </row>
    <row r="506" spans="1:13" ht="12.75">
      <c r="A506" s="183"/>
      <c r="B506" s="183"/>
      <c r="C506" s="183"/>
      <c r="D506" s="184" t="s">
        <v>8</v>
      </c>
      <c r="E506" s="183"/>
      <c r="F506" s="185">
        <v>2</v>
      </c>
      <c r="G506" s="183"/>
      <c r="H506" s="183"/>
      <c r="I506" s="183"/>
      <c r="J506" s="183"/>
      <c r="K506" s="183"/>
      <c r="L506" s="183"/>
      <c r="M506" s="183"/>
    </row>
    <row r="507" spans="1:43" ht="12.75">
      <c r="A507" s="192" t="s">
        <v>233</v>
      </c>
      <c r="B507" s="192" t="s">
        <v>285</v>
      </c>
      <c r="C507" s="192" t="s">
        <v>508</v>
      </c>
      <c r="D507" s="192" t="s">
        <v>886</v>
      </c>
      <c r="E507" s="192" t="s">
        <v>957</v>
      </c>
      <c r="F507" s="193">
        <v>1</v>
      </c>
      <c r="G507" s="193"/>
      <c r="H507" s="193">
        <f>F507*AE507</f>
        <v>0</v>
      </c>
      <c r="I507" s="193">
        <f>J507-H507</f>
        <v>0</v>
      </c>
      <c r="J507" s="193">
        <f>F507*G507</f>
        <v>0</v>
      </c>
      <c r="K507" s="193">
        <v>0.00034</v>
      </c>
      <c r="L507" s="193">
        <f>F507*K507</f>
        <v>0.00034</v>
      </c>
      <c r="M507" s="194" t="s">
        <v>985</v>
      </c>
      <c r="N507" s="13" t="s">
        <v>989</v>
      </c>
      <c r="O507" s="7">
        <f>IF(N507="5",I507,0)</f>
        <v>0</v>
      </c>
      <c r="Z507" s="7">
        <f>IF(AD507=0,J507,0)</f>
        <v>0</v>
      </c>
      <c r="AA507" s="7">
        <f>IF(AD507=15,J507,0)</f>
        <v>0</v>
      </c>
      <c r="AB507" s="7">
        <f>IF(AD507=21,J507,0)</f>
        <v>0</v>
      </c>
      <c r="AD507" s="16">
        <v>21</v>
      </c>
      <c r="AE507" s="16">
        <f>G507*1</f>
        <v>0</v>
      </c>
      <c r="AF507" s="16">
        <f>G507*(1-1)</f>
        <v>0</v>
      </c>
      <c r="AM507" s="16">
        <f>F507*AE507</f>
        <v>0</v>
      </c>
      <c r="AN507" s="16">
        <f>F507*AF507</f>
        <v>0</v>
      </c>
      <c r="AO507" s="17" t="s">
        <v>1021</v>
      </c>
      <c r="AP507" s="17" t="s">
        <v>1037</v>
      </c>
      <c r="AQ507" s="11" t="s">
        <v>1042</v>
      </c>
    </row>
    <row r="508" spans="1:13" ht="12.75">
      <c r="A508" s="183"/>
      <c r="B508" s="183"/>
      <c r="C508" s="183"/>
      <c r="D508" s="184" t="s">
        <v>7</v>
      </c>
      <c r="E508" s="183"/>
      <c r="F508" s="185">
        <v>1</v>
      </c>
      <c r="G508" s="183"/>
      <c r="H508" s="183"/>
      <c r="I508" s="183"/>
      <c r="J508" s="183"/>
      <c r="K508" s="183"/>
      <c r="L508" s="183"/>
      <c r="M508" s="183"/>
    </row>
    <row r="509" spans="1:37" ht="12.75">
      <c r="A509" s="174"/>
      <c r="B509" s="175" t="s">
        <v>285</v>
      </c>
      <c r="C509" s="175" t="s">
        <v>95</v>
      </c>
      <c r="D509" s="176" t="s">
        <v>828</v>
      </c>
      <c r="E509" s="177"/>
      <c r="F509" s="177"/>
      <c r="G509" s="177"/>
      <c r="H509" s="178">
        <f>SUM(H510:H527)</f>
        <v>0</v>
      </c>
      <c r="I509" s="178">
        <f>SUM(I510:I527)</f>
        <v>0</v>
      </c>
      <c r="J509" s="178">
        <f>H509+I509</f>
        <v>0</v>
      </c>
      <c r="K509" s="179"/>
      <c r="L509" s="178">
        <f>SUM(L510:L527)</f>
        <v>98.46289</v>
      </c>
      <c r="M509" s="179"/>
      <c r="P509" s="18">
        <f>IF(Q509="PR",J509,SUM(O510:O527))</f>
        <v>0</v>
      </c>
      <c r="Q509" s="11" t="s">
        <v>992</v>
      </c>
      <c r="R509" s="18">
        <f>IF(Q509="HS",H509,0)</f>
        <v>0</v>
      </c>
      <c r="S509" s="18">
        <f>IF(Q509="HS",I509-P509,0)</f>
        <v>0</v>
      </c>
      <c r="T509" s="18">
        <f>IF(Q509="PS",H509,0)</f>
        <v>0</v>
      </c>
      <c r="U509" s="18">
        <f>IF(Q509="PS",I509-P509,0)</f>
        <v>0</v>
      </c>
      <c r="V509" s="18">
        <f>IF(Q509="MP",H509,0)</f>
        <v>0</v>
      </c>
      <c r="W509" s="18">
        <f>IF(Q509="MP",I509-P509,0)</f>
        <v>0</v>
      </c>
      <c r="X509" s="18">
        <f>IF(Q509="OM",H509,0)</f>
        <v>0</v>
      </c>
      <c r="Y509" s="11" t="s">
        <v>285</v>
      </c>
      <c r="AI509" s="18">
        <f>SUM(Z510:Z527)</f>
        <v>0</v>
      </c>
      <c r="AJ509" s="18">
        <f>SUM(AA510:AA527)</f>
        <v>0</v>
      </c>
      <c r="AK509" s="18">
        <f>SUM(AB510:AB527)</f>
        <v>0</v>
      </c>
    </row>
    <row r="510" spans="1:43" ht="12.75">
      <c r="A510" s="180" t="s">
        <v>234</v>
      </c>
      <c r="B510" s="180" t="s">
        <v>285</v>
      </c>
      <c r="C510" s="180" t="s">
        <v>509</v>
      </c>
      <c r="D510" s="180" t="s">
        <v>887</v>
      </c>
      <c r="E510" s="180" t="s">
        <v>964</v>
      </c>
      <c r="F510" s="181">
        <v>75</v>
      </c>
      <c r="G510" s="181"/>
      <c r="H510" s="181">
        <f>F510*AE510</f>
        <v>0</v>
      </c>
      <c r="I510" s="181">
        <f>J510-H510</f>
        <v>0</v>
      </c>
      <c r="J510" s="181">
        <f>F510*G510</f>
        <v>0</v>
      </c>
      <c r="K510" s="181">
        <v>1.31145</v>
      </c>
      <c r="L510" s="181">
        <f>F510*K510</f>
        <v>98.35875</v>
      </c>
      <c r="M510" s="182" t="s">
        <v>985</v>
      </c>
      <c r="N510" s="12" t="s">
        <v>9</v>
      </c>
      <c r="O510" s="6">
        <f>IF(N510="5",I510,0)</f>
        <v>0</v>
      </c>
      <c r="Z510" s="6">
        <f>IF(AD510=0,J510,0)</f>
        <v>0</v>
      </c>
      <c r="AA510" s="6">
        <f>IF(AD510=15,J510,0)</f>
        <v>0</v>
      </c>
      <c r="AB510" s="6">
        <f>IF(AD510=21,J510,0)</f>
        <v>0</v>
      </c>
      <c r="AD510" s="16">
        <v>21</v>
      </c>
      <c r="AE510" s="16">
        <f>G510*0.445944783988939</f>
        <v>0</v>
      </c>
      <c r="AF510" s="16">
        <f>G510*(1-0.445944783988939)</f>
        <v>0</v>
      </c>
      <c r="AM510" s="16">
        <f>F510*AE510</f>
        <v>0</v>
      </c>
      <c r="AN510" s="16">
        <f>F510*AF510</f>
        <v>0</v>
      </c>
      <c r="AO510" s="17" t="s">
        <v>1022</v>
      </c>
      <c r="AP510" s="17" t="s">
        <v>1037</v>
      </c>
      <c r="AQ510" s="11" t="s">
        <v>1042</v>
      </c>
    </row>
    <row r="511" spans="1:13" ht="12.75">
      <c r="A511" s="183"/>
      <c r="B511" s="183"/>
      <c r="C511" s="183"/>
      <c r="D511" s="184" t="s">
        <v>81</v>
      </c>
      <c r="E511" s="183"/>
      <c r="F511" s="185">
        <v>75</v>
      </c>
      <c r="G511" s="183"/>
      <c r="H511" s="183"/>
      <c r="I511" s="183"/>
      <c r="J511" s="183"/>
      <c r="K511" s="183"/>
      <c r="L511" s="183"/>
      <c r="M511" s="183"/>
    </row>
    <row r="512" spans="1:43" ht="12.75">
      <c r="A512" s="180" t="s">
        <v>235</v>
      </c>
      <c r="B512" s="180" t="s">
        <v>285</v>
      </c>
      <c r="C512" s="180" t="s">
        <v>510</v>
      </c>
      <c r="D512" s="180" t="s">
        <v>888</v>
      </c>
      <c r="E512" s="180" t="s">
        <v>954</v>
      </c>
      <c r="F512" s="181">
        <v>110</v>
      </c>
      <c r="G512" s="181"/>
      <c r="H512" s="181">
        <f>F512*AE512</f>
        <v>0</v>
      </c>
      <c r="I512" s="181">
        <f>J512-H512</f>
        <v>0</v>
      </c>
      <c r="J512" s="181">
        <f>F512*G512</f>
        <v>0</v>
      </c>
      <c r="K512" s="181">
        <v>0</v>
      </c>
      <c r="L512" s="181">
        <f>F512*K512</f>
        <v>0</v>
      </c>
      <c r="M512" s="182" t="s">
        <v>985</v>
      </c>
      <c r="N512" s="12" t="s">
        <v>7</v>
      </c>
      <c r="O512" s="6">
        <f>IF(N512="5",I512,0)</f>
        <v>0</v>
      </c>
      <c r="Z512" s="6">
        <f>IF(AD512=0,J512,0)</f>
        <v>0</v>
      </c>
      <c r="AA512" s="6">
        <f>IF(AD512=15,J512,0)</f>
        <v>0</v>
      </c>
      <c r="AB512" s="6">
        <f>IF(AD512=21,J512,0)</f>
        <v>0</v>
      </c>
      <c r="AD512" s="16">
        <v>21</v>
      </c>
      <c r="AE512" s="16">
        <f>G512*0.00782438600304282</f>
        <v>0</v>
      </c>
      <c r="AF512" s="16">
        <f>G512*(1-0.00782438600304282)</f>
        <v>0</v>
      </c>
      <c r="AM512" s="16">
        <f>F512*AE512</f>
        <v>0</v>
      </c>
      <c r="AN512" s="16">
        <f>F512*AF512</f>
        <v>0</v>
      </c>
      <c r="AO512" s="17" t="s">
        <v>1022</v>
      </c>
      <c r="AP512" s="17" t="s">
        <v>1037</v>
      </c>
      <c r="AQ512" s="11" t="s">
        <v>1042</v>
      </c>
    </row>
    <row r="513" spans="1:13" ht="12.75">
      <c r="A513" s="183"/>
      <c r="B513" s="183"/>
      <c r="C513" s="183"/>
      <c r="D513" s="184" t="s">
        <v>116</v>
      </c>
      <c r="E513" s="183"/>
      <c r="F513" s="185">
        <v>110</v>
      </c>
      <c r="G513" s="183"/>
      <c r="H513" s="183"/>
      <c r="I513" s="183"/>
      <c r="J513" s="183"/>
      <c r="K513" s="183"/>
      <c r="L513" s="183"/>
      <c r="M513" s="183"/>
    </row>
    <row r="514" spans="1:43" ht="12.75">
      <c r="A514" s="180" t="s">
        <v>236</v>
      </c>
      <c r="B514" s="180" t="s">
        <v>285</v>
      </c>
      <c r="C514" s="180" t="s">
        <v>511</v>
      </c>
      <c r="D514" s="180" t="s">
        <v>889</v>
      </c>
      <c r="E514" s="180" t="s">
        <v>954</v>
      </c>
      <c r="F514" s="181">
        <v>110</v>
      </c>
      <c r="G514" s="181"/>
      <c r="H514" s="181">
        <f>F514*AE514</f>
        <v>0</v>
      </c>
      <c r="I514" s="181">
        <f>J514-H514</f>
        <v>0</v>
      </c>
      <c r="J514" s="181">
        <f>F514*G514</f>
        <v>0</v>
      </c>
      <c r="K514" s="181">
        <v>0</v>
      </c>
      <c r="L514" s="181">
        <f>F514*K514</f>
        <v>0</v>
      </c>
      <c r="M514" s="182" t="s">
        <v>985</v>
      </c>
      <c r="N514" s="12" t="s">
        <v>7</v>
      </c>
      <c r="O514" s="6">
        <f>IF(N514="5",I514,0)</f>
        <v>0</v>
      </c>
      <c r="Z514" s="6">
        <f>IF(AD514=0,J514,0)</f>
        <v>0</v>
      </c>
      <c r="AA514" s="6">
        <f>IF(AD514=15,J514,0)</f>
        <v>0</v>
      </c>
      <c r="AB514" s="6">
        <f>IF(AD514=21,J514,0)</f>
        <v>0</v>
      </c>
      <c r="AD514" s="16">
        <v>21</v>
      </c>
      <c r="AE514" s="16">
        <f>G514*0.0337986774430566</f>
        <v>0</v>
      </c>
      <c r="AF514" s="16">
        <f>G514*(1-0.0337986774430566)</f>
        <v>0</v>
      </c>
      <c r="AM514" s="16">
        <f>F514*AE514</f>
        <v>0</v>
      </c>
      <c r="AN514" s="16">
        <f>F514*AF514</f>
        <v>0</v>
      </c>
      <c r="AO514" s="17" t="s">
        <v>1022</v>
      </c>
      <c r="AP514" s="17" t="s">
        <v>1037</v>
      </c>
      <c r="AQ514" s="11" t="s">
        <v>1042</v>
      </c>
    </row>
    <row r="515" spans="1:13" ht="12.75">
      <c r="A515" s="183"/>
      <c r="B515" s="183"/>
      <c r="C515" s="183"/>
      <c r="D515" s="184" t="s">
        <v>116</v>
      </c>
      <c r="E515" s="183"/>
      <c r="F515" s="185">
        <v>110</v>
      </c>
      <c r="G515" s="183"/>
      <c r="H515" s="183"/>
      <c r="I515" s="183"/>
      <c r="J515" s="183"/>
      <c r="K515" s="183"/>
      <c r="L515" s="183"/>
      <c r="M515" s="183"/>
    </row>
    <row r="516" spans="1:43" ht="12.75">
      <c r="A516" s="180" t="s">
        <v>237</v>
      </c>
      <c r="B516" s="180" t="s">
        <v>285</v>
      </c>
      <c r="C516" s="180" t="s">
        <v>512</v>
      </c>
      <c r="D516" s="180" t="s">
        <v>890</v>
      </c>
      <c r="E516" s="180" t="s">
        <v>954</v>
      </c>
      <c r="F516" s="181">
        <v>110</v>
      </c>
      <c r="G516" s="181"/>
      <c r="H516" s="181">
        <f>F516*AE516</f>
        <v>0</v>
      </c>
      <c r="I516" s="181">
        <f>J516-H516</f>
        <v>0</v>
      </c>
      <c r="J516" s="181">
        <f>F516*G516</f>
        <v>0</v>
      </c>
      <c r="K516" s="181">
        <v>0</v>
      </c>
      <c r="L516" s="181">
        <f>F516*K516</f>
        <v>0</v>
      </c>
      <c r="M516" s="182" t="s">
        <v>985</v>
      </c>
      <c r="N516" s="12" t="s">
        <v>7</v>
      </c>
      <c r="O516" s="6">
        <f>IF(N516="5",I516,0)</f>
        <v>0</v>
      </c>
      <c r="Z516" s="6">
        <f>IF(AD516=0,J516,0)</f>
        <v>0</v>
      </c>
      <c r="AA516" s="6">
        <f>IF(AD516=15,J516,0)</f>
        <v>0</v>
      </c>
      <c r="AB516" s="6">
        <f>IF(AD516=21,J516,0)</f>
        <v>0</v>
      </c>
      <c r="AD516" s="16">
        <v>21</v>
      </c>
      <c r="AE516" s="16">
        <f>G516*0.354838709677419</f>
        <v>0</v>
      </c>
      <c r="AF516" s="16">
        <f>G516*(1-0.354838709677419)</f>
        <v>0</v>
      </c>
      <c r="AM516" s="16">
        <f>F516*AE516</f>
        <v>0</v>
      </c>
      <c r="AN516" s="16">
        <f>F516*AF516</f>
        <v>0</v>
      </c>
      <c r="AO516" s="17" t="s">
        <v>1022</v>
      </c>
      <c r="AP516" s="17" t="s">
        <v>1037</v>
      </c>
      <c r="AQ516" s="11" t="s">
        <v>1042</v>
      </c>
    </row>
    <row r="517" spans="1:13" ht="12.75">
      <c r="A517" s="183"/>
      <c r="B517" s="183"/>
      <c r="C517" s="183"/>
      <c r="D517" s="184" t="s">
        <v>116</v>
      </c>
      <c r="E517" s="183"/>
      <c r="F517" s="185">
        <v>110</v>
      </c>
      <c r="G517" s="183"/>
      <c r="H517" s="183"/>
      <c r="I517" s="183"/>
      <c r="J517" s="183"/>
      <c r="K517" s="183"/>
      <c r="L517" s="183"/>
      <c r="M517" s="183"/>
    </row>
    <row r="518" spans="1:43" ht="12.75">
      <c r="A518" s="180" t="s">
        <v>238</v>
      </c>
      <c r="B518" s="180" t="s">
        <v>285</v>
      </c>
      <c r="C518" s="180" t="s">
        <v>513</v>
      </c>
      <c r="D518" s="180" t="s">
        <v>891</v>
      </c>
      <c r="E518" s="180" t="s">
        <v>957</v>
      </c>
      <c r="F518" s="181">
        <v>1</v>
      </c>
      <c r="G518" s="181"/>
      <c r="H518" s="181">
        <f>F518*AE518</f>
        <v>0</v>
      </c>
      <c r="I518" s="181">
        <f>J518-H518</f>
        <v>0</v>
      </c>
      <c r="J518" s="181">
        <f>F518*G518</f>
        <v>0</v>
      </c>
      <c r="K518" s="181">
        <v>0.1</v>
      </c>
      <c r="L518" s="181">
        <f>F518*K518</f>
        <v>0.1</v>
      </c>
      <c r="M518" s="182" t="s">
        <v>985</v>
      </c>
      <c r="N518" s="12" t="s">
        <v>7</v>
      </c>
      <c r="O518" s="6">
        <f>IF(N518="5",I518,0)</f>
        <v>0</v>
      </c>
      <c r="Z518" s="6">
        <f>IF(AD518=0,J518,0)</f>
        <v>0</v>
      </c>
      <c r="AA518" s="6">
        <f>IF(AD518=15,J518,0)</f>
        <v>0</v>
      </c>
      <c r="AB518" s="6">
        <f>IF(AD518=21,J518,0)</f>
        <v>0</v>
      </c>
      <c r="AD518" s="16">
        <v>21</v>
      </c>
      <c r="AE518" s="16">
        <f>G518*0.432985781990521</f>
        <v>0</v>
      </c>
      <c r="AF518" s="16">
        <f>G518*(1-0.432985781990521)</f>
        <v>0</v>
      </c>
      <c r="AM518" s="16">
        <f>F518*AE518</f>
        <v>0</v>
      </c>
      <c r="AN518" s="16">
        <f>F518*AF518</f>
        <v>0</v>
      </c>
      <c r="AO518" s="17" t="s">
        <v>1022</v>
      </c>
      <c r="AP518" s="17" t="s">
        <v>1037</v>
      </c>
      <c r="AQ518" s="11" t="s">
        <v>1042</v>
      </c>
    </row>
    <row r="519" spans="1:13" ht="12.75">
      <c r="A519" s="183"/>
      <c r="B519" s="183"/>
      <c r="C519" s="183"/>
      <c r="D519" s="184" t="s">
        <v>7</v>
      </c>
      <c r="E519" s="183"/>
      <c r="F519" s="185">
        <v>1</v>
      </c>
      <c r="G519" s="183"/>
      <c r="H519" s="183"/>
      <c r="I519" s="183"/>
      <c r="J519" s="183"/>
      <c r="K519" s="183"/>
      <c r="L519" s="183"/>
      <c r="M519" s="183"/>
    </row>
    <row r="520" spans="1:43" ht="12.75">
      <c r="A520" s="192" t="s">
        <v>239</v>
      </c>
      <c r="B520" s="192" t="s">
        <v>285</v>
      </c>
      <c r="C520" s="192" t="s">
        <v>514</v>
      </c>
      <c r="D520" s="192" t="s">
        <v>892</v>
      </c>
      <c r="E520" s="192" t="s">
        <v>957</v>
      </c>
      <c r="F520" s="193">
        <v>1</v>
      </c>
      <c r="G520" s="193"/>
      <c r="H520" s="193">
        <f>F520*AE520</f>
        <v>0</v>
      </c>
      <c r="I520" s="193">
        <f>J520-H520</f>
        <v>0</v>
      </c>
      <c r="J520" s="193">
        <f>F520*G520</f>
        <v>0</v>
      </c>
      <c r="K520" s="193">
        <v>0.0035</v>
      </c>
      <c r="L520" s="193">
        <f>F520*K520</f>
        <v>0.0035</v>
      </c>
      <c r="M520" s="194" t="s">
        <v>985</v>
      </c>
      <c r="N520" s="13" t="s">
        <v>989</v>
      </c>
      <c r="O520" s="7">
        <f>IF(N520="5",I520,0)</f>
        <v>0</v>
      </c>
      <c r="Z520" s="7">
        <f>IF(AD520=0,J520,0)</f>
        <v>0</v>
      </c>
      <c r="AA520" s="7">
        <f>IF(AD520=15,J520,0)</f>
        <v>0</v>
      </c>
      <c r="AB520" s="7">
        <f>IF(AD520=21,J520,0)</f>
        <v>0</v>
      </c>
      <c r="AD520" s="16">
        <v>21</v>
      </c>
      <c r="AE520" s="16">
        <f>G520*1</f>
        <v>0</v>
      </c>
      <c r="AF520" s="16">
        <f>G520*(1-1)</f>
        <v>0</v>
      </c>
      <c r="AM520" s="16">
        <f>F520*AE520</f>
        <v>0</v>
      </c>
      <c r="AN520" s="16">
        <f>F520*AF520</f>
        <v>0</v>
      </c>
      <c r="AO520" s="17" t="s">
        <v>1022</v>
      </c>
      <c r="AP520" s="17" t="s">
        <v>1037</v>
      </c>
      <c r="AQ520" s="11" t="s">
        <v>1042</v>
      </c>
    </row>
    <row r="521" spans="1:13" ht="12.75">
      <c r="A521" s="183"/>
      <c r="B521" s="183"/>
      <c r="C521" s="183"/>
      <c r="D521" s="184" t="s">
        <v>7</v>
      </c>
      <c r="E521" s="183"/>
      <c r="F521" s="185">
        <v>1</v>
      </c>
      <c r="G521" s="183"/>
      <c r="H521" s="183"/>
      <c r="I521" s="183"/>
      <c r="J521" s="183"/>
      <c r="K521" s="183"/>
      <c r="L521" s="183"/>
      <c r="M521" s="183"/>
    </row>
    <row r="522" spans="1:43" ht="12.75">
      <c r="A522" s="180" t="s">
        <v>240</v>
      </c>
      <c r="B522" s="180" t="s">
        <v>285</v>
      </c>
      <c r="C522" s="180" t="s">
        <v>515</v>
      </c>
      <c r="D522" s="180" t="s">
        <v>893</v>
      </c>
      <c r="E522" s="180" t="s">
        <v>957</v>
      </c>
      <c r="F522" s="181">
        <v>1</v>
      </c>
      <c r="G522" s="181"/>
      <c r="H522" s="181">
        <f>F522*AE522</f>
        <v>0</v>
      </c>
      <c r="I522" s="181">
        <f>J522-H522</f>
        <v>0</v>
      </c>
      <c r="J522" s="181">
        <f>F522*G522</f>
        <v>0</v>
      </c>
      <c r="K522" s="181">
        <v>0.00024</v>
      </c>
      <c r="L522" s="181">
        <f>F522*K522</f>
        <v>0.00024</v>
      </c>
      <c r="M522" s="182" t="s">
        <v>985</v>
      </c>
      <c r="N522" s="12" t="s">
        <v>7</v>
      </c>
      <c r="O522" s="6">
        <f>IF(N522="5",I522,0)</f>
        <v>0</v>
      </c>
      <c r="Z522" s="6">
        <f>IF(AD522=0,J522,0)</f>
        <v>0</v>
      </c>
      <c r="AA522" s="6">
        <f>IF(AD522=15,J522,0)</f>
        <v>0</v>
      </c>
      <c r="AB522" s="6">
        <f>IF(AD522=21,J522,0)</f>
        <v>0</v>
      </c>
      <c r="AD522" s="16">
        <v>21</v>
      </c>
      <c r="AE522" s="16">
        <f>G522*0.451141178078447</f>
        <v>0</v>
      </c>
      <c r="AF522" s="16">
        <f>G522*(1-0.451141178078447)</f>
        <v>0</v>
      </c>
      <c r="AM522" s="16">
        <f>F522*AE522</f>
        <v>0</v>
      </c>
      <c r="AN522" s="16">
        <f>F522*AF522</f>
        <v>0</v>
      </c>
      <c r="AO522" s="17" t="s">
        <v>1022</v>
      </c>
      <c r="AP522" s="17" t="s">
        <v>1037</v>
      </c>
      <c r="AQ522" s="11" t="s">
        <v>1042</v>
      </c>
    </row>
    <row r="523" spans="1:13" ht="12.75">
      <c r="A523" s="183"/>
      <c r="B523" s="183"/>
      <c r="C523" s="183"/>
      <c r="D523" s="184" t="s">
        <v>7</v>
      </c>
      <c r="E523" s="183"/>
      <c r="F523" s="185">
        <v>1</v>
      </c>
      <c r="G523" s="183"/>
      <c r="H523" s="183"/>
      <c r="I523" s="183"/>
      <c r="J523" s="183"/>
      <c r="K523" s="183"/>
      <c r="L523" s="183"/>
      <c r="M523" s="183"/>
    </row>
    <row r="524" spans="1:43" ht="12.75">
      <c r="A524" s="192" t="s">
        <v>241</v>
      </c>
      <c r="B524" s="192" t="s">
        <v>285</v>
      </c>
      <c r="C524" s="192" t="s">
        <v>516</v>
      </c>
      <c r="D524" s="192" t="s">
        <v>894</v>
      </c>
      <c r="E524" s="192" t="s">
        <v>957</v>
      </c>
      <c r="F524" s="193">
        <v>1</v>
      </c>
      <c r="G524" s="193"/>
      <c r="H524" s="193">
        <f>F524*AE524</f>
        <v>0</v>
      </c>
      <c r="I524" s="193">
        <f>J524-H524</f>
        <v>0</v>
      </c>
      <c r="J524" s="193">
        <f>F524*G524</f>
        <v>0</v>
      </c>
      <c r="K524" s="193">
        <v>0.0004</v>
      </c>
      <c r="L524" s="193">
        <f>F524*K524</f>
        <v>0.0004</v>
      </c>
      <c r="M524" s="194" t="s">
        <v>985</v>
      </c>
      <c r="N524" s="13" t="s">
        <v>989</v>
      </c>
      <c r="O524" s="7">
        <f>IF(N524="5",I524,0)</f>
        <v>0</v>
      </c>
      <c r="Z524" s="7">
        <f>IF(AD524=0,J524,0)</f>
        <v>0</v>
      </c>
      <c r="AA524" s="7">
        <f>IF(AD524=15,J524,0)</f>
        <v>0</v>
      </c>
      <c r="AB524" s="7">
        <f>IF(AD524=21,J524,0)</f>
        <v>0</v>
      </c>
      <c r="AD524" s="16">
        <v>21</v>
      </c>
      <c r="AE524" s="16">
        <f>G524*1</f>
        <v>0</v>
      </c>
      <c r="AF524" s="16">
        <f>G524*(1-1)</f>
        <v>0</v>
      </c>
      <c r="AM524" s="16">
        <f>F524*AE524</f>
        <v>0</v>
      </c>
      <c r="AN524" s="16">
        <f>F524*AF524</f>
        <v>0</v>
      </c>
      <c r="AO524" s="17" t="s">
        <v>1022</v>
      </c>
      <c r="AP524" s="17" t="s">
        <v>1037</v>
      </c>
      <c r="AQ524" s="11" t="s">
        <v>1042</v>
      </c>
    </row>
    <row r="525" spans="1:13" ht="12.75">
      <c r="A525" s="183"/>
      <c r="B525" s="183"/>
      <c r="C525" s="183"/>
      <c r="D525" s="184" t="s">
        <v>7</v>
      </c>
      <c r="E525" s="183"/>
      <c r="F525" s="185">
        <v>1</v>
      </c>
      <c r="G525" s="183"/>
      <c r="H525" s="183"/>
      <c r="I525" s="183"/>
      <c r="J525" s="183"/>
      <c r="K525" s="183"/>
      <c r="L525" s="183"/>
      <c r="M525" s="183"/>
    </row>
    <row r="526" spans="1:13" ht="12.75">
      <c r="A526" s="183"/>
      <c r="B526" s="183"/>
      <c r="C526" s="195" t="s">
        <v>279</v>
      </c>
      <c r="D526" s="196"/>
      <c r="E526" s="197"/>
      <c r="F526" s="197"/>
      <c r="G526" s="197"/>
      <c r="H526" s="197"/>
      <c r="I526" s="197"/>
      <c r="J526" s="197"/>
      <c r="K526" s="197"/>
      <c r="L526" s="197"/>
      <c r="M526" s="197"/>
    </row>
    <row r="527" spans="1:43" ht="12.75">
      <c r="A527" s="180" t="s">
        <v>242</v>
      </c>
      <c r="B527" s="180" t="s">
        <v>285</v>
      </c>
      <c r="C527" s="180" t="s">
        <v>468</v>
      </c>
      <c r="D527" s="180" t="s">
        <v>830</v>
      </c>
      <c r="E527" s="180" t="s">
        <v>955</v>
      </c>
      <c r="F527" s="181">
        <v>101.15337</v>
      </c>
      <c r="G527" s="181"/>
      <c r="H527" s="181">
        <f>F527*AE527</f>
        <v>0</v>
      </c>
      <c r="I527" s="181">
        <f>J527-H527</f>
        <v>0</v>
      </c>
      <c r="J527" s="181">
        <f>F527*G527</f>
        <v>0</v>
      </c>
      <c r="K527" s="181">
        <v>0</v>
      </c>
      <c r="L527" s="181">
        <f>F527*K527</f>
        <v>0</v>
      </c>
      <c r="M527" s="182" t="s">
        <v>985</v>
      </c>
      <c r="N527" s="12" t="s">
        <v>11</v>
      </c>
      <c r="O527" s="6">
        <f>IF(N527="5",I527,0)</f>
        <v>0</v>
      </c>
      <c r="Z527" s="6">
        <f>IF(AD527=0,J527,0)</f>
        <v>0</v>
      </c>
      <c r="AA527" s="6">
        <f>IF(AD527=15,J527,0)</f>
        <v>0</v>
      </c>
      <c r="AB527" s="6">
        <f>IF(AD527=21,J527,0)</f>
        <v>0</v>
      </c>
      <c r="AD527" s="16">
        <v>21</v>
      </c>
      <c r="AE527" s="16">
        <f>G527*0</f>
        <v>0</v>
      </c>
      <c r="AF527" s="16">
        <f>G527*(1-0)</f>
        <v>0</v>
      </c>
      <c r="AM527" s="16">
        <f>F527*AE527</f>
        <v>0</v>
      </c>
      <c r="AN527" s="16">
        <f>F527*AF527</f>
        <v>0</v>
      </c>
      <c r="AO527" s="17" t="s">
        <v>1022</v>
      </c>
      <c r="AP527" s="17" t="s">
        <v>1037</v>
      </c>
      <c r="AQ527" s="11" t="s">
        <v>1042</v>
      </c>
    </row>
    <row r="528" spans="1:37" ht="12.75">
      <c r="A528" s="174"/>
      <c r="B528" s="175" t="s">
        <v>285</v>
      </c>
      <c r="C528" s="175" t="s">
        <v>517</v>
      </c>
      <c r="D528" s="176" t="s">
        <v>895</v>
      </c>
      <c r="E528" s="177"/>
      <c r="F528" s="177"/>
      <c r="G528" s="177"/>
      <c r="H528" s="178">
        <f>SUM(H529:H531)</f>
        <v>0</v>
      </c>
      <c r="I528" s="178">
        <f>SUM(I529:I531)</f>
        <v>0</v>
      </c>
      <c r="J528" s="178">
        <f>H528+I528</f>
        <v>0</v>
      </c>
      <c r="K528" s="179"/>
      <c r="L528" s="178">
        <f>SUM(L529:L531)</f>
        <v>0</v>
      </c>
      <c r="M528" s="179"/>
      <c r="P528" s="18">
        <f>IF(Q528="PR",J528,SUM(O529:O531))</f>
        <v>0</v>
      </c>
      <c r="Q528" s="11" t="s">
        <v>994</v>
      </c>
      <c r="R528" s="18">
        <f>IF(Q528="HS",H528,0)</f>
        <v>0</v>
      </c>
      <c r="S528" s="18">
        <f>IF(Q528="HS",I528-P528,0)</f>
        <v>0</v>
      </c>
      <c r="T528" s="18">
        <f>IF(Q528="PS",H528,0)</f>
        <v>0</v>
      </c>
      <c r="U528" s="18">
        <f>IF(Q528="PS",I528-P528,0)</f>
        <v>0</v>
      </c>
      <c r="V528" s="18">
        <f>IF(Q528="MP",H528,0)</f>
        <v>0</v>
      </c>
      <c r="W528" s="18">
        <f>IF(Q528="MP",I528-P528,0)</f>
        <v>0</v>
      </c>
      <c r="X528" s="18">
        <f>IF(Q528="OM",H528,0)</f>
        <v>0</v>
      </c>
      <c r="Y528" s="11" t="s">
        <v>285</v>
      </c>
      <c r="AI528" s="18">
        <f>SUM(Z529:Z531)</f>
        <v>0</v>
      </c>
      <c r="AJ528" s="18">
        <f>SUM(AA529:AA531)</f>
        <v>0</v>
      </c>
      <c r="AK528" s="18">
        <f>SUM(AB529:AB531)</f>
        <v>0</v>
      </c>
    </row>
    <row r="529" spans="1:43" ht="12.75">
      <c r="A529" s="180" t="s">
        <v>243</v>
      </c>
      <c r="B529" s="180" t="s">
        <v>285</v>
      </c>
      <c r="C529" s="180" t="s">
        <v>518</v>
      </c>
      <c r="D529" s="180" t="s">
        <v>896</v>
      </c>
      <c r="E529" s="180" t="s">
        <v>957</v>
      </c>
      <c r="F529" s="181">
        <v>1</v>
      </c>
      <c r="G529" s="181"/>
      <c r="H529" s="181">
        <f>F529*AE529</f>
        <v>0</v>
      </c>
      <c r="I529" s="181">
        <f>J529-H529</f>
        <v>0</v>
      </c>
      <c r="J529" s="181">
        <f>F529*G529</f>
        <v>0</v>
      </c>
      <c r="K529" s="181">
        <v>0</v>
      </c>
      <c r="L529" s="181">
        <f>F529*K529</f>
        <v>0</v>
      </c>
      <c r="M529" s="182" t="s">
        <v>985</v>
      </c>
      <c r="N529" s="12" t="s">
        <v>8</v>
      </c>
      <c r="O529" s="6">
        <f>IF(N529="5",I529,0)</f>
        <v>0</v>
      </c>
      <c r="Z529" s="6">
        <f>IF(AD529=0,J529,0)</f>
        <v>0</v>
      </c>
      <c r="AA529" s="6">
        <f>IF(AD529=15,J529,0)</f>
        <v>0</v>
      </c>
      <c r="AB529" s="6">
        <f>IF(AD529=21,J529,0)</f>
        <v>0</v>
      </c>
      <c r="AD529" s="16">
        <v>21</v>
      </c>
      <c r="AE529" s="16">
        <f>G529*0.9</f>
        <v>0</v>
      </c>
      <c r="AF529" s="16">
        <f>G529*(1-0.9)</f>
        <v>0</v>
      </c>
      <c r="AM529" s="16">
        <f>F529*AE529</f>
        <v>0</v>
      </c>
      <c r="AN529" s="16">
        <f>F529*AF529</f>
        <v>0</v>
      </c>
      <c r="AO529" s="17" t="s">
        <v>1026</v>
      </c>
      <c r="AP529" s="17" t="s">
        <v>1036</v>
      </c>
      <c r="AQ529" s="11" t="s">
        <v>1042</v>
      </c>
    </row>
    <row r="530" spans="1:13" ht="12.75">
      <c r="A530" s="183"/>
      <c r="B530" s="183"/>
      <c r="C530" s="183"/>
      <c r="D530" s="184" t="s">
        <v>7</v>
      </c>
      <c r="E530" s="183"/>
      <c r="F530" s="185">
        <v>1</v>
      </c>
      <c r="G530" s="183"/>
      <c r="H530" s="183"/>
      <c r="I530" s="183"/>
      <c r="J530" s="183"/>
      <c r="K530" s="183"/>
      <c r="L530" s="183"/>
      <c r="M530" s="183"/>
    </row>
    <row r="531" spans="1:43" ht="12.75">
      <c r="A531" s="192" t="s">
        <v>244</v>
      </c>
      <c r="B531" s="192" t="s">
        <v>285</v>
      </c>
      <c r="C531" s="192" t="s">
        <v>519</v>
      </c>
      <c r="D531" s="192" t="s">
        <v>897</v>
      </c>
      <c r="E531" s="192" t="s">
        <v>957</v>
      </c>
      <c r="F531" s="193">
        <v>1</v>
      </c>
      <c r="G531" s="193"/>
      <c r="H531" s="193">
        <f>F531*AE531</f>
        <v>0</v>
      </c>
      <c r="I531" s="193">
        <f>J531-H531</f>
        <v>0</v>
      </c>
      <c r="J531" s="193">
        <f>F531*G531</f>
        <v>0</v>
      </c>
      <c r="K531" s="193">
        <v>0</v>
      </c>
      <c r="L531" s="193">
        <f>F531*K531</f>
        <v>0</v>
      </c>
      <c r="M531" s="194" t="s">
        <v>986</v>
      </c>
      <c r="N531" s="13" t="s">
        <v>989</v>
      </c>
      <c r="O531" s="7">
        <f>IF(N531="5",I531,0)</f>
        <v>0</v>
      </c>
      <c r="Z531" s="7">
        <f>IF(AD531=0,J531,0)</f>
        <v>0</v>
      </c>
      <c r="AA531" s="7">
        <f>IF(AD531=15,J531,0)</f>
        <v>0</v>
      </c>
      <c r="AB531" s="7">
        <f>IF(AD531=21,J531,0)</f>
        <v>0</v>
      </c>
      <c r="AD531" s="16">
        <v>21</v>
      </c>
      <c r="AE531" s="16">
        <f>G531*1</f>
        <v>0</v>
      </c>
      <c r="AF531" s="16">
        <f>G531*(1-1)</f>
        <v>0</v>
      </c>
      <c r="AM531" s="16">
        <f>F531*AE531</f>
        <v>0</v>
      </c>
      <c r="AN531" s="16">
        <f>F531*AF531</f>
        <v>0</v>
      </c>
      <c r="AO531" s="17" t="s">
        <v>1026</v>
      </c>
      <c r="AP531" s="17" t="s">
        <v>1036</v>
      </c>
      <c r="AQ531" s="11" t="s">
        <v>1042</v>
      </c>
    </row>
    <row r="532" spans="1:13" ht="12.75">
      <c r="A532" s="183"/>
      <c r="B532" s="183"/>
      <c r="C532" s="183"/>
      <c r="D532" s="184" t="s">
        <v>7</v>
      </c>
      <c r="E532" s="183"/>
      <c r="F532" s="185">
        <v>1</v>
      </c>
      <c r="G532" s="183"/>
      <c r="H532" s="183"/>
      <c r="I532" s="183"/>
      <c r="J532" s="183"/>
      <c r="K532" s="183"/>
      <c r="L532" s="183"/>
      <c r="M532" s="183"/>
    </row>
    <row r="533" spans="1:13" ht="12.75">
      <c r="A533" s="186"/>
      <c r="B533" s="187" t="s">
        <v>286</v>
      </c>
      <c r="C533" s="187"/>
      <c r="D533" s="188" t="s">
        <v>898</v>
      </c>
      <c r="E533" s="189"/>
      <c r="F533" s="189"/>
      <c r="G533" s="189"/>
      <c r="H533" s="190">
        <f>H534+H540+H553+H560</f>
        <v>0</v>
      </c>
      <c r="I533" s="190">
        <f>I534+I540+I553+I560</f>
        <v>0</v>
      </c>
      <c r="J533" s="190">
        <f>H533+I533</f>
        <v>0</v>
      </c>
      <c r="K533" s="191"/>
      <c r="L533" s="190">
        <f>L534+L540+L553+L560</f>
        <v>838.71035</v>
      </c>
      <c r="M533" s="191"/>
    </row>
    <row r="534" spans="1:37" ht="12.75">
      <c r="A534" s="174"/>
      <c r="B534" s="175" t="s">
        <v>286</v>
      </c>
      <c r="C534" s="175" t="s">
        <v>7</v>
      </c>
      <c r="D534" s="176" t="s">
        <v>549</v>
      </c>
      <c r="E534" s="177"/>
      <c r="F534" s="177"/>
      <c r="G534" s="177"/>
      <c r="H534" s="178">
        <f>SUM(H535:H538)</f>
        <v>0</v>
      </c>
      <c r="I534" s="178">
        <f>SUM(I535:I538)</f>
        <v>0</v>
      </c>
      <c r="J534" s="178">
        <f>H534+I534</f>
        <v>0</v>
      </c>
      <c r="K534" s="179"/>
      <c r="L534" s="178">
        <f>SUM(L535:L538)</f>
        <v>0</v>
      </c>
      <c r="M534" s="179"/>
      <c r="P534" s="18">
        <f>IF(Q534="PR",J534,SUM(O535:O538))</f>
        <v>0</v>
      </c>
      <c r="Q534" s="11" t="s">
        <v>992</v>
      </c>
      <c r="R534" s="18">
        <f>IF(Q534="HS",H534,0)</f>
        <v>0</v>
      </c>
      <c r="S534" s="18">
        <f>IF(Q534="HS",I534-P534,0)</f>
        <v>0</v>
      </c>
      <c r="T534" s="18">
        <f>IF(Q534="PS",H534,0)</f>
        <v>0</v>
      </c>
      <c r="U534" s="18">
        <f>IF(Q534="PS",I534-P534,0)</f>
        <v>0</v>
      </c>
      <c r="V534" s="18">
        <f>IF(Q534="MP",H534,0)</f>
        <v>0</v>
      </c>
      <c r="W534" s="18">
        <f>IF(Q534="MP",I534-P534,0)</f>
        <v>0</v>
      </c>
      <c r="X534" s="18">
        <f>IF(Q534="OM",H534,0)</f>
        <v>0</v>
      </c>
      <c r="Y534" s="11" t="s">
        <v>286</v>
      </c>
      <c r="AI534" s="18">
        <f>SUM(Z535:Z538)</f>
        <v>0</v>
      </c>
      <c r="AJ534" s="18">
        <f>SUM(AA535:AA538)</f>
        <v>0</v>
      </c>
      <c r="AK534" s="18">
        <f>SUM(AB535:AB538)</f>
        <v>0</v>
      </c>
    </row>
    <row r="535" spans="1:43" ht="12.75">
      <c r="A535" s="180" t="s">
        <v>245</v>
      </c>
      <c r="B535" s="180" t="s">
        <v>286</v>
      </c>
      <c r="C535" s="180" t="s">
        <v>520</v>
      </c>
      <c r="D535" s="180" t="s">
        <v>899</v>
      </c>
      <c r="E535" s="180" t="s">
        <v>953</v>
      </c>
      <c r="F535" s="181">
        <v>158.5</v>
      </c>
      <c r="G535" s="181"/>
      <c r="H535" s="181">
        <f>F535*AE535</f>
        <v>0</v>
      </c>
      <c r="I535" s="181">
        <f>J535-H535</f>
        <v>0</v>
      </c>
      <c r="J535" s="181">
        <f>F535*G535</f>
        <v>0</v>
      </c>
      <c r="K535" s="181">
        <v>0</v>
      </c>
      <c r="L535" s="181">
        <f>F535*K535</f>
        <v>0</v>
      </c>
      <c r="M535" s="182" t="s">
        <v>985</v>
      </c>
      <c r="N535" s="12" t="s">
        <v>7</v>
      </c>
      <c r="O535" s="6">
        <f>IF(N535="5",I535,0)</f>
        <v>0</v>
      </c>
      <c r="Z535" s="6">
        <f>IF(AD535=0,J535,0)</f>
        <v>0</v>
      </c>
      <c r="AA535" s="6">
        <f>IF(AD535=15,J535,0)</f>
        <v>0</v>
      </c>
      <c r="AB535" s="6">
        <f>IF(AD535=21,J535,0)</f>
        <v>0</v>
      </c>
      <c r="AD535" s="16">
        <v>21</v>
      </c>
      <c r="AE535" s="16">
        <f>G535*0</f>
        <v>0</v>
      </c>
      <c r="AF535" s="16">
        <f>G535*(1-0)</f>
        <v>0</v>
      </c>
      <c r="AM535" s="16">
        <f>F535*AE535</f>
        <v>0</v>
      </c>
      <c r="AN535" s="16">
        <f>F535*AF535</f>
        <v>0</v>
      </c>
      <c r="AO535" s="17" t="s">
        <v>1002</v>
      </c>
      <c r="AP535" s="17" t="s">
        <v>1002</v>
      </c>
      <c r="AQ535" s="11" t="s">
        <v>1043</v>
      </c>
    </row>
    <row r="536" spans="1:13" ht="12.75">
      <c r="A536" s="183"/>
      <c r="B536" s="183"/>
      <c r="C536" s="183"/>
      <c r="D536" s="184" t="s">
        <v>900</v>
      </c>
      <c r="E536" s="183"/>
      <c r="F536" s="185">
        <v>72</v>
      </c>
      <c r="G536" s="183"/>
      <c r="H536" s="183"/>
      <c r="I536" s="183"/>
      <c r="J536" s="183"/>
      <c r="K536" s="183"/>
      <c r="L536" s="183"/>
      <c r="M536" s="183"/>
    </row>
    <row r="537" spans="1:13" ht="12.75">
      <c r="A537" s="183"/>
      <c r="B537" s="183"/>
      <c r="C537" s="183"/>
      <c r="D537" s="184" t="s">
        <v>901</v>
      </c>
      <c r="E537" s="183"/>
      <c r="F537" s="185">
        <v>86.5</v>
      </c>
      <c r="G537" s="183"/>
      <c r="H537" s="183"/>
      <c r="I537" s="183"/>
      <c r="J537" s="183"/>
      <c r="K537" s="183"/>
      <c r="L537" s="183"/>
      <c r="M537" s="183"/>
    </row>
    <row r="538" spans="1:43" ht="12.75">
      <c r="A538" s="180" t="s">
        <v>246</v>
      </c>
      <c r="B538" s="180" t="s">
        <v>286</v>
      </c>
      <c r="C538" s="180" t="s">
        <v>313</v>
      </c>
      <c r="D538" s="180" t="s">
        <v>594</v>
      </c>
      <c r="E538" s="180" t="s">
        <v>952</v>
      </c>
      <c r="F538" s="181">
        <v>634</v>
      </c>
      <c r="G538" s="181"/>
      <c r="H538" s="181">
        <f>F538*AE538</f>
        <v>0</v>
      </c>
      <c r="I538" s="181">
        <f>J538-H538</f>
        <v>0</v>
      </c>
      <c r="J538" s="181">
        <f>F538*G538</f>
        <v>0</v>
      </c>
      <c r="K538" s="181">
        <v>0</v>
      </c>
      <c r="L538" s="181">
        <f>F538*K538</f>
        <v>0</v>
      </c>
      <c r="M538" s="182" t="s">
        <v>985</v>
      </c>
      <c r="N538" s="12" t="s">
        <v>7</v>
      </c>
      <c r="O538" s="6">
        <f>IF(N538="5",I538,0)</f>
        <v>0</v>
      </c>
      <c r="Z538" s="6">
        <f>IF(AD538=0,J538,0)</f>
        <v>0</v>
      </c>
      <c r="AA538" s="6">
        <f>IF(AD538=15,J538,0)</f>
        <v>0</v>
      </c>
      <c r="AB538" s="6">
        <f>IF(AD538=21,J538,0)</f>
        <v>0</v>
      </c>
      <c r="AD538" s="16">
        <v>21</v>
      </c>
      <c r="AE538" s="16">
        <f>G538*0</f>
        <v>0</v>
      </c>
      <c r="AF538" s="16">
        <f>G538*(1-0)</f>
        <v>0</v>
      </c>
      <c r="AM538" s="16">
        <f>F538*AE538</f>
        <v>0</v>
      </c>
      <c r="AN538" s="16">
        <f>F538*AF538</f>
        <v>0</v>
      </c>
      <c r="AO538" s="17" t="s">
        <v>1002</v>
      </c>
      <c r="AP538" s="17" t="s">
        <v>1002</v>
      </c>
      <c r="AQ538" s="11" t="s">
        <v>1043</v>
      </c>
    </row>
    <row r="539" spans="1:13" ht="12.75">
      <c r="A539" s="183"/>
      <c r="B539" s="183"/>
      <c r="C539" s="183"/>
      <c r="D539" s="184" t="s">
        <v>902</v>
      </c>
      <c r="E539" s="183"/>
      <c r="F539" s="185">
        <v>634</v>
      </c>
      <c r="G539" s="183"/>
      <c r="H539" s="183"/>
      <c r="I539" s="183"/>
      <c r="J539" s="183"/>
      <c r="K539" s="183"/>
      <c r="L539" s="183"/>
      <c r="M539" s="183"/>
    </row>
    <row r="540" spans="1:37" ht="12.75">
      <c r="A540" s="174"/>
      <c r="B540" s="175" t="s">
        <v>286</v>
      </c>
      <c r="C540" s="175" t="s">
        <v>62</v>
      </c>
      <c r="D540" s="176" t="s">
        <v>637</v>
      </c>
      <c r="E540" s="177"/>
      <c r="F540" s="177"/>
      <c r="G540" s="177"/>
      <c r="H540" s="178">
        <f>SUM(H541:H551)</f>
        <v>0</v>
      </c>
      <c r="I540" s="178">
        <f>SUM(I541:I551)</f>
        <v>0</v>
      </c>
      <c r="J540" s="178">
        <f>H540+I540</f>
        <v>0</v>
      </c>
      <c r="K540" s="179"/>
      <c r="L540" s="178">
        <f>SUM(L541:L551)</f>
        <v>737.3880399999999</v>
      </c>
      <c r="M540" s="179"/>
      <c r="P540" s="18">
        <f>IF(Q540="PR",J540,SUM(O541:O551))</f>
        <v>0</v>
      </c>
      <c r="Q540" s="11" t="s">
        <v>992</v>
      </c>
      <c r="R540" s="18">
        <f>IF(Q540="HS",H540,0)</f>
        <v>0</v>
      </c>
      <c r="S540" s="18">
        <f>IF(Q540="HS",I540-P540,0)</f>
        <v>0</v>
      </c>
      <c r="T540" s="18">
        <f>IF(Q540="PS",H540,0)</f>
        <v>0</v>
      </c>
      <c r="U540" s="18">
        <f>IF(Q540="PS",I540-P540,0)</f>
        <v>0</v>
      </c>
      <c r="V540" s="18">
        <f>IF(Q540="MP",H540,0)</f>
        <v>0</v>
      </c>
      <c r="W540" s="18">
        <f>IF(Q540="MP",I540-P540,0)</f>
        <v>0</v>
      </c>
      <c r="X540" s="18">
        <f>IF(Q540="OM",H540,0)</f>
        <v>0</v>
      </c>
      <c r="Y540" s="11" t="s">
        <v>286</v>
      </c>
      <c r="AI540" s="18">
        <f>SUM(Z541:Z551)</f>
        <v>0</v>
      </c>
      <c r="AJ540" s="18">
        <f>SUM(AA541:AA551)</f>
        <v>0</v>
      </c>
      <c r="AK540" s="18">
        <f>SUM(AB541:AB551)</f>
        <v>0</v>
      </c>
    </row>
    <row r="541" spans="1:43" ht="12.75">
      <c r="A541" s="180" t="s">
        <v>247</v>
      </c>
      <c r="B541" s="180" t="s">
        <v>286</v>
      </c>
      <c r="C541" s="180" t="s">
        <v>331</v>
      </c>
      <c r="D541" s="180" t="s">
        <v>638</v>
      </c>
      <c r="E541" s="180" t="s">
        <v>952</v>
      </c>
      <c r="F541" s="181">
        <v>288</v>
      </c>
      <c r="G541" s="181"/>
      <c r="H541" s="181">
        <f>F541*AE541</f>
        <v>0</v>
      </c>
      <c r="I541" s="181">
        <f>J541-H541</f>
        <v>0</v>
      </c>
      <c r="J541" s="181">
        <f>F541*G541</f>
        <v>0</v>
      </c>
      <c r="K541" s="181">
        <v>0.60104</v>
      </c>
      <c r="L541" s="181">
        <f>F541*K541</f>
        <v>173.09952</v>
      </c>
      <c r="M541" s="182" t="s">
        <v>985</v>
      </c>
      <c r="N541" s="12" t="s">
        <v>7</v>
      </c>
      <c r="O541" s="6">
        <f>IF(N541="5",I541,0)</f>
        <v>0</v>
      </c>
      <c r="Z541" s="6">
        <f>IF(AD541=0,J541,0)</f>
        <v>0</v>
      </c>
      <c r="AA541" s="6">
        <f>IF(AD541=15,J541,0)</f>
        <v>0</v>
      </c>
      <c r="AB541" s="6">
        <f>IF(AD541=21,J541,0)</f>
        <v>0</v>
      </c>
      <c r="AD541" s="16">
        <v>21</v>
      </c>
      <c r="AE541" s="16">
        <f>G541*0.830129448696695</f>
        <v>0</v>
      </c>
      <c r="AF541" s="16">
        <f>G541*(1-0.830129448696695)</f>
        <v>0</v>
      </c>
      <c r="AM541" s="16">
        <f>F541*AE541</f>
        <v>0</v>
      </c>
      <c r="AN541" s="16">
        <f>F541*AF541</f>
        <v>0</v>
      </c>
      <c r="AO541" s="17" t="s">
        <v>1011</v>
      </c>
      <c r="AP541" s="17" t="s">
        <v>1032</v>
      </c>
      <c r="AQ541" s="11" t="s">
        <v>1043</v>
      </c>
    </row>
    <row r="542" spans="1:13" ht="12.75">
      <c r="A542" s="183"/>
      <c r="B542" s="183"/>
      <c r="C542" s="183"/>
      <c r="D542" s="184" t="s">
        <v>903</v>
      </c>
      <c r="E542" s="183"/>
      <c r="F542" s="185">
        <v>288</v>
      </c>
      <c r="G542" s="183"/>
      <c r="H542" s="183"/>
      <c r="I542" s="183"/>
      <c r="J542" s="183"/>
      <c r="K542" s="183"/>
      <c r="L542" s="183"/>
      <c r="M542" s="183"/>
    </row>
    <row r="543" spans="1:43" ht="12.75">
      <c r="A543" s="180" t="s">
        <v>248</v>
      </c>
      <c r="B543" s="180" t="s">
        <v>286</v>
      </c>
      <c r="C543" s="180" t="s">
        <v>332</v>
      </c>
      <c r="D543" s="180" t="s">
        <v>639</v>
      </c>
      <c r="E543" s="180" t="s">
        <v>952</v>
      </c>
      <c r="F543" s="181">
        <v>288</v>
      </c>
      <c r="G543" s="181"/>
      <c r="H543" s="181">
        <f>F543*AE543</f>
        <v>0</v>
      </c>
      <c r="I543" s="181">
        <f>J543-H543</f>
        <v>0</v>
      </c>
      <c r="J543" s="181">
        <f>F543*G543</f>
        <v>0</v>
      </c>
      <c r="K543" s="181">
        <v>0.36834</v>
      </c>
      <c r="L543" s="181">
        <f>F543*K543</f>
        <v>106.08192</v>
      </c>
      <c r="M543" s="182" t="s">
        <v>985</v>
      </c>
      <c r="N543" s="12" t="s">
        <v>7</v>
      </c>
      <c r="O543" s="6">
        <f>IF(N543="5",I543,0)</f>
        <v>0</v>
      </c>
      <c r="Z543" s="6">
        <f>IF(AD543=0,J543,0)</f>
        <v>0</v>
      </c>
      <c r="AA543" s="6">
        <f>IF(AD543=15,J543,0)</f>
        <v>0</v>
      </c>
      <c r="AB543" s="6">
        <f>IF(AD543=21,J543,0)</f>
        <v>0</v>
      </c>
      <c r="AD543" s="16">
        <v>21</v>
      </c>
      <c r="AE543" s="16">
        <f>G543*0.835534441805226</f>
        <v>0</v>
      </c>
      <c r="AF543" s="16">
        <f>G543*(1-0.835534441805226)</f>
        <v>0</v>
      </c>
      <c r="AM543" s="16">
        <f>F543*AE543</f>
        <v>0</v>
      </c>
      <c r="AN543" s="16">
        <f>F543*AF543</f>
        <v>0</v>
      </c>
      <c r="AO543" s="17" t="s">
        <v>1011</v>
      </c>
      <c r="AP543" s="17" t="s">
        <v>1032</v>
      </c>
      <c r="AQ543" s="11" t="s">
        <v>1043</v>
      </c>
    </row>
    <row r="544" spans="1:13" ht="12.75">
      <c r="A544" s="183"/>
      <c r="B544" s="183"/>
      <c r="C544" s="183"/>
      <c r="D544" s="184" t="s">
        <v>903</v>
      </c>
      <c r="E544" s="183"/>
      <c r="F544" s="185">
        <v>288</v>
      </c>
      <c r="G544" s="183"/>
      <c r="H544" s="183"/>
      <c r="I544" s="183"/>
      <c r="J544" s="183"/>
      <c r="K544" s="183"/>
      <c r="L544" s="183"/>
      <c r="M544" s="183"/>
    </row>
    <row r="545" spans="1:43" ht="12.75">
      <c r="A545" s="180" t="s">
        <v>249</v>
      </c>
      <c r="B545" s="180" t="s">
        <v>286</v>
      </c>
      <c r="C545" s="180" t="s">
        <v>521</v>
      </c>
      <c r="D545" s="180" t="s">
        <v>904</v>
      </c>
      <c r="E545" s="180" t="s">
        <v>952</v>
      </c>
      <c r="F545" s="181">
        <v>346</v>
      </c>
      <c r="G545" s="181"/>
      <c r="H545" s="181">
        <f>F545*AE545</f>
        <v>0</v>
      </c>
      <c r="I545" s="181">
        <f>J545-H545</f>
        <v>0</v>
      </c>
      <c r="J545" s="181">
        <f>F545*G545</f>
        <v>0</v>
      </c>
      <c r="K545" s="181">
        <v>0.48574</v>
      </c>
      <c r="L545" s="181">
        <f>F545*K545</f>
        <v>168.06604000000002</v>
      </c>
      <c r="M545" s="182" t="s">
        <v>985</v>
      </c>
      <c r="N545" s="12" t="s">
        <v>7</v>
      </c>
      <c r="O545" s="6">
        <f>IF(N545="5",I545,0)</f>
        <v>0</v>
      </c>
      <c r="Z545" s="6">
        <f>IF(AD545=0,J545,0)</f>
        <v>0</v>
      </c>
      <c r="AA545" s="6">
        <f>IF(AD545=15,J545,0)</f>
        <v>0</v>
      </c>
      <c r="AB545" s="6">
        <f>IF(AD545=21,J545,0)</f>
        <v>0</v>
      </c>
      <c r="AD545" s="16">
        <v>21</v>
      </c>
      <c r="AE545" s="16">
        <f>G545*0.812008547008547</f>
        <v>0</v>
      </c>
      <c r="AF545" s="16">
        <f>G545*(1-0.812008547008547)</f>
        <v>0</v>
      </c>
      <c r="AM545" s="16">
        <f>F545*AE545</f>
        <v>0</v>
      </c>
      <c r="AN545" s="16">
        <f>F545*AF545</f>
        <v>0</v>
      </c>
      <c r="AO545" s="17" t="s">
        <v>1011</v>
      </c>
      <c r="AP545" s="17" t="s">
        <v>1032</v>
      </c>
      <c r="AQ545" s="11" t="s">
        <v>1043</v>
      </c>
    </row>
    <row r="546" spans="1:13" ht="12.75">
      <c r="A546" s="183"/>
      <c r="B546" s="183"/>
      <c r="C546" s="183"/>
      <c r="D546" s="184" t="s">
        <v>905</v>
      </c>
      <c r="E546" s="183"/>
      <c r="F546" s="185">
        <v>346</v>
      </c>
      <c r="G546" s="183"/>
      <c r="H546" s="183"/>
      <c r="I546" s="183"/>
      <c r="J546" s="183"/>
      <c r="K546" s="183"/>
      <c r="L546" s="183"/>
      <c r="M546" s="183"/>
    </row>
    <row r="547" spans="1:43" ht="12.75">
      <c r="A547" s="180" t="s">
        <v>250</v>
      </c>
      <c r="B547" s="180" t="s">
        <v>286</v>
      </c>
      <c r="C547" s="180" t="s">
        <v>522</v>
      </c>
      <c r="D547" s="180" t="s">
        <v>906</v>
      </c>
      <c r="E547" s="180" t="s">
        <v>952</v>
      </c>
      <c r="F547" s="181">
        <v>288</v>
      </c>
      <c r="G547" s="181"/>
      <c r="H547" s="181">
        <f>F547*AE547</f>
        <v>0</v>
      </c>
      <c r="I547" s="181">
        <f>J547-H547</f>
        <v>0</v>
      </c>
      <c r="J547" s="181">
        <f>F547*G547</f>
        <v>0</v>
      </c>
      <c r="K547" s="181">
        <v>0.315</v>
      </c>
      <c r="L547" s="181">
        <f>F547*K547</f>
        <v>90.72</v>
      </c>
      <c r="M547" s="182" t="s">
        <v>985</v>
      </c>
      <c r="N547" s="12" t="s">
        <v>7</v>
      </c>
      <c r="O547" s="6">
        <f>IF(N547="5",I547,0)</f>
        <v>0</v>
      </c>
      <c r="Z547" s="6">
        <f>IF(AD547=0,J547,0)</f>
        <v>0</v>
      </c>
      <c r="AA547" s="6">
        <f>IF(AD547=15,J547,0)</f>
        <v>0</v>
      </c>
      <c r="AB547" s="6">
        <f>IF(AD547=21,J547,0)</f>
        <v>0</v>
      </c>
      <c r="AD547" s="16">
        <v>21</v>
      </c>
      <c r="AE547" s="16">
        <f>G547*0.86</f>
        <v>0</v>
      </c>
      <c r="AF547" s="16">
        <f>G547*(1-0.86)</f>
        <v>0</v>
      </c>
      <c r="AM547" s="16">
        <f>F547*AE547</f>
        <v>0</v>
      </c>
      <c r="AN547" s="16">
        <f>F547*AF547</f>
        <v>0</v>
      </c>
      <c r="AO547" s="17" t="s">
        <v>1011</v>
      </c>
      <c r="AP547" s="17" t="s">
        <v>1032</v>
      </c>
      <c r="AQ547" s="11" t="s">
        <v>1043</v>
      </c>
    </row>
    <row r="548" spans="1:13" ht="12.75">
      <c r="A548" s="183"/>
      <c r="B548" s="183"/>
      <c r="C548" s="183"/>
      <c r="D548" s="184" t="s">
        <v>903</v>
      </c>
      <c r="E548" s="183"/>
      <c r="F548" s="185">
        <v>288</v>
      </c>
      <c r="G548" s="183"/>
      <c r="H548" s="183"/>
      <c r="I548" s="183"/>
      <c r="J548" s="183"/>
      <c r="K548" s="183"/>
      <c r="L548" s="183"/>
      <c r="M548" s="183"/>
    </row>
    <row r="549" spans="1:43" ht="12.75">
      <c r="A549" s="180" t="s">
        <v>251</v>
      </c>
      <c r="B549" s="180" t="s">
        <v>286</v>
      </c>
      <c r="C549" s="180" t="s">
        <v>523</v>
      </c>
      <c r="D549" s="180" t="s">
        <v>907</v>
      </c>
      <c r="E549" s="180" t="s">
        <v>953</v>
      </c>
      <c r="F549" s="181">
        <v>51.9</v>
      </c>
      <c r="G549" s="181"/>
      <c r="H549" s="181">
        <f>F549*AE549</f>
        <v>0</v>
      </c>
      <c r="I549" s="181">
        <f>J549-H549</f>
        <v>0</v>
      </c>
      <c r="J549" s="181">
        <f>F549*G549</f>
        <v>0</v>
      </c>
      <c r="K549" s="181">
        <v>2.084</v>
      </c>
      <c r="L549" s="181">
        <f>F549*K549</f>
        <v>108.1596</v>
      </c>
      <c r="M549" s="182" t="s">
        <v>985</v>
      </c>
      <c r="N549" s="12" t="s">
        <v>7</v>
      </c>
      <c r="O549" s="6">
        <f>IF(N549="5",I549,0)</f>
        <v>0</v>
      </c>
      <c r="Z549" s="6">
        <f>IF(AD549=0,J549,0)</f>
        <v>0</v>
      </c>
      <c r="AA549" s="6">
        <f>IF(AD549=15,J549,0)</f>
        <v>0</v>
      </c>
      <c r="AB549" s="6">
        <f>IF(AD549=21,J549,0)</f>
        <v>0</v>
      </c>
      <c r="AD549" s="16">
        <v>21</v>
      </c>
      <c r="AE549" s="16">
        <f>G549*0.681134209750858</f>
        <v>0</v>
      </c>
      <c r="AF549" s="16">
        <f>G549*(1-0.681134209750858)</f>
        <v>0</v>
      </c>
      <c r="AM549" s="16">
        <f>F549*AE549</f>
        <v>0</v>
      </c>
      <c r="AN549" s="16">
        <f>F549*AF549</f>
        <v>0</v>
      </c>
      <c r="AO549" s="17" t="s">
        <v>1011</v>
      </c>
      <c r="AP549" s="17" t="s">
        <v>1032</v>
      </c>
      <c r="AQ549" s="11" t="s">
        <v>1043</v>
      </c>
    </row>
    <row r="550" spans="1:13" ht="12.75">
      <c r="A550" s="183"/>
      <c r="B550" s="183"/>
      <c r="C550" s="183"/>
      <c r="D550" s="184" t="s">
        <v>908</v>
      </c>
      <c r="E550" s="183"/>
      <c r="F550" s="185">
        <v>51.9</v>
      </c>
      <c r="G550" s="183"/>
      <c r="H550" s="183"/>
      <c r="I550" s="183"/>
      <c r="J550" s="183"/>
      <c r="K550" s="183"/>
      <c r="L550" s="183"/>
      <c r="M550" s="183"/>
    </row>
    <row r="551" spans="1:43" ht="12.75">
      <c r="A551" s="180" t="s">
        <v>252</v>
      </c>
      <c r="B551" s="180" t="s">
        <v>286</v>
      </c>
      <c r="C551" s="180" t="s">
        <v>524</v>
      </c>
      <c r="D551" s="180" t="s">
        <v>909</v>
      </c>
      <c r="E551" s="180" t="s">
        <v>952</v>
      </c>
      <c r="F551" s="181">
        <v>346</v>
      </c>
      <c r="G551" s="181"/>
      <c r="H551" s="181">
        <f>F551*AE551</f>
        <v>0</v>
      </c>
      <c r="I551" s="181">
        <f>J551-H551</f>
        <v>0</v>
      </c>
      <c r="J551" s="181">
        <f>F551*G551</f>
        <v>0</v>
      </c>
      <c r="K551" s="181">
        <v>0.26376</v>
      </c>
      <c r="L551" s="181">
        <f>F551*K551</f>
        <v>91.26096</v>
      </c>
      <c r="M551" s="182" t="s">
        <v>985</v>
      </c>
      <c r="N551" s="12" t="s">
        <v>7</v>
      </c>
      <c r="O551" s="6">
        <f>IF(N551="5",I551,0)</f>
        <v>0</v>
      </c>
      <c r="Z551" s="6">
        <f>IF(AD551=0,J551,0)</f>
        <v>0</v>
      </c>
      <c r="AA551" s="6">
        <f>IF(AD551=15,J551,0)</f>
        <v>0</v>
      </c>
      <c r="AB551" s="6">
        <f>IF(AD551=21,J551,0)</f>
        <v>0</v>
      </c>
      <c r="AD551" s="16">
        <v>21</v>
      </c>
      <c r="AE551" s="16">
        <f>G551*0.580992907801418</f>
        <v>0</v>
      </c>
      <c r="AF551" s="16">
        <f>G551*(1-0.580992907801418)</f>
        <v>0</v>
      </c>
      <c r="AM551" s="16">
        <f>F551*AE551</f>
        <v>0</v>
      </c>
      <c r="AN551" s="16">
        <f>F551*AF551</f>
        <v>0</v>
      </c>
      <c r="AO551" s="17" t="s">
        <v>1011</v>
      </c>
      <c r="AP551" s="17" t="s">
        <v>1032</v>
      </c>
      <c r="AQ551" s="11" t="s">
        <v>1043</v>
      </c>
    </row>
    <row r="552" spans="1:13" ht="12.75">
      <c r="A552" s="183"/>
      <c r="B552" s="183"/>
      <c r="C552" s="183"/>
      <c r="D552" s="184" t="s">
        <v>905</v>
      </c>
      <c r="E552" s="183"/>
      <c r="F552" s="185">
        <v>346</v>
      </c>
      <c r="G552" s="183"/>
      <c r="H552" s="183"/>
      <c r="I552" s="183"/>
      <c r="J552" s="183"/>
      <c r="K552" s="183"/>
      <c r="L552" s="183"/>
      <c r="M552" s="183"/>
    </row>
    <row r="553" spans="1:37" ht="12.75">
      <c r="A553" s="174"/>
      <c r="B553" s="175" t="s">
        <v>286</v>
      </c>
      <c r="C553" s="175" t="s">
        <v>63</v>
      </c>
      <c r="D553" s="176" t="s">
        <v>910</v>
      </c>
      <c r="E553" s="177"/>
      <c r="F553" s="177"/>
      <c r="G553" s="177"/>
      <c r="H553" s="178">
        <f>SUM(H554:H558)</f>
        <v>0</v>
      </c>
      <c r="I553" s="178">
        <f>SUM(I554:I558)</f>
        <v>0</v>
      </c>
      <c r="J553" s="178">
        <f>H553+I553</f>
        <v>0</v>
      </c>
      <c r="K553" s="179"/>
      <c r="L553" s="178">
        <f>SUM(L554:L558)</f>
        <v>86.17822000000001</v>
      </c>
      <c r="M553" s="179"/>
      <c r="P553" s="18">
        <f>IF(Q553="PR",J553,SUM(O554:O558))</f>
        <v>0</v>
      </c>
      <c r="Q553" s="11" t="s">
        <v>992</v>
      </c>
      <c r="R553" s="18">
        <f>IF(Q553="HS",H553,0)</f>
        <v>0</v>
      </c>
      <c r="S553" s="18">
        <f>IF(Q553="HS",I553-P553,0)</f>
        <v>0</v>
      </c>
      <c r="T553" s="18">
        <f>IF(Q553="PS",H553,0)</f>
        <v>0</v>
      </c>
      <c r="U553" s="18">
        <f>IF(Q553="PS",I553-P553,0)</f>
        <v>0</v>
      </c>
      <c r="V553" s="18">
        <f>IF(Q553="MP",H553,0)</f>
        <v>0</v>
      </c>
      <c r="W553" s="18">
        <f>IF(Q553="MP",I553-P553,0)</f>
        <v>0</v>
      </c>
      <c r="X553" s="18">
        <f>IF(Q553="OM",H553,0)</f>
        <v>0</v>
      </c>
      <c r="Y553" s="11" t="s">
        <v>286</v>
      </c>
      <c r="AI553" s="18">
        <f>SUM(Z554:Z558)</f>
        <v>0</v>
      </c>
      <c r="AJ553" s="18">
        <f>SUM(AA554:AA558)</f>
        <v>0</v>
      </c>
      <c r="AK553" s="18">
        <f>SUM(AB554:AB558)</f>
        <v>0</v>
      </c>
    </row>
    <row r="554" spans="1:43" ht="12.75">
      <c r="A554" s="180" t="s">
        <v>253</v>
      </c>
      <c r="B554" s="180" t="s">
        <v>286</v>
      </c>
      <c r="C554" s="180" t="s">
        <v>525</v>
      </c>
      <c r="D554" s="180" t="s">
        <v>911</v>
      </c>
      <c r="E554" s="180" t="s">
        <v>952</v>
      </c>
      <c r="F554" s="181">
        <v>692</v>
      </c>
      <c r="G554" s="181"/>
      <c r="H554" s="181">
        <f>F554*AE554</f>
        <v>0</v>
      </c>
      <c r="I554" s="181">
        <f>J554-H554</f>
        <v>0</v>
      </c>
      <c r="J554" s="181">
        <f>F554*G554</f>
        <v>0</v>
      </c>
      <c r="K554" s="181">
        <v>0.00034</v>
      </c>
      <c r="L554" s="181">
        <f>F554*K554</f>
        <v>0.23528000000000002</v>
      </c>
      <c r="M554" s="182" t="s">
        <v>985</v>
      </c>
      <c r="N554" s="12" t="s">
        <v>7</v>
      </c>
      <c r="O554" s="6">
        <f>IF(N554="5",I554,0)</f>
        <v>0</v>
      </c>
      <c r="Z554" s="6">
        <f>IF(AD554=0,J554,0)</f>
        <v>0</v>
      </c>
      <c r="AA554" s="6">
        <f>IF(AD554=15,J554,0)</f>
        <v>0</v>
      </c>
      <c r="AB554" s="6">
        <f>IF(AD554=21,J554,0)</f>
        <v>0</v>
      </c>
      <c r="AD554" s="16">
        <v>21</v>
      </c>
      <c r="AE554" s="16">
        <f>G554*0.352272727272727</f>
        <v>0</v>
      </c>
      <c r="AF554" s="16">
        <f>G554*(1-0.352272727272727)</f>
        <v>0</v>
      </c>
      <c r="AM554" s="16">
        <f>F554*AE554</f>
        <v>0</v>
      </c>
      <c r="AN554" s="16">
        <f>F554*AF554</f>
        <v>0</v>
      </c>
      <c r="AO554" s="17" t="s">
        <v>1027</v>
      </c>
      <c r="AP554" s="17" t="s">
        <v>1032</v>
      </c>
      <c r="AQ554" s="11" t="s">
        <v>1043</v>
      </c>
    </row>
    <row r="555" spans="1:13" ht="12.75">
      <c r="A555" s="183"/>
      <c r="B555" s="183"/>
      <c r="C555" s="183"/>
      <c r="D555" s="184" t="s">
        <v>912</v>
      </c>
      <c r="E555" s="183"/>
      <c r="F555" s="185">
        <v>692</v>
      </c>
      <c r="G555" s="183"/>
      <c r="H555" s="183"/>
      <c r="I555" s="183"/>
      <c r="J555" s="183"/>
      <c r="K555" s="183"/>
      <c r="L555" s="183"/>
      <c r="M555" s="183"/>
    </row>
    <row r="556" spans="1:43" ht="12.75">
      <c r="A556" s="180" t="s">
        <v>254</v>
      </c>
      <c r="B556" s="180" t="s">
        <v>286</v>
      </c>
      <c r="C556" s="180" t="s">
        <v>526</v>
      </c>
      <c r="D556" s="180" t="s">
        <v>913</v>
      </c>
      <c r="E556" s="180" t="s">
        <v>952</v>
      </c>
      <c r="F556" s="181">
        <v>346</v>
      </c>
      <c r="G556" s="181"/>
      <c r="H556" s="181">
        <f>F556*AE556</f>
        <v>0</v>
      </c>
      <c r="I556" s="181">
        <f>J556-H556</f>
        <v>0</v>
      </c>
      <c r="J556" s="181">
        <f>F556*G556</f>
        <v>0</v>
      </c>
      <c r="K556" s="181">
        <v>0.15559</v>
      </c>
      <c r="L556" s="181">
        <f>F556*K556</f>
        <v>53.834140000000005</v>
      </c>
      <c r="M556" s="182" t="s">
        <v>985</v>
      </c>
      <c r="N556" s="12" t="s">
        <v>7</v>
      </c>
      <c r="O556" s="6">
        <f>IF(N556="5",I556,0)</f>
        <v>0</v>
      </c>
      <c r="Z556" s="6">
        <f>IF(AD556=0,J556,0)</f>
        <v>0</v>
      </c>
      <c r="AA556" s="6">
        <f>IF(AD556=15,J556,0)</f>
        <v>0</v>
      </c>
      <c r="AB556" s="6">
        <f>IF(AD556=21,J556,0)</f>
        <v>0</v>
      </c>
      <c r="AD556" s="16">
        <v>21</v>
      </c>
      <c r="AE556" s="16">
        <f>G556*0.641467181467181</f>
        <v>0</v>
      </c>
      <c r="AF556" s="16">
        <f>G556*(1-0.641467181467181)</f>
        <v>0</v>
      </c>
      <c r="AM556" s="16">
        <f>F556*AE556</f>
        <v>0</v>
      </c>
      <c r="AN556" s="16">
        <f>F556*AF556</f>
        <v>0</v>
      </c>
      <c r="AO556" s="17" t="s">
        <v>1027</v>
      </c>
      <c r="AP556" s="17" t="s">
        <v>1032</v>
      </c>
      <c r="AQ556" s="11" t="s">
        <v>1043</v>
      </c>
    </row>
    <row r="557" spans="1:13" ht="12.75">
      <c r="A557" s="183"/>
      <c r="B557" s="183"/>
      <c r="C557" s="183"/>
      <c r="D557" s="184" t="s">
        <v>905</v>
      </c>
      <c r="E557" s="183"/>
      <c r="F557" s="185">
        <v>346</v>
      </c>
      <c r="G557" s="183"/>
      <c r="H557" s="183"/>
      <c r="I557" s="183"/>
      <c r="J557" s="183"/>
      <c r="K557" s="183"/>
      <c r="L557" s="183"/>
      <c r="M557" s="183"/>
    </row>
    <row r="558" spans="1:43" ht="12.75">
      <c r="A558" s="180" t="s">
        <v>255</v>
      </c>
      <c r="B558" s="180" t="s">
        <v>286</v>
      </c>
      <c r="C558" s="180" t="s">
        <v>527</v>
      </c>
      <c r="D558" s="180" t="s">
        <v>914</v>
      </c>
      <c r="E558" s="180" t="s">
        <v>952</v>
      </c>
      <c r="F558" s="181">
        <v>346</v>
      </c>
      <c r="G558" s="181"/>
      <c r="H558" s="181">
        <f>F558*AE558</f>
        <v>0</v>
      </c>
      <c r="I558" s="181">
        <f>J558-H558</f>
        <v>0</v>
      </c>
      <c r="J558" s="181">
        <f>F558*G558</f>
        <v>0</v>
      </c>
      <c r="K558" s="181">
        <v>0.0928</v>
      </c>
      <c r="L558" s="181">
        <f>F558*K558</f>
        <v>32.108799999999995</v>
      </c>
      <c r="M558" s="182" t="s">
        <v>985</v>
      </c>
      <c r="N558" s="12" t="s">
        <v>7</v>
      </c>
      <c r="O558" s="6">
        <f>IF(N558="5",I558,0)</f>
        <v>0</v>
      </c>
      <c r="Z558" s="6">
        <f>IF(AD558=0,J558,0)</f>
        <v>0</v>
      </c>
      <c r="AA558" s="6">
        <f>IF(AD558=15,J558,0)</f>
        <v>0</v>
      </c>
      <c r="AB558" s="6">
        <f>IF(AD558=21,J558,0)</f>
        <v>0</v>
      </c>
      <c r="AD558" s="16">
        <v>21</v>
      </c>
      <c r="AE558" s="16">
        <f>G558*0.937545019278844</f>
        <v>0</v>
      </c>
      <c r="AF558" s="16">
        <f>G558*(1-0.937545019278844)</f>
        <v>0</v>
      </c>
      <c r="AM558" s="16">
        <f>F558*AE558</f>
        <v>0</v>
      </c>
      <c r="AN558" s="16">
        <f>F558*AF558</f>
        <v>0</v>
      </c>
      <c r="AO558" s="17" t="s">
        <v>1027</v>
      </c>
      <c r="AP558" s="17" t="s">
        <v>1032</v>
      </c>
      <c r="AQ558" s="11" t="s">
        <v>1043</v>
      </c>
    </row>
    <row r="559" spans="1:13" ht="12.75">
      <c r="A559" s="183"/>
      <c r="B559" s="183"/>
      <c r="C559" s="183"/>
      <c r="D559" s="184" t="s">
        <v>905</v>
      </c>
      <c r="E559" s="183"/>
      <c r="F559" s="185">
        <v>346</v>
      </c>
      <c r="G559" s="183"/>
      <c r="H559" s="183"/>
      <c r="I559" s="183"/>
      <c r="J559" s="183"/>
      <c r="K559" s="183"/>
      <c r="L559" s="183"/>
      <c r="M559" s="183"/>
    </row>
    <row r="560" spans="1:37" ht="12.75">
      <c r="A560" s="174"/>
      <c r="B560" s="175" t="s">
        <v>286</v>
      </c>
      <c r="C560" s="175" t="s">
        <v>97</v>
      </c>
      <c r="D560" s="176" t="s">
        <v>692</v>
      </c>
      <c r="E560" s="177"/>
      <c r="F560" s="177"/>
      <c r="G560" s="177"/>
      <c r="H560" s="178">
        <f>SUM(H561:H570)</f>
        <v>0</v>
      </c>
      <c r="I560" s="178">
        <f>SUM(I561:I570)</f>
        <v>0</v>
      </c>
      <c r="J560" s="178">
        <f>H560+I560</f>
        <v>0</v>
      </c>
      <c r="K560" s="179"/>
      <c r="L560" s="178">
        <f>SUM(L561:L570)</f>
        <v>15.14409</v>
      </c>
      <c r="M560" s="179"/>
      <c r="P560" s="18">
        <f>IF(Q560="PR",J560,SUM(O561:O570))</f>
        <v>0</v>
      </c>
      <c r="Q560" s="11" t="s">
        <v>992</v>
      </c>
      <c r="R560" s="18">
        <f>IF(Q560="HS",H560,0)</f>
        <v>0</v>
      </c>
      <c r="S560" s="18">
        <f>IF(Q560="HS",I560-P560,0)</f>
        <v>0</v>
      </c>
      <c r="T560" s="18">
        <f>IF(Q560="PS",H560,0)</f>
        <v>0</v>
      </c>
      <c r="U560" s="18">
        <f>IF(Q560="PS",I560-P560,0)</f>
        <v>0</v>
      </c>
      <c r="V560" s="18">
        <f>IF(Q560="MP",H560,0)</f>
        <v>0</v>
      </c>
      <c r="W560" s="18">
        <f>IF(Q560="MP",I560-P560,0)</f>
        <v>0</v>
      </c>
      <c r="X560" s="18">
        <f>IF(Q560="OM",H560,0)</f>
        <v>0</v>
      </c>
      <c r="Y560" s="11" t="s">
        <v>286</v>
      </c>
      <c r="AI560" s="18">
        <f>SUM(Z561:Z570)</f>
        <v>0</v>
      </c>
      <c r="AJ560" s="18">
        <f>SUM(AA561:AA570)</f>
        <v>0</v>
      </c>
      <c r="AK560" s="18">
        <f>SUM(AB561:AB570)</f>
        <v>0</v>
      </c>
    </row>
    <row r="561" spans="1:43" ht="12.75">
      <c r="A561" s="180" t="s">
        <v>256</v>
      </c>
      <c r="B561" s="180" t="s">
        <v>286</v>
      </c>
      <c r="C561" s="180" t="s">
        <v>366</v>
      </c>
      <c r="D561" s="180" t="s">
        <v>694</v>
      </c>
      <c r="E561" s="180" t="s">
        <v>954</v>
      </c>
      <c r="F561" s="181">
        <v>50.58</v>
      </c>
      <c r="G561" s="181"/>
      <c r="H561" s="181">
        <f>F561*AE561</f>
        <v>0</v>
      </c>
      <c r="I561" s="181">
        <f>J561-H561</f>
        <v>0</v>
      </c>
      <c r="J561" s="181">
        <f>F561*G561</f>
        <v>0</v>
      </c>
      <c r="K561" s="181">
        <v>0.21675</v>
      </c>
      <c r="L561" s="181">
        <f>F561*K561</f>
        <v>10.963215</v>
      </c>
      <c r="M561" s="182" t="s">
        <v>985</v>
      </c>
      <c r="N561" s="12" t="s">
        <v>7</v>
      </c>
      <c r="O561" s="6">
        <f>IF(N561="5",I561,0)</f>
        <v>0</v>
      </c>
      <c r="Z561" s="6">
        <f>IF(AD561=0,J561,0)</f>
        <v>0</v>
      </c>
      <c r="AA561" s="6">
        <f>IF(AD561=15,J561,0)</f>
        <v>0</v>
      </c>
      <c r="AB561" s="6">
        <f>IF(AD561=21,J561,0)</f>
        <v>0</v>
      </c>
      <c r="AD561" s="16">
        <v>21</v>
      </c>
      <c r="AE561" s="16">
        <f>G561*0.802592741268979</f>
        <v>0</v>
      </c>
      <c r="AF561" s="16">
        <f>G561*(1-0.802592741268979)</f>
        <v>0</v>
      </c>
      <c r="AM561" s="16">
        <f>F561*AE561</f>
        <v>0</v>
      </c>
      <c r="AN561" s="16">
        <f>F561*AF561</f>
        <v>0</v>
      </c>
      <c r="AO561" s="17" t="s">
        <v>1015</v>
      </c>
      <c r="AP561" s="17" t="s">
        <v>1036</v>
      </c>
      <c r="AQ561" s="11" t="s">
        <v>1043</v>
      </c>
    </row>
    <row r="562" spans="1:13" ht="12.75">
      <c r="A562" s="183"/>
      <c r="B562" s="183"/>
      <c r="C562" s="183"/>
      <c r="D562" s="184" t="s">
        <v>915</v>
      </c>
      <c r="E562" s="183"/>
      <c r="F562" s="185">
        <v>50.58</v>
      </c>
      <c r="G562" s="183"/>
      <c r="H562" s="183"/>
      <c r="I562" s="183"/>
      <c r="J562" s="183"/>
      <c r="K562" s="183"/>
      <c r="L562" s="183"/>
      <c r="M562" s="183"/>
    </row>
    <row r="563" spans="1:43" ht="12.75">
      <c r="A563" s="180" t="s">
        <v>257</v>
      </c>
      <c r="B563" s="180" t="s">
        <v>286</v>
      </c>
      <c r="C563" s="180" t="s">
        <v>528</v>
      </c>
      <c r="D563" s="180" t="s">
        <v>916</v>
      </c>
      <c r="E563" s="180" t="s">
        <v>954</v>
      </c>
      <c r="F563" s="181">
        <v>21.75</v>
      </c>
      <c r="G563" s="181"/>
      <c r="H563" s="181">
        <f>F563*AE563</f>
        <v>0</v>
      </c>
      <c r="I563" s="181">
        <f>J563-H563</f>
        <v>0</v>
      </c>
      <c r="J563" s="181">
        <f>F563*G563</f>
        <v>0</v>
      </c>
      <c r="K563" s="181">
        <v>0.08232</v>
      </c>
      <c r="L563" s="181">
        <f>F563*K563</f>
        <v>1.7904600000000002</v>
      </c>
      <c r="M563" s="182" t="s">
        <v>985</v>
      </c>
      <c r="N563" s="12" t="s">
        <v>7</v>
      </c>
      <c r="O563" s="6">
        <f>IF(N563="5",I563,0)</f>
        <v>0</v>
      </c>
      <c r="Z563" s="6">
        <f>IF(AD563=0,J563,0)</f>
        <v>0</v>
      </c>
      <c r="AA563" s="6">
        <f>IF(AD563=15,J563,0)</f>
        <v>0</v>
      </c>
      <c r="AB563" s="6">
        <f>IF(AD563=21,J563,0)</f>
        <v>0</v>
      </c>
      <c r="AD563" s="16">
        <v>21</v>
      </c>
      <c r="AE563" s="16">
        <f>G563*0.611405119343342</f>
        <v>0</v>
      </c>
      <c r="AF563" s="16">
        <f>G563*(1-0.611405119343342)</f>
        <v>0</v>
      </c>
      <c r="AM563" s="16">
        <f>F563*AE563</f>
        <v>0</v>
      </c>
      <c r="AN563" s="16">
        <f>F563*AF563</f>
        <v>0</v>
      </c>
      <c r="AO563" s="17" t="s">
        <v>1015</v>
      </c>
      <c r="AP563" s="17" t="s">
        <v>1036</v>
      </c>
      <c r="AQ563" s="11" t="s">
        <v>1043</v>
      </c>
    </row>
    <row r="564" spans="1:13" ht="12.75">
      <c r="A564" s="183"/>
      <c r="B564" s="183"/>
      <c r="C564" s="183"/>
      <c r="D564" s="184" t="s">
        <v>917</v>
      </c>
      <c r="E564" s="183"/>
      <c r="F564" s="185">
        <v>21.75</v>
      </c>
      <c r="G564" s="183"/>
      <c r="H564" s="183"/>
      <c r="I564" s="183"/>
      <c r="J564" s="183"/>
      <c r="K564" s="183"/>
      <c r="L564" s="183"/>
      <c r="M564" s="183"/>
    </row>
    <row r="565" spans="1:43" ht="12.75">
      <c r="A565" s="192" t="s">
        <v>258</v>
      </c>
      <c r="B565" s="192" t="s">
        <v>286</v>
      </c>
      <c r="C565" s="192" t="s">
        <v>529</v>
      </c>
      <c r="D565" s="192" t="s">
        <v>918</v>
      </c>
      <c r="E565" s="192" t="s">
        <v>957</v>
      </c>
      <c r="F565" s="193">
        <v>87.87</v>
      </c>
      <c r="G565" s="193"/>
      <c r="H565" s="193">
        <f>F565*AE565</f>
        <v>0</v>
      </c>
      <c r="I565" s="193">
        <f>J565-H565</f>
        <v>0</v>
      </c>
      <c r="J565" s="193">
        <f>F565*G565</f>
        <v>0</v>
      </c>
      <c r="K565" s="193">
        <v>0.027</v>
      </c>
      <c r="L565" s="193">
        <f>F565*K565</f>
        <v>2.37249</v>
      </c>
      <c r="M565" s="194" t="s">
        <v>985</v>
      </c>
      <c r="N565" s="13" t="s">
        <v>989</v>
      </c>
      <c r="O565" s="7">
        <f>IF(N565="5",I565,0)</f>
        <v>0</v>
      </c>
      <c r="Z565" s="7">
        <f>IF(AD565=0,J565,0)</f>
        <v>0</v>
      </c>
      <c r="AA565" s="7">
        <f>IF(AD565=15,J565,0)</f>
        <v>0</v>
      </c>
      <c r="AB565" s="7">
        <f>IF(AD565=21,J565,0)</f>
        <v>0</v>
      </c>
      <c r="AD565" s="16">
        <v>21</v>
      </c>
      <c r="AE565" s="16">
        <f>G565*1</f>
        <v>0</v>
      </c>
      <c r="AF565" s="16">
        <f>G565*(1-1)</f>
        <v>0</v>
      </c>
      <c r="AM565" s="16">
        <f>F565*AE565</f>
        <v>0</v>
      </c>
      <c r="AN565" s="16">
        <f>F565*AF565</f>
        <v>0</v>
      </c>
      <c r="AO565" s="17" t="s">
        <v>1015</v>
      </c>
      <c r="AP565" s="17" t="s">
        <v>1036</v>
      </c>
      <c r="AQ565" s="11" t="s">
        <v>1043</v>
      </c>
    </row>
    <row r="566" spans="1:13" ht="12.75">
      <c r="A566" s="183"/>
      <c r="B566" s="183"/>
      <c r="C566" s="183"/>
      <c r="D566" s="184" t="s">
        <v>919</v>
      </c>
      <c r="E566" s="183"/>
      <c r="F566" s="185">
        <v>87</v>
      </c>
      <c r="G566" s="183"/>
      <c r="H566" s="183"/>
      <c r="I566" s="183"/>
      <c r="J566" s="183"/>
      <c r="K566" s="183"/>
      <c r="L566" s="183"/>
      <c r="M566" s="183"/>
    </row>
    <row r="567" spans="1:13" ht="12.75">
      <c r="A567" s="183"/>
      <c r="B567" s="183"/>
      <c r="C567" s="183"/>
      <c r="D567" s="184" t="s">
        <v>920</v>
      </c>
      <c r="E567" s="183"/>
      <c r="F567" s="185">
        <v>0.87</v>
      </c>
      <c r="G567" s="183"/>
      <c r="H567" s="183"/>
      <c r="I567" s="183"/>
      <c r="J567" s="183"/>
      <c r="K567" s="183"/>
      <c r="L567" s="183"/>
      <c r="M567" s="183"/>
    </row>
    <row r="568" spans="1:43" ht="12.75">
      <c r="A568" s="180" t="s">
        <v>259</v>
      </c>
      <c r="B568" s="180" t="s">
        <v>286</v>
      </c>
      <c r="C568" s="180" t="s">
        <v>530</v>
      </c>
      <c r="D568" s="180" t="s">
        <v>921</v>
      </c>
      <c r="E568" s="180" t="s">
        <v>954</v>
      </c>
      <c r="F568" s="181">
        <v>35.85</v>
      </c>
      <c r="G568" s="181"/>
      <c r="H568" s="181">
        <f>F568*AE568</f>
        <v>0</v>
      </c>
      <c r="I568" s="181">
        <f>J568-H568</f>
        <v>0</v>
      </c>
      <c r="J568" s="181">
        <f>F568*G568</f>
        <v>0</v>
      </c>
      <c r="K568" s="181">
        <v>0.0005</v>
      </c>
      <c r="L568" s="181">
        <f>F568*K568</f>
        <v>0.017925</v>
      </c>
      <c r="M568" s="182" t="s">
        <v>985</v>
      </c>
      <c r="N568" s="12" t="s">
        <v>7</v>
      </c>
      <c r="O568" s="6">
        <f>IF(N568="5",I568,0)</f>
        <v>0</v>
      </c>
      <c r="Z568" s="6">
        <f>IF(AD568=0,J568,0)</f>
        <v>0</v>
      </c>
      <c r="AA568" s="6">
        <f>IF(AD568=15,J568,0)</f>
        <v>0</v>
      </c>
      <c r="AB568" s="6">
        <f>IF(AD568=21,J568,0)</f>
        <v>0</v>
      </c>
      <c r="AD568" s="16">
        <v>21</v>
      </c>
      <c r="AE568" s="16">
        <f>G568*0.761968085106383</f>
        <v>0</v>
      </c>
      <c r="AF568" s="16">
        <f>G568*(1-0.761968085106383)</f>
        <v>0</v>
      </c>
      <c r="AM568" s="16">
        <f>F568*AE568</f>
        <v>0</v>
      </c>
      <c r="AN568" s="16">
        <f>F568*AF568</f>
        <v>0</v>
      </c>
      <c r="AO568" s="17" t="s">
        <v>1015</v>
      </c>
      <c r="AP568" s="17" t="s">
        <v>1036</v>
      </c>
      <c r="AQ568" s="11" t="s">
        <v>1043</v>
      </c>
    </row>
    <row r="569" spans="1:13" ht="12.75">
      <c r="A569" s="183"/>
      <c r="B569" s="183"/>
      <c r="C569" s="183"/>
      <c r="D569" s="184" t="s">
        <v>922</v>
      </c>
      <c r="E569" s="183"/>
      <c r="F569" s="185">
        <v>35.85</v>
      </c>
      <c r="G569" s="183"/>
      <c r="H569" s="183"/>
      <c r="I569" s="183"/>
      <c r="J569" s="183"/>
      <c r="K569" s="183"/>
      <c r="L569" s="183"/>
      <c r="M569" s="183"/>
    </row>
    <row r="570" spans="1:43" ht="12.75">
      <c r="A570" s="180" t="s">
        <v>260</v>
      </c>
      <c r="B570" s="180" t="s">
        <v>286</v>
      </c>
      <c r="C570" s="180" t="s">
        <v>531</v>
      </c>
      <c r="D570" s="180" t="s">
        <v>923</v>
      </c>
      <c r="E570" s="180" t="s">
        <v>955</v>
      </c>
      <c r="F570" s="181">
        <v>838.71035</v>
      </c>
      <c r="G570" s="181"/>
      <c r="H570" s="181">
        <f>F570*AE570</f>
        <v>0</v>
      </c>
      <c r="I570" s="181">
        <f>J570-H570</f>
        <v>0</v>
      </c>
      <c r="J570" s="181">
        <f>F570*G570</f>
        <v>0</v>
      </c>
      <c r="K570" s="181">
        <v>0</v>
      </c>
      <c r="L570" s="181">
        <f>F570*K570</f>
        <v>0</v>
      </c>
      <c r="M570" s="182" t="s">
        <v>985</v>
      </c>
      <c r="N570" s="12" t="s">
        <v>11</v>
      </c>
      <c r="O570" s="6">
        <f>IF(N570="5",I570,0)</f>
        <v>0</v>
      </c>
      <c r="Z570" s="6">
        <f>IF(AD570=0,J570,0)</f>
        <v>0</v>
      </c>
      <c r="AA570" s="6">
        <f>IF(AD570=15,J570,0)</f>
        <v>0</v>
      </c>
      <c r="AB570" s="6">
        <f>IF(AD570=21,J570,0)</f>
        <v>0</v>
      </c>
      <c r="AD570" s="16">
        <v>21</v>
      </c>
      <c r="AE570" s="16">
        <f>G570*0</f>
        <v>0</v>
      </c>
      <c r="AF570" s="16">
        <f>G570*(1-0)</f>
        <v>0</v>
      </c>
      <c r="AM570" s="16">
        <f>F570*AE570</f>
        <v>0</v>
      </c>
      <c r="AN570" s="16">
        <f>F570*AF570</f>
        <v>0</v>
      </c>
      <c r="AO570" s="17" t="s">
        <v>1015</v>
      </c>
      <c r="AP570" s="17" t="s">
        <v>1036</v>
      </c>
      <c r="AQ570" s="11" t="s">
        <v>1043</v>
      </c>
    </row>
    <row r="571" spans="1:13" ht="12.75">
      <c r="A571" s="186"/>
      <c r="B571" s="187" t="s">
        <v>287</v>
      </c>
      <c r="C571" s="187"/>
      <c r="D571" s="188" t="s">
        <v>924</v>
      </c>
      <c r="E571" s="189"/>
      <c r="F571" s="189"/>
      <c r="G571" s="189"/>
      <c r="H571" s="190">
        <f>H572</f>
        <v>0</v>
      </c>
      <c r="I571" s="190">
        <f>I572</f>
        <v>0</v>
      </c>
      <c r="J571" s="190">
        <f>H571+I571</f>
        <v>0</v>
      </c>
      <c r="K571" s="191"/>
      <c r="L571" s="190">
        <f>L572</f>
        <v>0.38995</v>
      </c>
      <c r="M571" s="191"/>
    </row>
    <row r="572" spans="1:37" ht="12.75">
      <c r="A572" s="174"/>
      <c r="B572" s="175" t="s">
        <v>287</v>
      </c>
      <c r="C572" s="175" t="s">
        <v>24</v>
      </c>
      <c r="D572" s="176" t="s">
        <v>593</v>
      </c>
      <c r="E572" s="177"/>
      <c r="F572" s="177"/>
      <c r="G572" s="177"/>
      <c r="H572" s="178">
        <f>SUM(H573:H587)</f>
        <v>0</v>
      </c>
      <c r="I572" s="178">
        <f>SUM(I573:I587)</f>
        <v>0</v>
      </c>
      <c r="J572" s="178">
        <f>H572+I572</f>
        <v>0</v>
      </c>
      <c r="K572" s="179"/>
      <c r="L572" s="178">
        <f>SUM(L573:L587)</f>
        <v>0.38995</v>
      </c>
      <c r="M572" s="179"/>
      <c r="P572" s="18">
        <f>IF(Q572="PR",J572,SUM(O573:O587))</f>
        <v>0</v>
      </c>
      <c r="Q572" s="11" t="s">
        <v>992</v>
      </c>
      <c r="R572" s="18">
        <f>IF(Q572="HS",H572,0)</f>
        <v>0</v>
      </c>
      <c r="S572" s="18">
        <f>IF(Q572="HS",I572-P572,0)</f>
        <v>0</v>
      </c>
      <c r="T572" s="18">
        <f>IF(Q572="PS",H572,0)</f>
        <v>0</v>
      </c>
      <c r="U572" s="18">
        <f>IF(Q572="PS",I572-P572,0)</f>
        <v>0</v>
      </c>
      <c r="V572" s="18">
        <f>IF(Q572="MP",H572,0)</f>
        <v>0</v>
      </c>
      <c r="W572" s="18">
        <f>IF(Q572="MP",I572-P572,0)</f>
        <v>0</v>
      </c>
      <c r="X572" s="18">
        <f>IF(Q572="OM",H572,0)</f>
        <v>0</v>
      </c>
      <c r="Y572" s="11" t="s">
        <v>287</v>
      </c>
      <c r="AI572" s="18">
        <f>SUM(Z573:Z587)</f>
        <v>0</v>
      </c>
      <c r="AJ572" s="18">
        <f>SUM(AA573:AA587)</f>
        <v>0</v>
      </c>
      <c r="AK572" s="18">
        <f>SUM(AB573:AB587)</f>
        <v>0</v>
      </c>
    </row>
    <row r="573" spans="1:43" ht="12.75">
      <c r="A573" s="180" t="s">
        <v>261</v>
      </c>
      <c r="B573" s="180" t="s">
        <v>287</v>
      </c>
      <c r="C573" s="180" t="s">
        <v>532</v>
      </c>
      <c r="D573" s="180" t="s">
        <v>925</v>
      </c>
      <c r="E573" s="180" t="s">
        <v>952</v>
      </c>
      <c r="F573" s="181">
        <v>2018</v>
      </c>
      <c r="G573" s="181"/>
      <c r="H573" s="181">
        <f>F573*AE573</f>
        <v>0</v>
      </c>
      <c r="I573" s="181">
        <f>J573-H573</f>
        <v>0</v>
      </c>
      <c r="J573" s="181">
        <f>F573*G573</f>
        <v>0</v>
      </c>
      <c r="K573" s="181">
        <v>0</v>
      </c>
      <c r="L573" s="181">
        <f>F573*K573</f>
        <v>0</v>
      </c>
      <c r="M573" s="182" t="s">
        <v>985</v>
      </c>
      <c r="N573" s="12" t="s">
        <v>7</v>
      </c>
      <c r="O573" s="6">
        <f>IF(N573="5",I573,0)</f>
        <v>0</v>
      </c>
      <c r="Z573" s="6">
        <f>IF(AD573=0,J573,0)</f>
        <v>0</v>
      </c>
      <c r="AA573" s="6">
        <f>IF(AD573=15,J573,0)</f>
        <v>0</v>
      </c>
      <c r="AB573" s="6">
        <f>IF(AD573=21,J573,0)</f>
        <v>0</v>
      </c>
      <c r="AD573" s="16">
        <v>21</v>
      </c>
      <c r="AE573" s="16">
        <f>G573*0</f>
        <v>0</v>
      </c>
      <c r="AF573" s="16">
        <f>G573*(1-0)</f>
        <v>0</v>
      </c>
      <c r="AM573" s="16">
        <f>F573*AE573</f>
        <v>0</v>
      </c>
      <c r="AN573" s="16">
        <f>F573*AF573</f>
        <v>0</v>
      </c>
      <c r="AO573" s="17" t="s">
        <v>1005</v>
      </c>
      <c r="AP573" s="17" t="s">
        <v>1002</v>
      </c>
      <c r="AQ573" s="11" t="s">
        <v>1044</v>
      </c>
    </row>
    <row r="574" spans="1:13" ht="12.75">
      <c r="A574" s="183"/>
      <c r="B574" s="183"/>
      <c r="C574" s="183"/>
      <c r="D574" s="184" t="s">
        <v>926</v>
      </c>
      <c r="E574" s="183"/>
      <c r="F574" s="185">
        <v>2018</v>
      </c>
      <c r="G574" s="183"/>
      <c r="H574" s="183"/>
      <c r="I574" s="183"/>
      <c r="J574" s="183"/>
      <c r="K574" s="183"/>
      <c r="L574" s="183"/>
      <c r="M574" s="183"/>
    </row>
    <row r="575" spans="1:43" ht="12.75">
      <c r="A575" s="180" t="s">
        <v>262</v>
      </c>
      <c r="B575" s="180" t="s">
        <v>287</v>
      </c>
      <c r="C575" s="180" t="s">
        <v>533</v>
      </c>
      <c r="D575" s="180" t="s">
        <v>927</v>
      </c>
      <c r="E575" s="180" t="s">
        <v>952</v>
      </c>
      <c r="F575" s="181">
        <v>2018</v>
      </c>
      <c r="G575" s="181"/>
      <c r="H575" s="181">
        <f>F575*AE575</f>
        <v>0</v>
      </c>
      <c r="I575" s="181">
        <f>J575-H575</f>
        <v>0</v>
      </c>
      <c r="J575" s="181">
        <f>F575*G575</f>
        <v>0</v>
      </c>
      <c r="K575" s="181">
        <v>0</v>
      </c>
      <c r="L575" s="181">
        <f>F575*K575</f>
        <v>0</v>
      </c>
      <c r="M575" s="182" t="s">
        <v>985</v>
      </c>
      <c r="N575" s="12" t="s">
        <v>7</v>
      </c>
      <c r="O575" s="6">
        <f>IF(N575="5",I575,0)</f>
        <v>0</v>
      </c>
      <c r="Z575" s="6">
        <f>IF(AD575=0,J575,0)</f>
        <v>0</v>
      </c>
      <c r="AA575" s="6">
        <f>IF(AD575=15,J575,0)</f>
        <v>0</v>
      </c>
      <c r="AB575" s="6">
        <f>IF(AD575=21,J575,0)</f>
        <v>0</v>
      </c>
      <c r="AD575" s="16">
        <v>21</v>
      </c>
      <c r="AE575" s="16">
        <f>G575*0</f>
        <v>0</v>
      </c>
      <c r="AF575" s="16">
        <f>G575*(1-0)</f>
        <v>0</v>
      </c>
      <c r="AM575" s="16">
        <f>F575*AE575</f>
        <v>0</v>
      </c>
      <c r="AN575" s="16">
        <f>F575*AF575</f>
        <v>0</v>
      </c>
      <c r="AO575" s="17" t="s">
        <v>1005</v>
      </c>
      <c r="AP575" s="17" t="s">
        <v>1002</v>
      </c>
      <c r="AQ575" s="11" t="s">
        <v>1044</v>
      </c>
    </row>
    <row r="576" spans="1:13" ht="12.75">
      <c r="A576" s="183"/>
      <c r="B576" s="183"/>
      <c r="C576" s="183"/>
      <c r="D576" s="184" t="s">
        <v>926</v>
      </c>
      <c r="E576" s="183"/>
      <c r="F576" s="185">
        <v>2018</v>
      </c>
      <c r="G576" s="183"/>
      <c r="H576" s="183"/>
      <c r="I576" s="183"/>
      <c r="J576" s="183"/>
      <c r="K576" s="183"/>
      <c r="L576" s="183"/>
      <c r="M576" s="183"/>
    </row>
    <row r="577" spans="1:43" ht="12.75">
      <c r="A577" s="180" t="s">
        <v>263</v>
      </c>
      <c r="B577" s="180" t="s">
        <v>287</v>
      </c>
      <c r="C577" s="180" t="s">
        <v>534</v>
      </c>
      <c r="D577" s="180" t="s">
        <v>928</v>
      </c>
      <c r="E577" s="180" t="s">
        <v>952</v>
      </c>
      <c r="F577" s="181">
        <v>2018</v>
      </c>
      <c r="G577" s="181"/>
      <c r="H577" s="181">
        <f>F577*AE577</f>
        <v>0</v>
      </c>
      <c r="I577" s="181">
        <f>J577-H577</f>
        <v>0</v>
      </c>
      <c r="J577" s="181">
        <f>F577*G577</f>
        <v>0</v>
      </c>
      <c r="K577" s="181">
        <v>0</v>
      </c>
      <c r="L577" s="181">
        <f>F577*K577</f>
        <v>0</v>
      </c>
      <c r="M577" s="182" t="s">
        <v>985</v>
      </c>
      <c r="N577" s="12" t="s">
        <v>7</v>
      </c>
      <c r="O577" s="6">
        <f>IF(N577="5",I577,0)</f>
        <v>0</v>
      </c>
      <c r="Z577" s="6">
        <f>IF(AD577=0,J577,0)</f>
        <v>0</v>
      </c>
      <c r="AA577" s="6">
        <f>IF(AD577=15,J577,0)</f>
        <v>0</v>
      </c>
      <c r="AB577" s="6">
        <f>IF(AD577=21,J577,0)</f>
        <v>0</v>
      </c>
      <c r="AD577" s="16">
        <v>21</v>
      </c>
      <c r="AE577" s="16">
        <f>G577*0</f>
        <v>0</v>
      </c>
      <c r="AF577" s="16">
        <f>G577*(1-0)</f>
        <v>0</v>
      </c>
      <c r="AM577" s="16">
        <f>F577*AE577</f>
        <v>0</v>
      </c>
      <c r="AN577" s="16">
        <f>F577*AF577</f>
        <v>0</v>
      </c>
      <c r="AO577" s="17" t="s">
        <v>1005</v>
      </c>
      <c r="AP577" s="17" t="s">
        <v>1002</v>
      </c>
      <c r="AQ577" s="11" t="s">
        <v>1044</v>
      </c>
    </row>
    <row r="578" spans="1:13" ht="12.75">
      <c r="A578" s="183"/>
      <c r="B578" s="183"/>
      <c r="C578" s="183"/>
      <c r="D578" s="184" t="s">
        <v>926</v>
      </c>
      <c r="E578" s="183"/>
      <c r="F578" s="185">
        <v>2018</v>
      </c>
      <c r="G578" s="183"/>
      <c r="H578" s="183"/>
      <c r="I578" s="183"/>
      <c r="J578" s="183"/>
      <c r="K578" s="183"/>
      <c r="L578" s="183"/>
      <c r="M578" s="183"/>
    </row>
    <row r="579" spans="1:43" ht="12.75">
      <c r="A579" s="180" t="s">
        <v>264</v>
      </c>
      <c r="B579" s="180" t="s">
        <v>287</v>
      </c>
      <c r="C579" s="180" t="s">
        <v>535</v>
      </c>
      <c r="D579" s="180" t="s">
        <v>929</v>
      </c>
      <c r="E579" s="180" t="s">
        <v>952</v>
      </c>
      <c r="F579" s="181">
        <v>2018</v>
      </c>
      <c r="G579" s="181"/>
      <c r="H579" s="181">
        <f>F579*AE579</f>
        <v>0</v>
      </c>
      <c r="I579" s="181">
        <f>J579-H579</f>
        <v>0</v>
      </c>
      <c r="J579" s="181">
        <f>F579*G579</f>
        <v>0</v>
      </c>
      <c r="K579" s="181">
        <v>3E-05</v>
      </c>
      <c r="L579" s="181">
        <f>F579*K579</f>
        <v>0.060540000000000004</v>
      </c>
      <c r="M579" s="182" t="s">
        <v>985</v>
      </c>
      <c r="N579" s="12" t="s">
        <v>9</v>
      </c>
      <c r="O579" s="6">
        <f>IF(N579="5",I579,0)</f>
        <v>0</v>
      </c>
      <c r="Z579" s="6">
        <f>IF(AD579=0,J579,0)</f>
        <v>0</v>
      </c>
      <c r="AA579" s="6">
        <f>IF(AD579=15,J579,0)</f>
        <v>0</v>
      </c>
      <c r="AB579" s="6">
        <f>IF(AD579=21,J579,0)</f>
        <v>0</v>
      </c>
      <c r="AD579" s="16">
        <v>21</v>
      </c>
      <c r="AE579" s="16">
        <f>G579*0.0610966674545025</f>
        <v>0</v>
      </c>
      <c r="AF579" s="16">
        <f>G579*(1-0.0610966674545025)</f>
        <v>0</v>
      </c>
      <c r="AM579" s="16">
        <f>F579*AE579</f>
        <v>0</v>
      </c>
      <c r="AN579" s="16">
        <f>F579*AF579</f>
        <v>0</v>
      </c>
      <c r="AO579" s="17" t="s">
        <v>1005</v>
      </c>
      <c r="AP579" s="17" t="s">
        <v>1002</v>
      </c>
      <c r="AQ579" s="11" t="s">
        <v>1044</v>
      </c>
    </row>
    <row r="580" spans="1:13" ht="12.75">
      <c r="A580" s="183"/>
      <c r="B580" s="183"/>
      <c r="C580" s="183"/>
      <c r="D580" s="184" t="s">
        <v>926</v>
      </c>
      <c r="E580" s="183"/>
      <c r="F580" s="185">
        <v>2018</v>
      </c>
      <c r="G580" s="183"/>
      <c r="H580" s="183"/>
      <c r="I580" s="183"/>
      <c r="J580" s="183"/>
      <c r="K580" s="183"/>
      <c r="L580" s="183"/>
      <c r="M580" s="183"/>
    </row>
    <row r="581" spans="1:43" ht="12.75">
      <c r="A581" s="180" t="s">
        <v>265</v>
      </c>
      <c r="B581" s="180" t="s">
        <v>287</v>
      </c>
      <c r="C581" s="180" t="s">
        <v>536</v>
      </c>
      <c r="D581" s="180" t="s">
        <v>930</v>
      </c>
      <c r="E581" s="180" t="s">
        <v>952</v>
      </c>
      <c r="F581" s="181">
        <v>2018</v>
      </c>
      <c r="G581" s="181"/>
      <c r="H581" s="181">
        <f>F581*AE581</f>
        <v>0</v>
      </c>
      <c r="I581" s="181">
        <f>J581-H581</f>
        <v>0</v>
      </c>
      <c r="J581" s="181">
        <f>F581*G581</f>
        <v>0</v>
      </c>
      <c r="K581" s="181">
        <v>0</v>
      </c>
      <c r="L581" s="181">
        <f>F581*K581</f>
        <v>0</v>
      </c>
      <c r="M581" s="182" t="s">
        <v>985</v>
      </c>
      <c r="N581" s="12" t="s">
        <v>7</v>
      </c>
      <c r="O581" s="6">
        <f>IF(N581="5",I581,0)</f>
        <v>0</v>
      </c>
      <c r="Z581" s="6">
        <f>IF(AD581=0,J581,0)</f>
        <v>0</v>
      </c>
      <c r="AA581" s="6">
        <f>IF(AD581=15,J581,0)</f>
        <v>0</v>
      </c>
      <c r="AB581" s="6">
        <f>IF(AD581=21,J581,0)</f>
        <v>0</v>
      </c>
      <c r="AD581" s="16">
        <v>21</v>
      </c>
      <c r="AE581" s="16">
        <f>G581*0.0181818181818182</f>
        <v>0</v>
      </c>
      <c r="AF581" s="16">
        <f>G581*(1-0.0181818181818182)</f>
        <v>0</v>
      </c>
      <c r="AM581" s="16">
        <f>F581*AE581</f>
        <v>0</v>
      </c>
      <c r="AN581" s="16">
        <f>F581*AF581</f>
        <v>0</v>
      </c>
      <c r="AO581" s="17" t="s">
        <v>1005</v>
      </c>
      <c r="AP581" s="17" t="s">
        <v>1002</v>
      </c>
      <c r="AQ581" s="11" t="s">
        <v>1044</v>
      </c>
    </row>
    <row r="582" spans="1:13" ht="12.75">
      <c r="A582" s="183"/>
      <c r="B582" s="183"/>
      <c r="C582" s="183"/>
      <c r="D582" s="184" t="s">
        <v>926</v>
      </c>
      <c r="E582" s="183"/>
      <c r="F582" s="185">
        <v>2018</v>
      </c>
      <c r="G582" s="183"/>
      <c r="H582" s="183"/>
      <c r="I582" s="183"/>
      <c r="J582" s="183"/>
      <c r="K582" s="183"/>
      <c r="L582" s="183"/>
      <c r="M582" s="183"/>
    </row>
    <row r="583" spans="1:43" ht="12.75">
      <c r="A583" s="192" t="s">
        <v>266</v>
      </c>
      <c r="B583" s="192" t="s">
        <v>287</v>
      </c>
      <c r="C583" s="192" t="s">
        <v>537</v>
      </c>
      <c r="D583" s="192" t="s">
        <v>931</v>
      </c>
      <c r="E583" s="192" t="s">
        <v>965</v>
      </c>
      <c r="F583" s="193">
        <v>14.41</v>
      </c>
      <c r="G583" s="193"/>
      <c r="H583" s="193">
        <f>F583*AE583</f>
        <v>0</v>
      </c>
      <c r="I583" s="193">
        <f>J583-H583</f>
        <v>0</v>
      </c>
      <c r="J583" s="193">
        <f>F583*G583</f>
        <v>0</v>
      </c>
      <c r="K583" s="193">
        <v>0.001</v>
      </c>
      <c r="L583" s="193">
        <f>F583*K583</f>
        <v>0.014410000000000001</v>
      </c>
      <c r="M583" s="194" t="s">
        <v>985</v>
      </c>
      <c r="N583" s="13" t="s">
        <v>989</v>
      </c>
      <c r="O583" s="7">
        <f>IF(N583="5",I583,0)</f>
        <v>0</v>
      </c>
      <c r="Z583" s="7">
        <f>IF(AD583=0,J583,0)</f>
        <v>0</v>
      </c>
      <c r="AA583" s="7">
        <f>IF(AD583=15,J583,0)</f>
        <v>0</v>
      </c>
      <c r="AB583" s="7">
        <f>IF(AD583=21,J583,0)</f>
        <v>0</v>
      </c>
      <c r="AD583" s="16">
        <v>21</v>
      </c>
      <c r="AE583" s="16">
        <f>G583*1</f>
        <v>0</v>
      </c>
      <c r="AF583" s="16">
        <f>G583*(1-1)</f>
        <v>0</v>
      </c>
      <c r="AM583" s="16">
        <f>F583*AE583</f>
        <v>0</v>
      </c>
      <c r="AN583" s="16">
        <f>F583*AF583</f>
        <v>0</v>
      </c>
      <c r="AO583" s="17" t="s">
        <v>1005</v>
      </c>
      <c r="AP583" s="17" t="s">
        <v>1002</v>
      </c>
      <c r="AQ583" s="11" t="s">
        <v>1044</v>
      </c>
    </row>
    <row r="584" spans="1:13" ht="12.75">
      <c r="A584" s="183"/>
      <c r="B584" s="183"/>
      <c r="C584" s="183"/>
      <c r="D584" s="184" t="s">
        <v>932</v>
      </c>
      <c r="E584" s="183"/>
      <c r="F584" s="185">
        <v>14.41</v>
      </c>
      <c r="G584" s="183"/>
      <c r="H584" s="183"/>
      <c r="I584" s="183"/>
      <c r="J584" s="183"/>
      <c r="K584" s="183"/>
      <c r="L584" s="183"/>
      <c r="M584" s="183"/>
    </row>
    <row r="585" spans="1:43" ht="12.75">
      <c r="A585" s="180" t="s">
        <v>267</v>
      </c>
      <c r="B585" s="180" t="s">
        <v>287</v>
      </c>
      <c r="C585" s="180" t="s">
        <v>538</v>
      </c>
      <c r="D585" s="180" t="s">
        <v>933</v>
      </c>
      <c r="E585" s="180" t="s">
        <v>957</v>
      </c>
      <c r="F585" s="181">
        <v>35</v>
      </c>
      <c r="G585" s="181"/>
      <c r="H585" s="181">
        <f>F585*AE585</f>
        <v>0</v>
      </c>
      <c r="I585" s="181">
        <f>J585-H585</f>
        <v>0</v>
      </c>
      <c r="J585" s="181">
        <f>F585*G585</f>
        <v>0</v>
      </c>
      <c r="K585" s="181">
        <v>0</v>
      </c>
      <c r="L585" s="181">
        <f>F585*K585</f>
        <v>0</v>
      </c>
      <c r="M585" s="182" t="s">
        <v>985</v>
      </c>
      <c r="N585" s="12" t="s">
        <v>7</v>
      </c>
      <c r="O585" s="6">
        <f>IF(N585="5",I585,0)</f>
        <v>0</v>
      </c>
      <c r="Z585" s="6">
        <f>IF(AD585=0,J585,0)</f>
        <v>0</v>
      </c>
      <c r="AA585" s="6">
        <f>IF(AD585=15,J585,0)</f>
        <v>0</v>
      </c>
      <c r="AB585" s="6">
        <f>IF(AD585=21,J585,0)</f>
        <v>0</v>
      </c>
      <c r="AD585" s="16">
        <v>21</v>
      </c>
      <c r="AE585" s="16">
        <f>G585*0</f>
        <v>0</v>
      </c>
      <c r="AF585" s="16">
        <f>G585*(1-0)</f>
        <v>0</v>
      </c>
      <c r="AM585" s="16">
        <f>F585*AE585</f>
        <v>0</v>
      </c>
      <c r="AN585" s="16">
        <f>F585*AF585</f>
        <v>0</v>
      </c>
      <c r="AO585" s="17" t="s">
        <v>1005</v>
      </c>
      <c r="AP585" s="17" t="s">
        <v>1002</v>
      </c>
      <c r="AQ585" s="11" t="s">
        <v>1044</v>
      </c>
    </row>
    <row r="586" spans="1:13" ht="12.75">
      <c r="A586" s="183"/>
      <c r="B586" s="183"/>
      <c r="C586" s="183"/>
      <c r="D586" s="184" t="s">
        <v>41</v>
      </c>
      <c r="E586" s="183"/>
      <c r="F586" s="185">
        <v>35</v>
      </c>
      <c r="G586" s="183"/>
      <c r="H586" s="183"/>
      <c r="I586" s="183"/>
      <c r="J586" s="183"/>
      <c r="K586" s="183"/>
      <c r="L586" s="183"/>
      <c r="M586" s="183"/>
    </row>
    <row r="587" spans="1:43" ht="12.75">
      <c r="A587" s="192" t="s">
        <v>268</v>
      </c>
      <c r="B587" s="192" t="s">
        <v>287</v>
      </c>
      <c r="C587" s="192" t="s">
        <v>539</v>
      </c>
      <c r="D587" s="192" t="s">
        <v>934</v>
      </c>
      <c r="E587" s="192" t="s">
        <v>957</v>
      </c>
      <c r="F587" s="193">
        <v>35</v>
      </c>
      <c r="G587" s="193"/>
      <c r="H587" s="193">
        <f>F587*AE587</f>
        <v>0</v>
      </c>
      <c r="I587" s="193">
        <f>J587-H587</f>
        <v>0</v>
      </c>
      <c r="J587" s="193">
        <f>F587*G587</f>
        <v>0</v>
      </c>
      <c r="K587" s="193">
        <v>0.009</v>
      </c>
      <c r="L587" s="193">
        <f>F587*K587</f>
        <v>0.315</v>
      </c>
      <c r="M587" s="194" t="s">
        <v>985</v>
      </c>
      <c r="N587" s="13" t="s">
        <v>989</v>
      </c>
      <c r="O587" s="7">
        <f>IF(N587="5",I587,0)</f>
        <v>0</v>
      </c>
      <c r="Z587" s="7">
        <f>IF(AD587=0,J587,0)</f>
        <v>0</v>
      </c>
      <c r="AA587" s="7">
        <f>IF(AD587=15,J587,0)</f>
        <v>0</v>
      </c>
      <c r="AB587" s="7">
        <f>IF(AD587=21,J587,0)</f>
        <v>0</v>
      </c>
      <c r="AD587" s="16">
        <v>21</v>
      </c>
      <c r="AE587" s="16">
        <f>G587*1</f>
        <v>0</v>
      </c>
      <c r="AF587" s="16">
        <f>G587*(1-1)</f>
        <v>0</v>
      </c>
      <c r="AM587" s="16">
        <f>F587*AE587</f>
        <v>0</v>
      </c>
      <c r="AN587" s="16">
        <f>F587*AF587</f>
        <v>0</v>
      </c>
      <c r="AO587" s="17" t="s">
        <v>1005</v>
      </c>
      <c r="AP587" s="17" t="s">
        <v>1002</v>
      </c>
      <c r="AQ587" s="11" t="s">
        <v>1044</v>
      </c>
    </row>
    <row r="588" spans="1:13" ht="12.75">
      <c r="A588" s="183"/>
      <c r="B588" s="183"/>
      <c r="C588" s="183"/>
      <c r="D588" s="184" t="s">
        <v>41</v>
      </c>
      <c r="E588" s="183"/>
      <c r="F588" s="185">
        <v>35</v>
      </c>
      <c r="G588" s="183"/>
      <c r="H588" s="183"/>
      <c r="I588" s="183"/>
      <c r="J588" s="183"/>
      <c r="K588" s="183"/>
      <c r="L588" s="183"/>
      <c r="M588" s="183"/>
    </row>
    <row r="589" spans="1:13" ht="12.75">
      <c r="A589" s="186"/>
      <c r="B589" s="187" t="s">
        <v>288</v>
      </c>
      <c r="C589" s="187"/>
      <c r="D589" s="188" t="s">
        <v>935</v>
      </c>
      <c r="E589" s="189"/>
      <c r="F589" s="189"/>
      <c r="G589" s="189"/>
      <c r="H589" s="190">
        <f>H590+H601+H606</f>
        <v>0</v>
      </c>
      <c r="I589" s="190">
        <f>I590+I601+I606</f>
        <v>0</v>
      </c>
      <c r="J589" s="190">
        <f>H589+I589</f>
        <v>0</v>
      </c>
      <c r="K589" s="191"/>
      <c r="L589" s="190">
        <f>L590+L601+L606</f>
        <v>69.770364</v>
      </c>
      <c r="M589" s="191"/>
    </row>
    <row r="590" spans="1:37" ht="12.75">
      <c r="A590" s="174"/>
      <c r="B590" s="175" t="s">
        <v>288</v>
      </c>
      <c r="C590" s="175" t="s">
        <v>7</v>
      </c>
      <c r="D590" s="176" t="s">
        <v>549</v>
      </c>
      <c r="E590" s="177"/>
      <c r="F590" s="177"/>
      <c r="G590" s="177"/>
      <c r="H590" s="178">
        <f>SUM(H591:H599)</f>
        <v>0</v>
      </c>
      <c r="I590" s="178">
        <f>SUM(I591:I599)</f>
        <v>0</v>
      </c>
      <c r="J590" s="178">
        <f>H590+I590</f>
        <v>0</v>
      </c>
      <c r="K590" s="179"/>
      <c r="L590" s="178">
        <f>SUM(L591:L599)</f>
        <v>56.197444</v>
      </c>
      <c r="M590" s="179"/>
      <c r="P590" s="18">
        <f>IF(Q590="PR",J590,SUM(O591:O599))</f>
        <v>0</v>
      </c>
      <c r="Q590" s="11" t="s">
        <v>992</v>
      </c>
      <c r="R590" s="18">
        <f>IF(Q590="HS",H590,0)</f>
        <v>0</v>
      </c>
      <c r="S590" s="18">
        <f>IF(Q590="HS",I590-P590,0)</f>
        <v>0</v>
      </c>
      <c r="T590" s="18">
        <f>IF(Q590="PS",H590,0)</f>
        <v>0</v>
      </c>
      <c r="U590" s="18">
        <f>IF(Q590="PS",I590-P590,0)</f>
        <v>0</v>
      </c>
      <c r="V590" s="18">
        <f>IF(Q590="MP",H590,0)</f>
        <v>0</v>
      </c>
      <c r="W590" s="18">
        <f>IF(Q590="MP",I590-P590,0)</f>
        <v>0</v>
      </c>
      <c r="X590" s="18">
        <f>IF(Q590="OM",H590,0)</f>
        <v>0</v>
      </c>
      <c r="Y590" s="11" t="s">
        <v>288</v>
      </c>
      <c r="AI590" s="18">
        <f>SUM(Z591:Z599)</f>
        <v>0</v>
      </c>
      <c r="AJ590" s="18">
        <f>SUM(AA591:AA599)</f>
        <v>0</v>
      </c>
      <c r="AK590" s="18">
        <f>SUM(AB591:AB599)</f>
        <v>0</v>
      </c>
    </row>
    <row r="591" spans="1:43" ht="12.75">
      <c r="A591" s="180" t="s">
        <v>269</v>
      </c>
      <c r="B591" s="180" t="s">
        <v>288</v>
      </c>
      <c r="C591" s="180" t="s">
        <v>309</v>
      </c>
      <c r="D591" s="180" t="s">
        <v>582</v>
      </c>
      <c r="E591" s="180" t="s">
        <v>953</v>
      </c>
      <c r="F591" s="181">
        <v>126.22</v>
      </c>
      <c r="G591" s="181"/>
      <c r="H591" s="181">
        <f>F591*AE591</f>
        <v>0</v>
      </c>
      <c r="I591" s="181">
        <f>J591-H591</f>
        <v>0</v>
      </c>
      <c r="J591" s="181">
        <f>F591*G591</f>
        <v>0</v>
      </c>
      <c r="K591" s="181">
        <v>0</v>
      </c>
      <c r="L591" s="181">
        <f>F591*K591</f>
        <v>0</v>
      </c>
      <c r="M591" s="182" t="s">
        <v>985</v>
      </c>
      <c r="N591" s="12" t="s">
        <v>7</v>
      </c>
      <c r="O591" s="6">
        <f>IF(N591="5",I591,0)</f>
        <v>0</v>
      </c>
      <c r="Z591" s="6">
        <f>IF(AD591=0,J591,0)</f>
        <v>0</v>
      </c>
      <c r="AA591" s="6">
        <f>IF(AD591=15,J591,0)</f>
        <v>0</v>
      </c>
      <c r="AB591" s="6">
        <f>IF(AD591=21,J591,0)</f>
        <v>0</v>
      </c>
      <c r="AD591" s="16">
        <v>21</v>
      </c>
      <c r="AE591" s="16">
        <f>G591*0</f>
        <v>0</v>
      </c>
      <c r="AF591" s="16">
        <f>G591*(1-0)</f>
        <v>0</v>
      </c>
      <c r="AM591" s="16">
        <f>F591*AE591</f>
        <v>0</v>
      </c>
      <c r="AN591" s="16">
        <f>F591*AF591</f>
        <v>0</v>
      </c>
      <c r="AO591" s="17" t="s">
        <v>1002</v>
      </c>
      <c r="AP591" s="17" t="s">
        <v>1002</v>
      </c>
      <c r="AQ591" s="11" t="s">
        <v>1045</v>
      </c>
    </row>
    <row r="592" spans="1:13" ht="12.75">
      <c r="A592" s="183"/>
      <c r="B592" s="183"/>
      <c r="C592" s="183"/>
      <c r="D592" s="184" t="s">
        <v>936</v>
      </c>
      <c r="E592" s="183"/>
      <c r="F592" s="185">
        <v>126.22</v>
      </c>
      <c r="G592" s="183"/>
      <c r="H592" s="183"/>
      <c r="I592" s="183"/>
      <c r="J592" s="183"/>
      <c r="K592" s="183"/>
      <c r="L592" s="183"/>
      <c r="M592" s="183"/>
    </row>
    <row r="593" spans="1:43" ht="12.75">
      <c r="A593" s="180" t="s">
        <v>270</v>
      </c>
      <c r="B593" s="180" t="s">
        <v>288</v>
      </c>
      <c r="C593" s="180" t="s">
        <v>460</v>
      </c>
      <c r="D593" s="180" t="s">
        <v>812</v>
      </c>
      <c r="E593" s="180" t="s">
        <v>953</v>
      </c>
      <c r="F593" s="181">
        <v>9.02</v>
      </c>
      <c r="G593" s="181"/>
      <c r="H593" s="181">
        <f>F593*AE593</f>
        <v>0</v>
      </c>
      <c r="I593" s="181">
        <f>J593-H593</f>
        <v>0</v>
      </c>
      <c r="J593" s="181">
        <f>F593*G593</f>
        <v>0</v>
      </c>
      <c r="K593" s="181">
        <v>1.1322</v>
      </c>
      <c r="L593" s="181">
        <f>F593*K593</f>
        <v>10.212444</v>
      </c>
      <c r="M593" s="182" t="s">
        <v>985</v>
      </c>
      <c r="N593" s="12" t="s">
        <v>7</v>
      </c>
      <c r="O593" s="6">
        <f>IF(N593="5",I593,0)</f>
        <v>0</v>
      </c>
      <c r="Z593" s="6">
        <f>IF(AD593=0,J593,0)</f>
        <v>0</v>
      </c>
      <c r="AA593" s="6">
        <f>IF(AD593=15,J593,0)</f>
        <v>0</v>
      </c>
      <c r="AB593" s="6">
        <f>IF(AD593=21,J593,0)</f>
        <v>0</v>
      </c>
      <c r="AD593" s="16">
        <v>21</v>
      </c>
      <c r="AE593" s="16">
        <f>G593*0.482813738441215</f>
        <v>0</v>
      </c>
      <c r="AF593" s="16">
        <f>G593*(1-0.482813738441215)</f>
        <v>0</v>
      </c>
      <c r="AM593" s="16">
        <f>F593*AE593</f>
        <v>0</v>
      </c>
      <c r="AN593" s="16">
        <f>F593*AF593</f>
        <v>0</v>
      </c>
      <c r="AO593" s="17" t="s">
        <v>1002</v>
      </c>
      <c r="AP593" s="17" t="s">
        <v>1002</v>
      </c>
      <c r="AQ593" s="11" t="s">
        <v>1045</v>
      </c>
    </row>
    <row r="594" spans="1:13" ht="12.75">
      <c r="A594" s="183"/>
      <c r="B594" s="183"/>
      <c r="C594" s="183"/>
      <c r="D594" s="184" t="s">
        <v>937</v>
      </c>
      <c r="E594" s="183"/>
      <c r="F594" s="185">
        <v>9.02</v>
      </c>
      <c r="G594" s="183"/>
      <c r="H594" s="183"/>
      <c r="I594" s="183"/>
      <c r="J594" s="183"/>
      <c r="K594" s="183"/>
      <c r="L594" s="183"/>
      <c r="M594" s="183"/>
    </row>
    <row r="595" spans="1:43" ht="12.75">
      <c r="A595" s="180" t="s">
        <v>271</v>
      </c>
      <c r="B595" s="180" t="s">
        <v>288</v>
      </c>
      <c r="C595" s="180" t="s">
        <v>312</v>
      </c>
      <c r="D595" s="180" t="s">
        <v>590</v>
      </c>
      <c r="E595" s="180" t="s">
        <v>953</v>
      </c>
      <c r="F595" s="181">
        <v>90.16</v>
      </c>
      <c r="G595" s="181"/>
      <c r="H595" s="181">
        <f>F595*AE595</f>
        <v>0</v>
      </c>
      <c r="I595" s="181">
        <f>J595-H595</f>
        <v>0</v>
      </c>
      <c r="J595" s="181">
        <f>F595*G595</f>
        <v>0</v>
      </c>
      <c r="K595" s="181">
        <v>0</v>
      </c>
      <c r="L595" s="181">
        <f>F595*K595</f>
        <v>0</v>
      </c>
      <c r="M595" s="182" t="s">
        <v>985</v>
      </c>
      <c r="N595" s="12" t="s">
        <v>7</v>
      </c>
      <c r="O595" s="6">
        <f>IF(N595="5",I595,0)</f>
        <v>0</v>
      </c>
      <c r="Z595" s="6">
        <f>IF(AD595=0,J595,0)</f>
        <v>0</v>
      </c>
      <c r="AA595" s="6">
        <f>IF(AD595=15,J595,0)</f>
        <v>0</v>
      </c>
      <c r="AB595" s="6">
        <f>IF(AD595=21,J595,0)</f>
        <v>0</v>
      </c>
      <c r="AD595" s="16">
        <v>21</v>
      </c>
      <c r="AE595" s="16">
        <f>G595*0</f>
        <v>0</v>
      </c>
      <c r="AF595" s="16">
        <f>G595*(1-0)</f>
        <v>0</v>
      </c>
      <c r="AM595" s="16">
        <f>F595*AE595</f>
        <v>0</v>
      </c>
      <c r="AN595" s="16">
        <f>F595*AF595</f>
        <v>0</v>
      </c>
      <c r="AO595" s="17" t="s">
        <v>1002</v>
      </c>
      <c r="AP595" s="17" t="s">
        <v>1002</v>
      </c>
      <c r="AQ595" s="11" t="s">
        <v>1045</v>
      </c>
    </row>
    <row r="596" spans="1:13" ht="12.75">
      <c r="A596" s="183"/>
      <c r="B596" s="183"/>
      <c r="C596" s="183"/>
      <c r="D596" s="184" t="s">
        <v>938</v>
      </c>
      <c r="E596" s="183"/>
      <c r="F596" s="185">
        <v>90.16</v>
      </c>
      <c r="G596" s="183"/>
      <c r="H596" s="183"/>
      <c r="I596" s="183"/>
      <c r="J596" s="183"/>
      <c r="K596" s="183"/>
      <c r="L596" s="183"/>
      <c r="M596" s="183"/>
    </row>
    <row r="597" spans="1:43" ht="12.75">
      <c r="A597" s="180" t="s">
        <v>272</v>
      </c>
      <c r="B597" s="180" t="s">
        <v>288</v>
      </c>
      <c r="C597" s="180" t="s">
        <v>461</v>
      </c>
      <c r="D597" s="180" t="s">
        <v>815</v>
      </c>
      <c r="E597" s="180" t="s">
        <v>953</v>
      </c>
      <c r="F597" s="181">
        <v>27.05</v>
      </c>
      <c r="G597" s="181"/>
      <c r="H597" s="181">
        <f>F597*AE597</f>
        <v>0</v>
      </c>
      <c r="I597" s="181">
        <f>J597-H597</f>
        <v>0</v>
      </c>
      <c r="J597" s="181">
        <f>F597*G597</f>
        <v>0</v>
      </c>
      <c r="K597" s="181">
        <v>1.7</v>
      </c>
      <c r="L597" s="181">
        <f>F597*K597</f>
        <v>45.985</v>
      </c>
      <c r="M597" s="182" t="s">
        <v>985</v>
      </c>
      <c r="N597" s="12" t="s">
        <v>7</v>
      </c>
      <c r="O597" s="6">
        <f>IF(N597="5",I597,0)</f>
        <v>0</v>
      </c>
      <c r="Z597" s="6">
        <f>IF(AD597=0,J597,0)</f>
        <v>0</v>
      </c>
      <c r="AA597" s="6">
        <f>IF(AD597=15,J597,0)</f>
        <v>0</v>
      </c>
      <c r="AB597" s="6">
        <f>IF(AD597=21,J597,0)</f>
        <v>0</v>
      </c>
      <c r="AD597" s="16">
        <v>21</v>
      </c>
      <c r="AE597" s="16">
        <f>G597*0.585577045352077</f>
        <v>0</v>
      </c>
      <c r="AF597" s="16">
        <f>G597*(1-0.585577045352077)</f>
        <v>0</v>
      </c>
      <c r="AM597" s="16">
        <f>F597*AE597</f>
        <v>0</v>
      </c>
      <c r="AN597" s="16">
        <f>F597*AF597</f>
        <v>0</v>
      </c>
      <c r="AO597" s="17" t="s">
        <v>1002</v>
      </c>
      <c r="AP597" s="17" t="s">
        <v>1002</v>
      </c>
      <c r="AQ597" s="11" t="s">
        <v>1045</v>
      </c>
    </row>
    <row r="598" spans="1:13" ht="12.75">
      <c r="A598" s="183"/>
      <c r="B598" s="183"/>
      <c r="C598" s="183"/>
      <c r="D598" s="184" t="s">
        <v>939</v>
      </c>
      <c r="E598" s="183"/>
      <c r="F598" s="185">
        <v>27.05</v>
      </c>
      <c r="G598" s="183"/>
      <c r="H598" s="183"/>
      <c r="I598" s="183"/>
      <c r="J598" s="183"/>
      <c r="K598" s="183"/>
      <c r="L598" s="183"/>
      <c r="M598" s="183"/>
    </row>
    <row r="599" spans="1:43" ht="12.75">
      <c r="A599" s="180" t="s">
        <v>273</v>
      </c>
      <c r="B599" s="180" t="s">
        <v>288</v>
      </c>
      <c r="C599" s="180" t="s">
        <v>293</v>
      </c>
      <c r="D599" s="180" t="s">
        <v>556</v>
      </c>
      <c r="E599" s="180" t="s">
        <v>953</v>
      </c>
      <c r="F599" s="181">
        <v>36.06</v>
      </c>
      <c r="G599" s="181"/>
      <c r="H599" s="181">
        <f>F599*AE599</f>
        <v>0</v>
      </c>
      <c r="I599" s="181">
        <f>J599-H599</f>
        <v>0</v>
      </c>
      <c r="J599" s="181">
        <f>F599*G599</f>
        <v>0</v>
      </c>
      <c r="K599" s="181">
        <v>0</v>
      </c>
      <c r="L599" s="181">
        <f>F599*K599</f>
        <v>0</v>
      </c>
      <c r="M599" s="182" t="s">
        <v>985</v>
      </c>
      <c r="N599" s="12" t="s">
        <v>7</v>
      </c>
      <c r="O599" s="6">
        <f>IF(N599="5",I599,0)</f>
        <v>0</v>
      </c>
      <c r="Z599" s="6">
        <f>IF(AD599=0,J599,0)</f>
        <v>0</v>
      </c>
      <c r="AA599" s="6">
        <f>IF(AD599=15,J599,0)</f>
        <v>0</v>
      </c>
      <c r="AB599" s="6">
        <f>IF(AD599=21,J599,0)</f>
        <v>0</v>
      </c>
      <c r="AD599" s="16">
        <v>21</v>
      </c>
      <c r="AE599" s="16">
        <f>G599*0</f>
        <v>0</v>
      </c>
      <c r="AF599" s="16">
        <f>G599*(1-0)</f>
        <v>0</v>
      </c>
      <c r="AM599" s="16">
        <f>F599*AE599</f>
        <v>0</v>
      </c>
      <c r="AN599" s="16">
        <f>F599*AF599</f>
        <v>0</v>
      </c>
      <c r="AO599" s="17" t="s">
        <v>1002</v>
      </c>
      <c r="AP599" s="17" t="s">
        <v>1002</v>
      </c>
      <c r="AQ599" s="11" t="s">
        <v>1045</v>
      </c>
    </row>
    <row r="600" spans="1:13" ht="12.75">
      <c r="A600" s="183"/>
      <c r="B600" s="183"/>
      <c r="C600" s="183"/>
      <c r="D600" s="184" t="s">
        <v>940</v>
      </c>
      <c r="E600" s="183"/>
      <c r="F600" s="185">
        <v>36.06</v>
      </c>
      <c r="G600" s="183"/>
      <c r="H600" s="183"/>
      <c r="I600" s="183"/>
      <c r="J600" s="183"/>
      <c r="K600" s="183"/>
      <c r="L600" s="183"/>
      <c r="M600" s="183"/>
    </row>
    <row r="601" spans="1:37" ht="12.75">
      <c r="A601" s="174"/>
      <c r="B601" s="175" t="s">
        <v>288</v>
      </c>
      <c r="C601" s="175" t="s">
        <v>91</v>
      </c>
      <c r="D601" s="176" t="s">
        <v>941</v>
      </c>
      <c r="E601" s="177"/>
      <c r="F601" s="177"/>
      <c r="G601" s="177"/>
      <c r="H601" s="178">
        <f>SUM(H602:H604)</f>
        <v>0</v>
      </c>
      <c r="I601" s="178">
        <f>SUM(I602:I604)</f>
        <v>0</v>
      </c>
      <c r="J601" s="178">
        <f>H601+I601</f>
        <v>0</v>
      </c>
      <c r="K601" s="179"/>
      <c r="L601" s="178">
        <f>SUM(L602:L604)</f>
        <v>6.776</v>
      </c>
      <c r="M601" s="179"/>
      <c r="P601" s="18">
        <f>IF(Q601="PR",J601,SUM(O602:O604))</f>
        <v>0</v>
      </c>
      <c r="Q601" s="11" t="s">
        <v>992</v>
      </c>
      <c r="R601" s="18">
        <f>IF(Q601="HS",H601,0)</f>
        <v>0</v>
      </c>
      <c r="S601" s="18">
        <f>IF(Q601="HS",I601-P601,0)</f>
        <v>0</v>
      </c>
      <c r="T601" s="18">
        <f>IF(Q601="PS",H601,0)</f>
        <v>0</v>
      </c>
      <c r="U601" s="18">
        <f>IF(Q601="PS",I601-P601,0)</f>
        <v>0</v>
      </c>
      <c r="V601" s="18">
        <f>IF(Q601="MP",H601,0)</f>
        <v>0</v>
      </c>
      <c r="W601" s="18">
        <f>IF(Q601="MP",I601-P601,0)</f>
        <v>0</v>
      </c>
      <c r="X601" s="18">
        <f>IF(Q601="OM",H601,0)</f>
        <v>0</v>
      </c>
      <c r="Y601" s="11" t="s">
        <v>288</v>
      </c>
      <c r="AI601" s="18">
        <f>SUM(Z602:Z604)</f>
        <v>0</v>
      </c>
      <c r="AJ601" s="18">
        <f>SUM(AA602:AA604)</f>
        <v>0</v>
      </c>
      <c r="AK601" s="18">
        <f>SUM(AB602:AB604)</f>
        <v>0</v>
      </c>
    </row>
    <row r="602" spans="1:43" ht="12.75">
      <c r="A602" s="180" t="s">
        <v>274</v>
      </c>
      <c r="B602" s="180" t="s">
        <v>288</v>
      </c>
      <c r="C602" s="180" t="s">
        <v>540</v>
      </c>
      <c r="D602" s="180" t="s">
        <v>942</v>
      </c>
      <c r="E602" s="180" t="s">
        <v>954</v>
      </c>
      <c r="F602" s="181">
        <v>112</v>
      </c>
      <c r="G602" s="181"/>
      <c r="H602" s="181">
        <f>F602*AE602</f>
        <v>0</v>
      </c>
      <c r="I602" s="181">
        <f>J602-H602</f>
        <v>0</v>
      </c>
      <c r="J602" s="181">
        <f>F602*G602</f>
        <v>0</v>
      </c>
      <c r="K602" s="181">
        <v>0</v>
      </c>
      <c r="L602" s="181">
        <f>F602*K602</f>
        <v>0</v>
      </c>
      <c r="M602" s="182" t="s">
        <v>985</v>
      </c>
      <c r="N602" s="12" t="s">
        <v>7</v>
      </c>
      <c r="O602" s="6">
        <f>IF(N602="5",I602,0)</f>
        <v>0</v>
      </c>
      <c r="Z602" s="6">
        <f>IF(AD602=0,J602,0)</f>
        <v>0</v>
      </c>
      <c r="AA602" s="6">
        <f>IF(AD602=15,J602,0)</f>
        <v>0</v>
      </c>
      <c r="AB602" s="6">
        <f>IF(AD602=21,J602,0)</f>
        <v>0</v>
      </c>
      <c r="AD602" s="16">
        <v>21</v>
      </c>
      <c r="AE602" s="16">
        <f>G602*0.0000739371534195933</f>
        <v>0</v>
      </c>
      <c r="AF602" s="16">
        <f>G602*(1-0.0000739371534195933)</f>
        <v>0</v>
      </c>
      <c r="AM602" s="16">
        <f>F602*AE602</f>
        <v>0</v>
      </c>
      <c r="AN602" s="16">
        <f>F602*AF602</f>
        <v>0</v>
      </c>
      <c r="AO602" s="17" t="s">
        <v>1028</v>
      </c>
      <c r="AP602" s="17" t="s">
        <v>1037</v>
      </c>
      <c r="AQ602" s="11" t="s">
        <v>1045</v>
      </c>
    </row>
    <row r="603" spans="1:13" ht="12.75">
      <c r="A603" s="183"/>
      <c r="B603" s="183"/>
      <c r="C603" s="183"/>
      <c r="D603" s="184" t="s">
        <v>118</v>
      </c>
      <c r="E603" s="183"/>
      <c r="F603" s="185">
        <v>112</v>
      </c>
      <c r="G603" s="183"/>
      <c r="H603" s="183"/>
      <c r="I603" s="183"/>
      <c r="J603" s="183"/>
      <c r="K603" s="183"/>
      <c r="L603" s="183"/>
      <c r="M603" s="183"/>
    </row>
    <row r="604" spans="1:43" ht="12.75">
      <c r="A604" s="192" t="s">
        <v>275</v>
      </c>
      <c r="B604" s="192" t="s">
        <v>288</v>
      </c>
      <c r="C604" s="192" t="s">
        <v>541</v>
      </c>
      <c r="D604" s="192" t="s">
        <v>943</v>
      </c>
      <c r="E604" s="192" t="s">
        <v>954</v>
      </c>
      <c r="F604" s="193">
        <v>112</v>
      </c>
      <c r="G604" s="193"/>
      <c r="H604" s="193">
        <f>F604*AE604</f>
        <v>0</v>
      </c>
      <c r="I604" s="193">
        <f>J604-H604</f>
        <v>0</v>
      </c>
      <c r="J604" s="193">
        <f>F604*G604</f>
        <v>0</v>
      </c>
      <c r="K604" s="193">
        <v>0.0605</v>
      </c>
      <c r="L604" s="193">
        <f>F604*K604</f>
        <v>6.776</v>
      </c>
      <c r="M604" s="194" t="s">
        <v>985</v>
      </c>
      <c r="N604" s="13" t="s">
        <v>989</v>
      </c>
      <c r="O604" s="7">
        <f>IF(N604="5",I604,0)</f>
        <v>0</v>
      </c>
      <c r="Z604" s="7">
        <f>IF(AD604=0,J604,0)</f>
        <v>0</v>
      </c>
      <c r="AA604" s="7">
        <f>IF(AD604=15,J604,0)</f>
        <v>0</v>
      </c>
      <c r="AB604" s="7">
        <f>IF(AD604=21,J604,0)</f>
        <v>0</v>
      </c>
      <c r="AD604" s="16">
        <v>21</v>
      </c>
      <c r="AE604" s="16">
        <f>G604*1</f>
        <v>0</v>
      </c>
      <c r="AF604" s="16">
        <f>G604*(1-1)</f>
        <v>0</v>
      </c>
      <c r="AM604" s="16">
        <f>F604*AE604</f>
        <v>0</v>
      </c>
      <c r="AN604" s="16">
        <f>F604*AF604</f>
        <v>0</v>
      </c>
      <c r="AO604" s="17" t="s">
        <v>1028</v>
      </c>
      <c r="AP604" s="17" t="s">
        <v>1037</v>
      </c>
      <c r="AQ604" s="11" t="s">
        <v>1045</v>
      </c>
    </row>
    <row r="605" spans="1:13" ht="12.75">
      <c r="A605" s="183"/>
      <c r="B605" s="183"/>
      <c r="C605" s="183"/>
      <c r="D605" s="184" t="s">
        <v>118</v>
      </c>
      <c r="E605" s="183"/>
      <c r="F605" s="185">
        <v>112</v>
      </c>
      <c r="G605" s="183"/>
      <c r="H605" s="183"/>
      <c r="I605" s="183"/>
      <c r="J605" s="183"/>
      <c r="K605" s="183"/>
      <c r="L605" s="183"/>
      <c r="M605" s="183"/>
    </row>
    <row r="606" spans="1:37" ht="12.75">
      <c r="A606" s="174"/>
      <c r="B606" s="175" t="s">
        <v>288</v>
      </c>
      <c r="C606" s="175" t="s">
        <v>95</v>
      </c>
      <c r="D606" s="176" t="s">
        <v>828</v>
      </c>
      <c r="E606" s="177"/>
      <c r="F606" s="177"/>
      <c r="G606" s="177"/>
      <c r="H606" s="178">
        <f>SUM(H607:H611)</f>
        <v>0</v>
      </c>
      <c r="I606" s="178">
        <f>SUM(I607:I611)</f>
        <v>0</v>
      </c>
      <c r="J606" s="178">
        <f>H606+I606</f>
        <v>0</v>
      </c>
      <c r="K606" s="179"/>
      <c r="L606" s="178">
        <f>SUM(L607:L611)</f>
        <v>6.79692</v>
      </c>
      <c r="M606" s="179"/>
      <c r="P606" s="18">
        <f>IF(Q606="PR",J606,SUM(O607:O611))</f>
        <v>0</v>
      </c>
      <c r="Q606" s="11" t="s">
        <v>992</v>
      </c>
      <c r="R606" s="18">
        <f>IF(Q606="HS",H606,0)</f>
        <v>0</v>
      </c>
      <c r="S606" s="18">
        <f>IF(Q606="HS",I606-P606,0)</f>
        <v>0</v>
      </c>
      <c r="T606" s="18">
        <f>IF(Q606="PS",H606,0)</f>
        <v>0</v>
      </c>
      <c r="U606" s="18">
        <f>IF(Q606="PS",I606-P606,0)</f>
        <v>0</v>
      </c>
      <c r="V606" s="18">
        <f>IF(Q606="MP",H606,0)</f>
        <v>0</v>
      </c>
      <c r="W606" s="18">
        <f>IF(Q606="MP",I606-P606,0)</f>
        <v>0</v>
      </c>
      <c r="X606" s="18">
        <f>IF(Q606="OM",H606,0)</f>
        <v>0</v>
      </c>
      <c r="Y606" s="11" t="s">
        <v>288</v>
      </c>
      <c r="AI606" s="18">
        <f>SUM(Z607:Z611)</f>
        <v>0</v>
      </c>
      <c r="AJ606" s="18">
        <f>SUM(AA607:AA611)</f>
        <v>0</v>
      </c>
      <c r="AK606" s="18">
        <f>SUM(AB607:AB611)</f>
        <v>0</v>
      </c>
    </row>
    <row r="607" spans="1:43" ht="12.75">
      <c r="A607" s="180" t="s">
        <v>276</v>
      </c>
      <c r="B607" s="180" t="s">
        <v>288</v>
      </c>
      <c r="C607" s="180" t="s">
        <v>467</v>
      </c>
      <c r="D607" s="180" t="s">
        <v>944</v>
      </c>
      <c r="E607" s="180" t="s">
        <v>957</v>
      </c>
      <c r="F607" s="181">
        <v>1</v>
      </c>
      <c r="G607" s="181"/>
      <c r="H607" s="181">
        <f>F607*AE607</f>
        <v>0</v>
      </c>
      <c r="I607" s="181">
        <f>J607-H607</f>
        <v>0</v>
      </c>
      <c r="J607" s="181">
        <f>F607*G607</f>
        <v>0</v>
      </c>
      <c r="K607" s="181">
        <v>3.71512</v>
      </c>
      <c r="L607" s="181">
        <f>F607*K607</f>
        <v>3.71512</v>
      </c>
      <c r="M607" s="182" t="s">
        <v>985</v>
      </c>
      <c r="N607" s="12" t="s">
        <v>9</v>
      </c>
      <c r="O607" s="6">
        <f>IF(N607="5",I607,0)</f>
        <v>0</v>
      </c>
      <c r="Z607" s="6">
        <f>IF(AD607=0,J607,0)</f>
        <v>0</v>
      </c>
      <c r="AA607" s="6">
        <f>IF(AD607=15,J607,0)</f>
        <v>0</v>
      </c>
      <c r="AB607" s="6">
        <f>IF(AD607=21,J607,0)</f>
        <v>0</v>
      </c>
      <c r="AD607" s="16">
        <v>21</v>
      </c>
      <c r="AE607" s="16">
        <f>G607*0.540281580411797</f>
        <v>0</v>
      </c>
      <c r="AF607" s="16">
        <f>G607*(1-0.540281580411797)</f>
        <v>0</v>
      </c>
      <c r="AM607" s="16">
        <f>F607*AE607</f>
        <v>0</v>
      </c>
      <c r="AN607" s="16">
        <f>F607*AF607</f>
        <v>0</v>
      </c>
      <c r="AO607" s="17" t="s">
        <v>1022</v>
      </c>
      <c r="AP607" s="17" t="s">
        <v>1037</v>
      </c>
      <c r="AQ607" s="11" t="s">
        <v>1045</v>
      </c>
    </row>
    <row r="608" spans="1:13" ht="12.75">
      <c r="A608" s="183"/>
      <c r="B608" s="183"/>
      <c r="C608" s="183"/>
      <c r="D608" s="184" t="s">
        <v>7</v>
      </c>
      <c r="E608" s="183"/>
      <c r="F608" s="185">
        <v>1</v>
      </c>
      <c r="G608" s="183"/>
      <c r="H608" s="183"/>
      <c r="I608" s="183"/>
      <c r="J608" s="183"/>
      <c r="K608" s="183"/>
      <c r="L608" s="183"/>
      <c r="M608" s="183"/>
    </row>
    <row r="609" spans="1:43" ht="12.75">
      <c r="A609" s="180" t="s">
        <v>277</v>
      </c>
      <c r="B609" s="180" t="s">
        <v>288</v>
      </c>
      <c r="C609" s="180" t="s">
        <v>542</v>
      </c>
      <c r="D609" s="180" t="s">
        <v>945</v>
      </c>
      <c r="E609" s="180" t="s">
        <v>957</v>
      </c>
      <c r="F609" s="181">
        <v>2</v>
      </c>
      <c r="G609" s="181"/>
      <c r="H609" s="181">
        <f>F609*AE609</f>
        <v>0</v>
      </c>
      <c r="I609" s="181">
        <f>J609-H609</f>
        <v>0</v>
      </c>
      <c r="J609" s="181">
        <f>F609*G609</f>
        <v>0</v>
      </c>
      <c r="K609" s="181">
        <v>1.5409</v>
      </c>
      <c r="L609" s="181">
        <f>F609*K609</f>
        <v>3.0818</v>
      </c>
      <c r="M609" s="182" t="s">
        <v>988</v>
      </c>
      <c r="N609" s="12" t="s">
        <v>7</v>
      </c>
      <c r="O609" s="6">
        <f>IF(N609="5",I609,0)</f>
        <v>0</v>
      </c>
      <c r="Z609" s="6">
        <f>IF(AD609=0,J609,0)</f>
        <v>0</v>
      </c>
      <c r="AA609" s="6">
        <f>IF(AD609=15,J609,0)</f>
        <v>0</v>
      </c>
      <c r="AB609" s="6">
        <f>IF(AD609=21,J609,0)</f>
        <v>0</v>
      </c>
      <c r="AD609" s="16">
        <v>21</v>
      </c>
      <c r="AE609" s="16">
        <f>G609*0.1575625</f>
        <v>0</v>
      </c>
      <c r="AF609" s="16">
        <f>G609*(1-0.1575625)</f>
        <v>0</v>
      </c>
      <c r="AM609" s="16">
        <f>F609*AE609</f>
        <v>0</v>
      </c>
      <c r="AN609" s="16">
        <f>F609*AF609</f>
        <v>0</v>
      </c>
      <c r="AO609" s="17" t="s">
        <v>1022</v>
      </c>
      <c r="AP609" s="17" t="s">
        <v>1037</v>
      </c>
      <c r="AQ609" s="11" t="s">
        <v>1045</v>
      </c>
    </row>
    <row r="610" spans="1:13" ht="12.75">
      <c r="A610" s="183"/>
      <c r="B610" s="183"/>
      <c r="C610" s="183"/>
      <c r="D610" s="184" t="s">
        <v>8</v>
      </c>
      <c r="E610" s="183"/>
      <c r="F610" s="185">
        <v>2</v>
      </c>
      <c r="G610" s="183"/>
      <c r="H610" s="183"/>
      <c r="I610" s="183"/>
      <c r="J610" s="183"/>
      <c r="K610" s="183"/>
      <c r="L610" s="183"/>
      <c r="M610" s="183"/>
    </row>
    <row r="611" spans="1:43" ht="12.75">
      <c r="A611" s="198" t="s">
        <v>278</v>
      </c>
      <c r="B611" s="198" t="s">
        <v>288</v>
      </c>
      <c r="C611" s="198" t="s">
        <v>543</v>
      </c>
      <c r="D611" s="198" t="s">
        <v>946</v>
      </c>
      <c r="E611" s="198" t="s">
        <v>955</v>
      </c>
      <c r="F611" s="199">
        <v>13.57292</v>
      </c>
      <c r="G611" s="199"/>
      <c r="H611" s="199">
        <f>F611*AE611</f>
        <v>0</v>
      </c>
      <c r="I611" s="199">
        <f>J611-H611</f>
        <v>0</v>
      </c>
      <c r="J611" s="199">
        <f>F611*G611</f>
        <v>0</v>
      </c>
      <c r="K611" s="199">
        <v>0</v>
      </c>
      <c r="L611" s="199">
        <f>F611*K611</f>
        <v>0</v>
      </c>
      <c r="M611" s="200" t="s">
        <v>985</v>
      </c>
      <c r="N611" s="12" t="s">
        <v>11</v>
      </c>
      <c r="O611" s="6">
        <f>IF(N611="5",I611,0)</f>
        <v>0</v>
      </c>
      <c r="Z611" s="6">
        <f>IF(AD611=0,J611,0)</f>
        <v>0</v>
      </c>
      <c r="AA611" s="6">
        <f>IF(AD611=15,J611,0)</f>
        <v>0</v>
      </c>
      <c r="AB611" s="6">
        <f>IF(AD611=21,J611,0)</f>
        <v>0</v>
      </c>
      <c r="AD611" s="16">
        <v>21</v>
      </c>
      <c r="AE611" s="16">
        <f>G611*0</f>
        <v>0</v>
      </c>
      <c r="AF611" s="16">
        <f>G611*(1-0)</f>
        <v>0</v>
      </c>
      <c r="AM611" s="16">
        <f>F611*AE611</f>
        <v>0</v>
      </c>
      <c r="AN611" s="16">
        <f>F611*AF611</f>
        <v>0</v>
      </c>
      <c r="AO611" s="17" t="s">
        <v>1022</v>
      </c>
      <c r="AP611" s="17" t="s">
        <v>1037</v>
      </c>
      <c r="AQ611" s="11" t="s">
        <v>1045</v>
      </c>
    </row>
    <row r="612" spans="1:28" ht="12.75">
      <c r="A612" s="201"/>
      <c r="B612" s="201"/>
      <c r="C612" s="201"/>
      <c r="D612" s="201"/>
      <c r="E612" s="201"/>
      <c r="F612" s="201"/>
      <c r="G612" s="201"/>
      <c r="H612" s="202" t="s">
        <v>971</v>
      </c>
      <c r="I612" s="203"/>
      <c r="J612" s="204">
        <f>J13+J36+J48+J52+J65+J68+J75+J82+J97+J106+J109+J114+J138+J150+J179+J184+J203+J370+J373+J377+J388+J391+J400+J405+J459+J475+J482+J485+J491+J497+J509+J528+J534+J540+J553+J560+J572+J590+J601+J606</f>
        <v>0</v>
      </c>
      <c r="K612" s="201"/>
      <c r="L612" s="201"/>
      <c r="M612" s="201"/>
      <c r="Z612" s="20">
        <f>SUM(Z13:Z611)</f>
        <v>0</v>
      </c>
      <c r="AA612" s="20">
        <f>SUM(AA13:AA611)</f>
        <v>0</v>
      </c>
      <c r="AB612" s="20">
        <f>SUM(AB13:AB611)</f>
        <v>0</v>
      </c>
    </row>
    <row r="613" spans="1:13" ht="11.25" customHeight="1">
      <c r="A613" s="3" t="s">
        <v>279</v>
      </c>
      <c r="B613" s="183"/>
      <c r="C613" s="183"/>
      <c r="D613" s="183"/>
      <c r="E613" s="183"/>
      <c r="F613" s="183"/>
      <c r="G613" s="183"/>
      <c r="H613" s="183"/>
      <c r="I613" s="183"/>
      <c r="J613" s="183"/>
      <c r="K613" s="183"/>
      <c r="L613" s="183"/>
      <c r="M613" s="183"/>
    </row>
    <row r="614" spans="1:13" ht="409.5" customHeight="1" hidden="1">
      <c r="A614" s="146"/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</row>
    <row r="615" spans="1:13" ht="12.75">
      <c r="A615" s="183"/>
      <c r="B615" s="183"/>
      <c r="C615" s="183"/>
      <c r="D615" s="183"/>
      <c r="E615" s="183"/>
      <c r="F615" s="183"/>
      <c r="G615" s="183"/>
      <c r="H615" s="183"/>
      <c r="I615" s="183"/>
      <c r="J615" s="183"/>
      <c r="K615" s="183"/>
      <c r="L615" s="183"/>
      <c r="M615" s="183"/>
    </row>
    <row r="616" spans="1:13" ht="12.75">
      <c r="A616" s="183"/>
      <c r="B616" s="183"/>
      <c r="C616" s="183"/>
      <c r="D616" s="183"/>
      <c r="E616" s="183"/>
      <c r="F616" s="183"/>
      <c r="G616" s="183"/>
      <c r="H616" s="183"/>
      <c r="I616" s="183"/>
      <c r="J616" s="183"/>
      <c r="K616" s="183"/>
      <c r="L616" s="183"/>
      <c r="M616" s="183"/>
    </row>
    <row r="617" spans="1:13" ht="12.75">
      <c r="A617" s="183"/>
      <c r="B617" s="183"/>
      <c r="C617" s="183"/>
      <c r="D617" s="183"/>
      <c r="E617" s="183"/>
      <c r="F617" s="183"/>
      <c r="G617" s="183"/>
      <c r="H617" s="183"/>
      <c r="I617" s="183"/>
      <c r="J617" s="183"/>
      <c r="K617" s="183"/>
      <c r="L617" s="183"/>
      <c r="M617" s="183"/>
    </row>
    <row r="618" spans="1:13" ht="12.75">
      <c r="A618" s="183"/>
      <c r="B618" s="183"/>
      <c r="C618" s="183"/>
      <c r="D618" s="183"/>
      <c r="E618" s="183"/>
      <c r="F618" s="183"/>
      <c r="G618" s="183"/>
      <c r="H618" s="183"/>
      <c r="I618" s="183"/>
      <c r="J618" s="183"/>
      <c r="K618" s="183"/>
      <c r="L618" s="183"/>
      <c r="M618" s="183"/>
    </row>
    <row r="619" spans="1:13" ht="12.75">
      <c r="A619" s="183"/>
      <c r="B619" s="183"/>
      <c r="C619" s="183"/>
      <c r="D619" s="183"/>
      <c r="E619" s="183"/>
      <c r="F619" s="183"/>
      <c r="G619" s="183"/>
      <c r="H619" s="183"/>
      <c r="I619" s="183"/>
      <c r="J619" s="183"/>
      <c r="K619" s="183"/>
      <c r="L619" s="183"/>
      <c r="M619" s="183"/>
    </row>
    <row r="620" spans="1:13" ht="12.75">
      <c r="A620" s="183"/>
      <c r="B620" s="183"/>
      <c r="C620" s="183"/>
      <c r="D620" s="183"/>
      <c r="E620" s="183"/>
      <c r="F620" s="183"/>
      <c r="G620" s="183"/>
      <c r="H620" s="183"/>
      <c r="I620" s="183"/>
      <c r="J620" s="183"/>
      <c r="K620" s="183"/>
      <c r="L620" s="183"/>
      <c r="M620" s="183"/>
    </row>
    <row r="621" spans="1:13" ht="12.75">
      <c r="A621" s="183"/>
      <c r="B621" s="183"/>
      <c r="C621" s="183"/>
      <c r="D621" s="183"/>
      <c r="E621" s="183"/>
      <c r="F621" s="183"/>
      <c r="G621" s="183"/>
      <c r="H621" s="183"/>
      <c r="I621" s="183"/>
      <c r="J621" s="183"/>
      <c r="K621" s="183"/>
      <c r="L621" s="183"/>
      <c r="M621" s="183"/>
    </row>
    <row r="622" spans="1:13" ht="12.75">
      <c r="A622" s="183"/>
      <c r="B622" s="183"/>
      <c r="C622" s="183"/>
      <c r="D622" s="183"/>
      <c r="E622" s="183"/>
      <c r="F622" s="183"/>
      <c r="G622" s="183"/>
      <c r="H622" s="183"/>
      <c r="I622" s="183"/>
      <c r="J622" s="183"/>
      <c r="K622" s="183"/>
      <c r="L622" s="183"/>
      <c r="M622" s="183"/>
    </row>
    <row r="623" spans="1:13" ht="12.75">
      <c r="A623" s="183"/>
      <c r="B623" s="183"/>
      <c r="C623" s="183"/>
      <c r="D623" s="183"/>
      <c r="E623" s="183"/>
      <c r="F623" s="183"/>
      <c r="G623" s="183"/>
      <c r="H623" s="183"/>
      <c r="I623" s="183"/>
      <c r="J623" s="183"/>
      <c r="K623" s="183"/>
      <c r="L623" s="183"/>
      <c r="M623" s="183"/>
    </row>
    <row r="624" spans="1:13" ht="12.75">
      <c r="A624" s="183"/>
      <c r="B624" s="183"/>
      <c r="C624" s="183"/>
      <c r="D624" s="183"/>
      <c r="E624" s="183"/>
      <c r="F624" s="183"/>
      <c r="G624" s="183"/>
      <c r="H624" s="183"/>
      <c r="I624" s="183"/>
      <c r="J624" s="183"/>
      <c r="K624" s="183"/>
      <c r="L624" s="183"/>
      <c r="M624" s="183"/>
    </row>
    <row r="625" spans="1:13" ht="12.75">
      <c r="A625" s="183"/>
      <c r="B625" s="183"/>
      <c r="C625" s="183"/>
      <c r="D625" s="183"/>
      <c r="E625" s="183"/>
      <c r="F625" s="183"/>
      <c r="G625" s="183"/>
      <c r="H625" s="183"/>
      <c r="I625" s="183"/>
      <c r="J625" s="183"/>
      <c r="K625" s="183"/>
      <c r="L625" s="183"/>
      <c r="M625" s="183"/>
    </row>
    <row r="626" spans="1:13" ht="12.75">
      <c r="A626" s="183"/>
      <c r="B626" s="183"/>
      <c r="C626" s="183"/>
      <c r="D626" s="183"/>
      <c r="E626" s="183"/>
      <c r="F626" s="183"/>
      <c r="G626" s="183"/>
      <c r="H626" s="183"/>
      <c r="I626" s="183"/>
      <c r="J626" s="183"/>
      <c r="K626" s="183"/>
      <c r="L626" s="183"/>
      <c r="M626" s="183"/>
    </row>
    <row r="627" spans="1:13" ht="12.75">
      <c r="A627" s="183"/>
      <c r="B627" s="183"/>
      <c r="C627" s="183"/>
      <c r="D627" s="183"/>
      <c r="E627" s="183"/>
      <c r="F627" s="183"/>
      <c r="G627" s="183"/>
      <c r="H627" s="183"/>
      <c r="I627" s="183"/>
      <c r="J627" s="183"/>
      <c r="K627" s="183"/>
      <c r="L627" s="183"/>
      <c r="M627" s="183"/>
    </row>
    <row r="628" spans="1:13" ht="12.75">
      <c r="A628" s="183"/>
      <c r="B628" s="183"/>
      <c r="C628" s="183"/>
      <c r="D628" s="183"/>
      <c r="E628" s="183"/>
      <c r="F628" s="183"/>
      <c r="G628" s="183"/>
      <c r="H628" s="183"/>
      <c r="I628" s="183"/>
      <c r="J628" s="183"/>
      <c r="K628" s="183"/>
      <c r="L628" s="183"/>
      <c r="M628" s="183"/>
    </row>
    <row r="629" spans="1:13" ht="12.75">
      <c r="A629" s="183"/>
      <c r="B629" s="183"/>
      <c r="C629" s="183"/>
      <c r="D629" s="183"/>
      <c r="E629" s="183"/>
      <c r="F629" s="183"/>
      <c r="G629" s="183"/>
      <c r="H629" s="183"/>
      <c r="I629" s="183"/>
      <c r="J629" s="183"/>
      <c r="K629" s="183"/>
      <c r="L629" s="183"/>
      <c r="M629" s="183"/>
    </row>
    <row r="630" spans="1:13" ht="12.75">
      <c r="A630" s="183"/>
      <c r="B630" s="183"/>
      <c r="C630" s="183"/>
      <c r="D630" s="183"/>
      <c r="E630" s="183"/>
      <c r="F630" s="183"/>
      <c r="G630" s="183"/>
      <c r="H630" s="183"/>
      <c r="I630" s="183"/>
      <c r="J630" s="183"/>
      <c r="K630" s="183"/>
      <c r="L630" s="183"/>
      <c r="M630" s="183"/>
    </row>
    <row r="631" spans="1:13" ht="12.75">
      <c r="A631" s="183"/>
      <c r="B631" s="183"/>
      <c r="C631" s="183"/>
      <c r="D631" s="183"/>
      <c r="E631" s="183"/>
      <c r="F631" s="183"/>
      <c r="G631" s="183"/>
      <c r="H631" s="183"/>
      <c r="I631" s="183"/>
      <c r="J631" s="183"/>
      <c r="K631" s="183"/>
      <c r="L631" s="183"/>
      <c r="M631" s="183"/>
    </row>
    <row r="632" spans="1:13" ht="12.75">
      <c r="A632" s="183"/>
      <c r="B632" s="183"/>
      <c r="C632" s="183"/>
      <c r="D632" s="183"/>
      <c r="E632" s="183"/>
      <c r="F632" s="183"/>
      <c r="G632" s="183"/>
      <c r="H632" s="183"/>
      <c r="I632" s="183"/>
      <c r="J632" s="183"/>
      <c r="K632" s="183"/>
      <c r="L632" s="183"/>
      <c r="M632" s="183"/>
    </row>
    <row r="633" spans="1:13" ht="12.75">
      <c r="A633" s="183"/>
      <c r="B633" s="183"/>
      <c r="C633" s="183"/>
      <c r="D633" s="183"/>
      <c r="E633" s="183"/>
      <c r="F633" s="183"/>
      <c r="G633" s="183"/>
      <c r="H633" s="183"/>
      <c r="I633" s="183"/>
      <c r="J633" s="183"/>
      <c r="K633" s="183"/>
      <c r="L633" s="183"/>
      <c r="M633" s="183"/>
    </row>
    <row r="634" spans="1:13" ht="12.75">
      <c r="A634" s="183"/>
      <c r="B634" s="183"/>
      <c r="C634" s="183"/>
      <c r="D634" s="183"/>
      <c r="E634" s="183"/>
      <c r="F634" s="183"/>
      <c r="G634" s="183"/>
      <c r="H634" s="183"/>
      <c r="I634" s="183"/>
      <c r="J634" s="183"/>
      <c r="K634" s="183"/>
      <c r="L634" s="183"/>
      <c r="M634" s="183"/>
    </row>
    <row r="635" spans="1:13" ht="12.75">
      <c r="A635" s="183"/>
      <c r="B635" s="183"/>
      <c r="C635" s="183"/>
      <c r="D635" s="183"/>
      <c r="E635" s="183"/>
      <c r="F635" s="183"/>
      <c r="G635" s="183"/>
      <c r="H635" s="183"/>
      <c r="I635" s="183"/>
      <c r="J635" s="183"/>
      <c r="K635" s="183"/>
      <c r="L635" s="183"/>
      <c r="M635" s="183"/>
    </row>
    <row r="636" spans="1:13" ht="12.75">
      <c r="A636" s="183"/>
      <c r="B636" s="183"/>
      <c r="C636" s="183"/>
      <c r="D636" s="183"/>
      <c r="E636" s="183"/>
      <c r="F636" s="183"/>
      <c r="G636" s="183"/>
      <c r="H636" s="183"/>
      <c r="I636" s="183"/>
      <c r="J636" s="183"/>
      <c r="K636" s="183"/>
      <c r="L636" s="183"/>
      <c r="M636" s="183"/>
    </row>
    <row r="637" spans="1:13" ht="12.75">
      <c r="A637" s="183"/>
      <c r="B637" s="183"/>
      <c r="C637" s="183"/>
      <c r="D637" s="183"/>
      <c r="E637" s="183"/>
      <c r="F637" s="183"/>
      <c r="G637" s="183"/>
      <c r="H637" s="183"/>
      <c r="I637" s="183"/>
      <c r="J637" s="183"/>
      <c r="K637" s="183"/>
      <c r="L637" s="183"/>
      <c r="M637" s="183"/>
    </row>
    <row r="638" spans="1:13" ht="12.75">
      <c r="A638" s="183"/>
      <c r="B638" s="183"/>
      <c r="C638" s="183"/>
      <c r="D638" s="183"/>
      <c r="E638" s="183"/>
      <c r="F638" s="183"/>
      <c r="G638" s="183"/>
      <c r="H638" s="183"/>
      <c r="I638" s="183"/>
      <c r="J638" s="183"/>
      <c r="K638" s="183"/>
      <c r="L638" s="183"/>
      <c r="M638" s="183"/>
    </row>
    <row r="639" spans="1:13" ht="12.75">
      <c r="A639" s="183"/>
      <c r="B639" s="183"/>
      <c r="C639" s="183"/>
      <c r="D639" s="183"/>
      <c r="E639" s="183"/>
      <c r="F639" s="183"/>
      <c r="G639" s="183"/>
      <c r="H639" s="183"/>
      <c r="I639" s="183"/>
      <c r="J639" s="183"/>
      <c r="K639" s="183"/>
      <c r="L639" s="183"/>
      <c r="M639" s="183"/>
    </row>
    <row r="640" spans="1:13" ht="12.75">
      <c r="A640" s="183"/>
      <c r="B640" s="183"/>
      <c r="C640" s="183"/>
      <c r="D640" s="183"/>
      <c r="E640" s="183"/>
      <c r="F640" s="183"/>
      <c r="G640" s="183"/>
      <c r="H640" s="183"/>
      <c r="I640" s="183"/>
      <c r="J640" s="183"/>
      <c r="K640" s="183"/>
      <c r="L640" s="183"/>
      <c r="M640" s="183"/>
    </row>
    <row r="641" spans="1:13" ht="12.75">
      <c r="A641" s="183"/>
      <c r="B641" s="183"/>
      <c r="C641" s="183"/>
      <c r="D641" s="183"/>
      <c r="E641" s="183"/>
      <c r="F641" s="183"/>
      <c r="G641" s="183"/>
      <c r="H641" s="183"/>
      <c r="I641" s="183"/>
      <c r="J641" s="183"/>
      <c r="K641" s="183"/>
      <c r="L641" s="183"/>
      <c r="M641" s="183"/>
    </row>
    <row r="642" spans="1:13" ht="12.75">
      <c r="A642" s="183"/>
      <c r="B642" s="183"/>
      <c r="C642" s="183"/>
      <c r="D642" s="183"/>
      <c r="E642" s="183"/>
      <c r="F642" s="183"/>
      <c r="G642" s="183"/>
      <c r="H642" s="183"/>
      <c r="I642" s="183"/>
      <c r="J642" s="183"/>
      <c r="K642" s="183"/>
      <c r="L642" s="183"/>
      <c r="M642" s="183"/>
    </row>
    <row r="643" spans="1:13" ht="12.75">
      <c r="A643" s="183"/>
      <c r="B643" s="183"/>
      <c r="C643" s="183"/>
      <c r="D643" s="183"/>
      <c r="E643" s="183"/>
      <c r="F643" s="183"/>
      <c r="G643" s="183"/>
      <c r="H643" s="183"/>
      <c r="I643" s="183"/>
      <c r="J643" s="183"/>
      <c r="K643" s="183"/>
      <c r="L643" s="183"/>
      <c r="M643" s="183"/>
    </row>
    <row r="644" spans="1:13" ht="12.75">
      <c r="A644" s="183"/>
      <c r="B644" s="183"/>
      <c r="C644" s="183"/>
      <c r="D644" s="183"/>
      <c r="E644" s="183"/>
      <c r="F644" s="183"/>
      <c r="G644" s="183"/>
      <c r="H644" s="183"/>
      <c r="I644" s="183"/>
      <c r="J644" s="183"/>
      <c r="K644" s="183"/>
      <c r="L644" s="183"/>
      <c r="M644" s="183"/>
    </row>
    <row r="645" spans="1:13" ht="12.75">
      <c r="A645" s="183"/>
      <c r="B645" s="183"/>
      <c r="C645" s="183"/>
      <c r="D645" s="183"/>
      <c r="E645" s="183"/>
      <c r="F645" s="183"/>
      <c r="G645" s="183"/>
      <c r="H645" s="183"/>
      <c r="I645" s="183"/>
      <c r="J645" s="183"/>
      <c r="K645" s="183"/>
      <c r="L645" s="183"/>
      <c r="M645" s="183"/>
    </row>
    <row r="646" spans="1:13" ht="12.75">
      <c r="A646" s="183"/>
      <c r="B646" s="183"/>
      <c r="C646" s="183"/>
      <c r="D646" s="183"/>
      <c r="E646" s="183"/>
      <c r="F646" s="183"/>
      <c r="G646" s="183"/>
      <c r="H646" s="183"/>
      <c r="I646" s="183"/>
      <c r="J646" s="183"/>
      <c r="K646" s="183"/>
      <c r="L646" s="183"/>
      <c r="M646" s="183"/>
    </row>
    <row r="647" spans="1:13" ht="12.75">
      <c r="A647" s="183"/>
      <c r="B647" s="183"/>
      <c r="C647" s="183"/>
      <c r="D647" s="183"/>
      <c r="E647" s="183"/>
      <c r="F647" s="183"/>
      <c r="G647" s="183"/>
      <c r="H647" s="183"/>
      <c r="I647" s="183"/>
      <c r="J647" s="183"/>
      <c r="K647" s="183"/>
      <c r="L647" s="183"/>
      <c r="M647" s="183"/>
    </row>
    <row r="648" spans="1:13" ht="12.75">
      <c r="A648" s="183"/>
      <c r="B648" s="183"/>
      <c r="C648" s="183"/>
      <c r="D648" s="183"/>
      <c r="E648" s="183"/>
      <c r="F648" s="183"/>
      <c r="G648" s="183"/>
      <c r="H648" s="183"/>
      <c r="I648" s="183"/>
      <c r="J648" s="183"/>
      <c r="K648" s="183"/>
      <c r="L648" s="183"/>
      <c r="M648" s="183"/>
    </row>
    <row r="649" spans="1:13" ht="12.75">
      <c r="A649" s="183"/>
      <c r="B649" s="183"/>
      <c r="C649" s="183"/>
      <c r="D649" s="183"/>
      <c r="E649" s="183"/>
      <c r="F649" s="183"/>
      <c r="G649" s="183"/>
      <c r="H649" s="183"/>
      <c r="I649" s="183"/>
      <c r="J649" s="183"/>
      <c r="K649" s="183"/>
      <c r="L649" s="183"/>
      <c r="M649" s="183"/>
    </row>
    <row r="650" spans="1:13" ht="12.75">
      <c r="A650" s="183"/>
      <c r="B650" s="183"/>
      <c r="C650" s="183"/>
      <c r="D650" s="183"/>
      <c r="E650" s="183"/>
      <c r="F650" s="183"/>
      <c r="G650" s="183"/>
      <c r="H650" s="183"/>
      <c r="I650" s="183"/>
      <c r="J650" s="183"/>
      <c r="K650" s="183"/>
      <c r="L650" s="183"/>
      <c r="M650" s="183"/>
    </row>
  </sheetData>
  <mergeCells count="78">
    <mergeCell ref="D606:G606"/>
    <mergeCell ref="H612:I612"/>
    <mergeCell ref="A614:M614"/>
    <mergeCell ref="D572:G572"/>
    <mergeCell ref="D589:G589"/>
    <mergeCell ref="D590:G590"/>
    <mergeCell ref="D601:G601"/>
    <mergeCell ref="D540:G540"/>
    <mergeCell ref="D553:G553"/>
    <mergeCell ref="D560:G560"/>
    <mergeCell ref="D571:G571"/>
    <mergeCell ref="D526:M526"/>
    <mergeCell ref="D528:G528"/>
    <mergeCell ref="D533:G533"/>
    <mergeCell ref="D534:G534"/>
    <mergeCell ref="D485:G485"/>
    <mergeCell ref="D491:G491"/>
    <mergeCell ref="D497:G497"/>
    <mergeCell ref="D509:G509"/>
    <mergeCell ref="D459:G459"/>
    <mergeCell ref="D474:G474"/>
    <mergeCell ref="D475:G475"/>
    <mergeCell ref="D482:G482"/>
    <mergeCell ref="D391:G391"/>
    <mergeCell ref="D400:G400"/>
    <mergeCell ref="D404:G404"/>
    <mergeCell ref="D405:G405"/>
    <mergeCell ref="D373:G373"/>
    <mergeCell ref="D376:G376"/>
    <mergeCell ref="D377:G377"/>
    <mergeCell ref="D388:G388"/>
    <mergeCell ref="D179:G179"/>
    <mergeCell ref="D184:G184"/>
    <mergeCell ref="D203:G203"/>
    <mergeCell ref="D370:G370"/>
    <mergeCell ref="D109:G109"/>
    <mergeCell ref="D114:G114"/>
    <mergeCell ref="D138:G138"/>
    <mergeCell ref="D150:G150"/>
    <mergeCell ref="D75:G75"/>
    <mergeCell ref="D82:G82"/>
    <mergeCell ref="D97:G97"/>
    <mergeCell ref="D106:G106"/>
    <mergeCell ref="D51:G51"/>
    <mergeCell ref="D52:G52"/>
    <mergeCell ref="D65:G65"/>
    <mergeCell ref="D68:G68"/>
    <mergeCell ref="D12:G12"/>
    <mergeCell ref="D13:G13"/>
    <mergeCell ref="D36:G36"/>
    <mergeCell ref="D48:G48"/>
    <mergeCell ref="I8:I9"/>
    <mergeCell ref="J8:M9"/>
    <mergeCell ref="H10:J10"/>
    <mergeCell ref="K10:L10"/>
    <mergeCell ref="A8:C9"/>
    <mergeCell ref="D8:D9"/>
    <mergeCell ref="E8:F9"/>
    <mergeCell ref="G8:H9"/>
    <mergeCell ref="I4:I5"/>
    <mergeCell ref="J4:M5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workbookViewId="0" topLeftCell="A1">
      <selection activeCell="F12" sqref="F12:F14"/>
    </sheetView>
  </sheetViews>
  <sheetFormatPr defaultColWidth="8.00390625" defaultRowHeight="12" customHeight="1"/>
  <cols>
    <col min="1" max="1" width="3.28125" style="233" customWidth="1"/>
    <col min="2" max="2" width="10.28125" style="233" customWidth="1"/>
    <col min="3" max="3" width="42.7109375" style="233" customWidth="1"/>
    <col min="4" max="4" width="4.7109375" style="233" customWidth="1"/>
    <col min="5" max="5" width="9.7109375" style="233" customWidth="1"/>
    <col min="6" max="6" width="9.8515625" style="233" customWidth="1"/>
    <col min="7" max="7" width="11.8515625" style="233" customWidth="1"/>
    <col min="8" max="16384" width="8.00390625" style="255" customWidth="1"/>
  </cols>
  <sheetData>
    <row r="1" spans="1:7" s="233" customFormat="1" ht="17.25" customHeight="1">
      <c r="A1" s="231" t="s">
        <v>1103</v>
      </c>
      <c r="B1" s="232"/>
      <c r="C1" s="232"/>
      <c r="D1" s="232"/>
      <c r="E1" s="232"/>
      <c r="F1" s="232"/>
      <c r="G1" s="232"/>
    </row>
    <row r="2" spans="1:7" s="233" customFormat="1" ht="12.75" customHeight="1">
      <c r="A2" s="234" t="s">
        <v>1104</v>
      </c>
      <c r="B2" s="232"/>
      <c r="C2" s="232"/>
      <c r="D2" s="232"/>
      <c r="E2" s="232"/>
      <c r="F2" s="232"/>
      <c r="G2" s="232"/>
    </row>
    <row r="3" spans="1:7" s="233" customFormat="1" ht="12.75" customHeight="1">
      <c r="A3" s="234" t="s">
        <v>1177</v>
      </c>
      <c r="B3" s="232"/>
      <c r="C3" s="232"/>
      <c r="D3" s="232"/>
      <c r="E3" s="235"/>
      <c r="F3" s="232"/>
      <c r="G3" s="232"/>
    </row>
    <row r="4" spans="1:7" s="233" customFormat="1" ht="12.75" customHeight="1">
      <c r="A4" s="234"/>
      <c r="B4" s="232"/>
      <c r="C4" s="232"/>
      <c r="D4" s="232"/>
      <c r="E4" s="235"/>
      <c r="F4" s="232"/>
      <c r="G4" s="232"/>
    </row>
    <row r="5" spans="1:7" s="233" customFormat="1" ht="12.75" customHeight="1">
      <c r="A5" s="235" t="s">
        <v>1106</v>
      </c>
      <c r="B5" s="232"/>
      <c r="C5" s="232"/>
      <c r="D5" s="232"/>
      <c r="E5" s="235" t="s">
        <v>1107</v>
      </c>
      <c r="F5" s="232"/>
      <c r="G5" s="232"/>
    </row>
    <row r="6" spans="1:7" s="233" customFormat="1" ht="12.75" customHeight="1">
      <c r="A6" s="235" t="s">
        <v>1108</v>
      </c>
      <c r="B6" s="232"/>
      <c r="C6" s="232"/>
      <c r="D6" s="232"/>
      <c r="E6" s="235" t="s">
        <v>1109</v>
      </c>
      <c r="F6" s="232"/>
      <c r="G6" s="232"/>
    </row>
    <row r="7" spans="1:7" s="233" customFormat="1" ht="6" customHeight="1" thickBot="1">
      <c r="A7" s="232"/>
      <c r="B7" s="232"/>
      <c r="C7" s="232"/>
      <c r="D7" s="232"/>
      <c r="E7" s="232"/>
      <c r="F7" s="232"/>
      <c r="G7" s="232"/>
    </row>
    <row r="8" spans="1:7" s="233" customFormat="1" ht="28.5" customHeight="1" thickBot="1">
      <c r="A8" s="236" t="s">
        <v>1110</v>
      </c>
      <c r="B8" s="236" t="s">
        <v>1111</v>
      </c>
      <c r="C8" s="236" t="s">
        <v>1112</v>
      </c>
      <c r="D8" s="236" t="s">
        <v>1113</v>
      </c>
      <c r="E8" s="236" t="s">
        <v>1114</v>
      </c>
      <c r="F8" s="236" t="s">
        <v>1115</v>
      </c>
      <c r="G8" s="236" t="s">
        <v>1116</v>
      </c>
    </row>
    <row r="9" spans="1:7" s="233" customFormat="1" ht="12.75" customHeight="1" thickBot="1">
      <c r="A9" s="236" t="s">
        <v>7</v>
      </c>
      <c r="B9" s="236" t="s">
        <v>8</v>
      </c>
      <c r="C9" s="236" t="s">
        <v>9</v>
      </c>
      <c r="D9" s="236" t="s">
        <v>10</v>
      </c>
      <c r="E9" s="236" t="s">
        <v>11</v>
      </c>
      <c r="F9" s="236" t="s">
        <v>12</v>
      </c>
      <c r="G9" s="236" t="s">
        <v>13</v>
      </c>
    </row>
    <row r="10" spans="1:7" s="233" customFormat="1" ht="9.75" customHeight="1">
      <c r="A10" s="237"/>
      <c r="B10" s="237"/>
      <c r="C10" s="237"/>
      <c r="D10" s="237"/>
      <c r="E10" s="237"/>
      <c r="F10" s="237"/>
      <c r="G10" s="237"/>
    </row>
    <row r="11" spans="1:7" s="233" customFormat="1" ht="21" customHeight="1" thickBot="1">
      <c r="A11" s="238"/>
      <c r="B11" s="239" t="s">
        <v>1178</v>
      </c>
      <c r="C11" s="239" t="s">
        <v>1078</v>
      </c>
      <c r="D11" s="239"/>
      <c r="E11" s="240"/>
      <c r="F11" s="241"/>
      <c r="G11" s="241">
        <f>G15</f>
        <v>0</v>
      </c>
    </row>
    <row r="12" spans="1:7" s="233" customFormat="1" ht="24" customHeight="1" thickBot="1">
      <c r="A12" s="242">
        <v>1</v>
      </c>
      <c r="B12" s="243" t="s">
        <v>1179</v>
      </c>
      <c r="C12" s="243" t="s">
        <v>1180</v>
      </c>
      <c r="D12" s="243" t="s">
        <v>1136</v>
      </c>
      <c r="E12" s="244">
        <v>1</v>
      </c>
      <c r="F12" s="245"/>
      <c r="G12" s="245">
        <f>F12*E12</f>
        <v>0</v>
      </c>
    </row>
    <row r="13" spans="1:7" s="233" customFormat="1" ht="13.5" customHeight="1" thickBot="1">
      <c r="A13" s="246">
        <v>2</v>
      </c>
      <c r="B13" s="247" t="s">
        <v>1181</v>
      </c>
      <c r="C13" s="247" t="s">
        <v>1182</v>
      </c>
      <c r="D13" s="247" t="s">
        <v>1136</v>
      </c>
      <c r="E13" s="248">
        <v>1</v>
      </c>
      <c r="F13" s="249"/>
      <c r="G13" s="245">
        <f>F13*E13</f>
        <v>0</v>
      </c>
    </row>
    <row r="14" spans="1:7" s="233" customFormat="1" ht="13.5" customHeight="1">
      <c r="A14" s="246">
        <v>3</v>
      </c>
      <c r="B14" s="247" t="s">
        <v>1183</v>
      </c>
      <c r="C14" s="247" t="s">
        <v>1184</v>
      </c>
      <c r="D14" s="247" t="s">
        <v>1136</v>
      </c>
      <c r="E14" s="248">
        <v>1</v>
      </c>
      <c r="F14" s="249"/>
      <c r="G14" s="245">
        <f>F14*E14</f>
        <v>0</v>
      </c>
    </row>
    <row r="15" spans="1:7" s="233" customFormat="1" ht="21" customHeight="1">
      <c r="A15" s="250"/>
      <c r="B15" s="251"/>
      <c r="C15" s="251" t="s">
        <v>981</v>
      </c>
      <c r="D15" s="251"/>
      <c r="E15" s="252"/>
      <c r="F15" s="253"/>
      <c r="G15" s="254">
        <f>SUM(G12:G14)</f>
        <v>0</v>
      </c>
    </row>
  </sheetData>
  <sheetProtection/>
  <printOptions/>
  <pageMargins left="0.39375001192092896" right="0.39375001192092896" top="0.7875000238418579" bottom="0.7875000238418579" header="0" footer="0"/>
  <pageSetup fitToHeight="100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F11" sqref="F11:F39"/>
    </sheetView>
  </sheetViews>
  <sheetFormatPr defaultColWidth="8.00390625" defaultRowHeight="12" customHeight="1"/>
  <cols>
    <col min="1" max="1" width="3.28125" style="229" customWidth="1"/>
    <col min="2" max="2" width="10.28125" style="229" customWidth="1"/>
    <col min="3" max="3" width="42.7109375" style="229" customWidth="1"/>
    <col min="4" max="4" width="4.7109375" style="229" customWidth="1"/>
    <col min="5" max="5" width="9.7109375" style="229" customWidth="1"/>
    <col min="6" max="6" width="9.8515625" style="229" customWidth="1"/>
    <col min="7" max="7" width="11.8515625" style="229" customWidth="1"/>
    <col min="8" max="16384" width="8.00390625" style="229" customWidth="1"/>
  </cols>
  <sheetData>
    <row r="1" spans="1:7" s="209" customFormat="1" ht="17.25" customHeight="1">
      <c r="A1" s="207" t="s">
        <v>1103</v>
      </c>
      <c r="B1" s="208"/>
      <c r="C1" s="208"/>
      <c r="D1" s="208"/>
      <c r="E1" s="208"/>
      <c r="F1" s="208"/>
      <c r="G1" s="208"/>
    </row>
    <row r="2" spans="1:7" s="209" customFormat="1" ht="12" customHeight="1">
      <c r="A2" s="210" t="s">
        <v>1104</v>
      </c>
      <c r="B2" s="208"/>
      <c r="C2" s="208"/>
      <c r="D2" s="208"/>
      <c r="E2" s="208"/>
      <c r="F2" s="208"/>
      <c r="G2" s="208"/>
    </row>
    <row r="3" spans="1:7" s="209" customFormat="1" ht="12" customHeight="1">
      <c r="A3" s="210" t="s">
        <v>1105</v>
      </c>
      <c r="B3" s="208"/>
      <c r="C3" s="208"/>
      <c r="D3" s="208"/>
      <c r="E3" s="211"/>
      <c r="F3" s="208"/>
      <c r="G3" s="208"/>
    </row>
    <row r="4" spans="1:7" s="209" customFormat="1" ht="12" customHeight="1">
      <c r="A4" s="210"/>
      <c r="B4" s="208"/>
      <c r="C4" s="208"/>
      <c r="D4" s="208"/>
      <c r="E4" s="211"/>
      <c r="F4" s="208"/>
      <c r="G4" s="208"/>
    </row>
    <row r="5" spans="1:7" s="209" customFormat="1" ht="12" customHeight="1">
      <c r="A5" s="211" t="s">
        <v>1106</v>
      </c>
      <c r="B5" s="208"/>
      <c r="C5" s="208"/>
      <c r="D5" s="208"/>
      <c r="E5" s="211" t="s">
        <v>1107</v>
      </c>
      <c r="F5" s="208"/>
      <c r="G5" s="208"/>
    </row>
    <row r="6" spans="1:7" s="209" customFormat="1" ht="12" customHeight="1">
      <c r="A6" s="211" t="s">
        <v>1108</v>
      </c>
      <c r="B6" s="208"/>
      <c r="C6" s="208"/>
      <c r="D6" s="208"/>
      <c r="E6" s="211" t="s">
        <v>1109</v>
      </c>
      <c r="F6" s="208"/>
      <c r="G6" s="208"/>
    </row>
    <row r="7" spans="1:7" s="209" customFormat="1" ht="6" customHeight="1" thickBot="1">
      <c r="A7" s="208"/>
      <c r="B7" s="208"/>
      <c r="C7" s="208"/>
      <c r="D7" s="208"/>
      <c r="E7" s="208"/>
      <c r="F7" s="208"/>
      <c r="G7" s="208"/>
    </row>
    <row r="8" spans="1:7" s="209" customFormat="1" ht="27" customHeight="1" thickBot="1">
      <c r="A8" s="212" t="s">
        <v>1110</v>
      </c>
      <c r="B8" s="212" t="s">
        <v>1111</v>
      </c>
      <c r="C8" s="212" t="s">
        <v>1112</v>
      </c>
      <c r="D8" s="212" t="s">
        <v>1113</v>
      </c>
      <c r="E8" s="212" t="s">
        <v>1114</v>
      </c>
      <c r="F8" s="212" t="s">
        <v>1115</v>
      </c>
      <c r="G8" s="212" t="s">
        <v>1116</v>
      </c>
    </row>
    <row r="9" spans="1:7" s="209" customFormat="1" ht="12" customHeight="1" thickBot="1">
      <c r="A9" s="212" t="s">
        <v>7</v>
      </c>
      <c r="B9" s="212" t="s">
        <v>8</v>
      </c>
      <c r="C9" s="212" t="s">
        <v>9</v>
      </c>
      <c r="D9" s="212" t="s">
        <v>10</v>
      </c>
      <c r="E9" s="212" t="s">
        <v>11</v>
      </c>
      <c r="F9" s="212" t="s">
        <v>12</v>
      </c>
      <c r="G9" s="212" t="s">
        <v>13</v>
      </c>
    </row>
    <row r="10" spans="1:7" s="209" customFormat="1" ht="21" customHeight="1" thickBot="1">
      <c r="A10" s="213"/>
      <c r="B10" s="214" t="s">
        <v>1117</v>
      </c>
      <c r="C10" s="214" t="s">
        <v>1118</v>
      </c>
      <c r="D10" s="214"/>
      <c r="E10" s="215"/>
      <c r="F10" s="216"/>
      <c r="G10" s="216">
        <f>SUM(G11:G40)</f>
        <v>0</v>
      </c>
    </row>
    <row r="11" spans="1:7" s="209" customFormat="1" ht="24" customHeight="1" thickBot="1">
      <c r="A11" s="217">
        <v>1</v>
      </c>
      <c r="B11" s="218" t="s">
        <v>1119</v>
      </c>
      <c r="C11" s="218" t="s">
        <v>1120</v>
      </c>
      <c r="D11" s="218" t="s">
        <v>958</v>
      </c>
      <c r="E11" s="219">
        <v>59940</v>
      </c>
      <c r="F11" s="220"/>
      <c r="G11" s="220">
        <f>F11*E11</f>
        <v>0</v>
      </c>
    </row>
    <row r="12" spans="1:7" s="209" customFormat="1" ht="12" customHeight="1" thickBot="1">
      <c r="A12" s="221">
        <v>4</v>
      </c>
      <c r="B12" s="222" t="s">
        <v>1121</v>
      </c>
      <c r="C12" s="222" t="s">
        <v>1122</v>
      </c>
      <c r="D12" s="222" t="s">
        <v>958</v>
      </c>
      <c r="E12" s="223">
        <v>59940</v>
      </c>
      <c r="F12" s="224"/>
      <c r="G12" s="220">
        <f aca="true" t="shared" si="0" ref="G12:G39">F12*E12</f>
        <v>0</v>
      </c>
    </row>
    <row r="13" spans="1:7" s="209" customFormat="1" ht="24" customHeight="1" thickBot="1">
      <c r="A13" s="221">
        <v>2</v>
      </c>
      <c r="B13" s="222" t="s">
        <v>1123</v>
      </c>
      <c r="C13" s="222" t="s">
        <v>1124</v>
      </c>
      <c r="D13" s="222" t="s">
        <v>958</v>
      </c>
      <c r="E13" s="223">
        <v>8115</v>
      </c>
      <c r="F13" s="224"/>
      <c r="G13" s="220">
        <f t="shared" si="0"/>
        <v>0</v>
      </c>
    </row>
    <row r="14" spans="1:7" s="209" customFormat="1" ht="24" customHeight="1" thickBot="1">
      <c r="A14" s="221">
        <v>0</v>
      </c>
      <c r="B14" s="222" t="s">
        <v>1125</v>
      </c>
      <c r="C14" s="222" t="s">
        <v>1126</v>
      </c>
      <c r="D14" s="222" t="s">
        <v>952</v>
      </c>
      <c r="E14" s="223">
        <v>989</v>
      </c>
      <c r="F14" s="224"/>
      <c r="G14" s="220">
        <f t="shared" si="0"/>
        <v>0</v>
      </c>
    </row>
    <row r="15" spans="1:7" s="209" customFormat="1" ht="12" customHeight="1" thickBot="1">
      <c r="A15" s="221">
        <v>3</v>
      </c>
      <c r="B15" s="222" t="s">
        <v>1127</v>
      </c>
      <c r="C15" s="222" t="s">
        <v>1128</v>
      </c>
      <c r="D15" s="222" t="s">
        <v>954</v>
      </c>
      <c r="E15" s="223">
        <v>685</v>
      </c>
      <c r="F15" s="224"/>
      <c r="G15" s="220">
        <f t="shared" si="0"/>
        <v>0</v>
      </c>
    </row>
    <row r="16" spans="1:7" s="209" customFormat="1" ht="24" customHeight="1" thickBot="1">
      <c r="A16" s="221">
        <v>0</v>
      </c>
      <c r="B16" s="222" t="s">
        <v>1129</v>
      </c>
      <c r="C16" s="222" t="s">
        <v>1130</v>
      </c>
      <c r="D16" s="222" t="s">
        <v>952</v>
      </c>
      <c r="E16" s="223">
        <v>983</v>
      </c>
      <c r="F16" s="224"/>
      <c r="G16" s="220">
        <f t="shared" si="0"/>
        <v>0</v>
      </c>
    </row>
    <row r="17" spans="1:7" s="209" customFormat="1" ht="12" customHeight="1" thickBot="1">
      <c r="A17" s="221">
        <v>0</v>
      </c>
      <c r="B17" s="222" t="s">
        <v>1129</v>
      </c>
      <c r="C17" s="222" t="s">
        <v>1131</v>
      </c>
      <c r="D17" s="222" t="s">
        <v>954</v>
      </c>
      <c r="E17" s="223">
        <v>779</v>
      </c>
      <c r="F17" s="224"/>
      <c r="G17" s="220">
        <f t="shared" si="0"/>
        <v>0</v>
      </c>
    </row>
    <row r="18" spans="1:7" s="209" customFormat="1" ht="12" customHeight="1" thickBot="1">
      <c r="A18" s="221">
        <v>5</v>
      </c>
      <c r="B18" s="222" t="s">
        <v>1132</v>
      </c>
      <c r="C18" s="222" t="s">
        <v>1133</v>
      </c>
      <c r="D18" s="222" t="s">
        <v>952</v>
      </c>
      <c r="E18" s="223">
        <v>214</v>
      </c>
      <c r="F18" s="224"/>
      <c r="G18" s="220">
        <f t="shared" si="0"/>
        <v>0</v>
      </c>
    </row>
    <row r="19" spans="1:7" s="209" customFormat="1" ht="12" customHeight="1" thickBot="1">
      <c r="A19" s="221">
        <v>0</v>
      </c>
      <c r="B19" s="222" t="s">
        <v>1134</v>
      </c>
      <c r="C19" s="222" t="s">
        <v>1135</v>
      </c>
      <c r="D19" s="222" t="s">
        <v>1136</v>
      </c>
      <c r="E19" s="223">
        <v>1</v>
      </c>
      <c r="F19" s="224"/>
      <c r="G19" s="220">
        <f t="shared" si="0"/>
        <v>0</v>
      </c>
    </row>
    <row r="20" spans="1:7" s="209" customFormat="1" ht="24" customHeight="1" thickBot="1">
      <c r="A20" s="221">
        <v>17</v>
      </c>
      <c r="B20" s="222" t="s">
        <v>1137</v>
      </c>
      <c r="C20" s="222" t="s">
        <v>1138</v>
      </c>
      <c r="D20" s="222" t="s">
        <v>1136</v>
      </c>
      <c r="E20" s="223">
        <v>1</v>
      </c>
      <c r="F20" s="224"/>
      <c r="G20" s="220">
        <f t="shared" si="0"/>
        <v>0</v>
      </c>
    </row>
    <row r="21" spans="1:7" s="209" customFormat="1" ht="24" customHeight="1" thickBot="1">
      <c r="A21" s="221">
        <v>0</v>
      </c>
      <c r="B21" s="222" t="s">
        <v>1139</v>
      </c>
      <c r="C21" s="222" t="s">
        <v>1140</v>
      </c>
      <c r="D21" s="222" t="s">
        <v>1136</v>
      </c>
      <c r="E21" s="223">
        <v>12100</v>
      </c>
      <c r="F21" s="224"/>
      <c r="G21" s="220">
        <f t="shared" si="0"/>
        <v>0</v>
      </c>
    </row>
    <row r="22" spans="1:7" s="209" customFormat="1" ht="24" customHeight="1" thickBot="1">
      <c r="A22" s="221">
        <v>6</v>
      </c>
      <c r="B22" s="222" t="s">
        <v>1141</v>
      </c>
      <c r="C22" s="222" t="s">
        <v>1142</v>
      </c>
      <c r="D22" s="222" t="s">
        <v>952</v>
      </c>
      <c r="E22" s="223">
        <v>414</v>
      </c>
      <c r="F22" s="224"/>
      <c r="G22" s="220">
        <f t="shared" si="0"/>
        <v>0</v>
      </c>
    </row>
    <row r="23" spans="1:7" s="209" customFormat="1" ht="24" customHeight="1" thickBot="1">
      <c r="A23" s="221">
        <v>7</v>
      </c>
      <c r="B23" s="222" t="s">
        <v>1143</v>
      </c>
      <c r="C23" s="222" t="s">
        <v>1144</v>
      </c>
      <c r="D23" s="222" t="s">
        <v>952</v>
      </c>
      <c r="E23" s="223">
        <v>103.4</v>
      </c>
      <c r="F23" s="224"/>
      <c r="G23" s="220">
        <f t="shared" si="0"/>
        <v>0</v>
      </c>
    </row>
    <row r="24" spans="1:7" s="209" customFormat="1" ht="24" customHeight="1" thickBot="1">
      <c r="A24" s="221">
        <v>8</v>
      </c>
      <c r="B24" s="222" t="s">
        <v>1145</v>
      </c>
      <c r="C24" s="222" t="s">
        <v>1146</v>
      </c>
      <c r="D24" s="222" t="s">
        <v>952</v>
      </c>
      <c r="E24" s="223">
        <v>396</v>
      </c>
      <c r="F24" s="224"/>
      <c r="G24" s="220">
        <f t="shared" si="0"/>
        <v>0</v>
      </c>
    </row>
    <row r="25" spans="1:7" s="209" customFormat="1" ht="24" customHeight="1" thickBot="1">
      <c r="A25" s="221">
        <v>0</v>
      </c>
      <c r="B25" s="222" t="s">
        <v>1147</v>
      </c>
      <c r="C25" s="222" t="s">
        <v>1148</v>
      </c>
      <c r="D25" s="222" t="s">
        <v>952</v>
      </c>
      <c r="E25" s="223">
        <v>122</v>
      </c>
      <c r="F25" s="224"/>
      <c r="G25" s="220">
        <f t="shared" si="0"/>
        <v>0</v>
      </c>
    </row>
    <row r="26" spans="1:7" s="209" customFormat="1" ht="12" customHeight="1" thickBot="1">
      <c r="A26" s="221">
        <v>21</v>
      </c>
      <c r="B26" s="222" t="s">
        <v>1149</v>
      </c>
      <c r="C26" s="222" t="s">
        <v>1150</v>
      </c>
      <c r="D26" s="222" t="s">
        <v>954</v>
      </c>
      <c r="E26" s="223">
        <v>120</v>
      </c>
      <c r="F26" s="224"/>
      <c r="G26" s="220">
        <f t="shared" si="0"/>
        <v>0</v>
      </c>
    </row>
    <row r="27" spans="1:7" s="209" customFormat="1" ht="12" customHeight="1" thickBot="1">
      <c r="A27" s="221">
        <v>68</v>
      </c>
      <c r="B27" s="222" t="s">
        <v>1151</v>
      </c>
      <c r="C27" s="222" t="s">
        <v>1152</v>
      </c>
      <c r="D27" s="222" t="s">
        <v>1153</v>
      </c>
      <c r="E27" s="223">
        <v>1</v>
      </c>
      <c r="F27" s="224"/>
      <c r="G27" s="220">
        <f t="shared" si="0"/>
        <v>0</v>
      </c>
    </row>
    <row r="28" spans="1:7" s="209" customFormat="1" ht="12" customHeight="1" thickBot="1">
      <c r="A28" s="221">
        <v>70</v>
      </c>
      <c r="B28" s="222" t="s">
        <v>1154</v>
      </c>
      <c r="C28" s="222" t="s">
        <v>1155</v>
      </c>
      <c r="D28" s="222" t="s">
        <v>954</v>
      </c>
      <c r="E28" s="223">
        <v>36</v>
      </c>
      <c r="F28" s="224"/>
      <c r="G28" s="220">
        <f t="shared" si="0"/>
        <v>0</v>
      </c>
    </row>
    <row r="29" spans="1:7" s="209" customFormat="1" ht="12" customHeight="1" thickBot="1">
      <c r="A29" s="221">
        <v>0</v>
      </c>
      <c r="B29" s="222" t="s">
        <v>1151</v>
      </c>
      <c r="C29" s="222" t="s">
        <v>1156</v>
      </c>
      <c r="D29" s="222" t="s">
        <v>1153</v>
      </c>
      <c r="E29" s="223">
        <v>1</v>
      </c>
      <c r="F29" s="224"/>
      <c r="G29" s="220">
        <f t="shared" si="0"/>
        <v>0</v>
      </c>
    </row>
    <row r="30" spans="1:7" s="209" customFormat="1" ht="33" customHeight="1" thickBot="1">
      <c r="A30" s="221">
        <v>9</v>
      </c>
      <c r="B30" s="222" t="s">
        <v>1157</v>
      </c>
      <c r="C30" s="222" t="s">
        <v>1158</v>
      </c>
      <c r="D30" s="222" t="s">
        <v>1153</v>
      </c>
      <c r="E30" s="223">
        <v>2</v>
      </c>
      <c r="F30" s="224"/>
      <c r="G30" s="220">
        <f t="shared" si="0"/>
        <v>0</v>
      </c>
    </row>
    <row r="31" spans="1:7" s="209" customFormat="1" ht="24" customHeight="1" thickBot="1">
      <c r="A31" s="221">
        <v>10</v>
      </c>
      <c r="B31" s="222" t="s">
        <v>1159</v>
      </c>
      <c r="C31" s="222" t="s">
        <v>1160</v>
      </c>
      <c r="D31" s="222" t="s">
        <v>1153</v>
      </c>
      <c r="E31" s="223">
        <v>2</v>
      </c>
      <c r="F31" s="224"/>
      <c r="G31" s="220">
        <f t="shared" si="0"/>
        <v>0</v>
      </c>
    </row>
    <row r="32" spans="1:7" s="209" customFormat="1" ht="24" customHeight="1" thickBot="1">
      <c r="A32" s="221">
        <v>11</v>
      </c>
      <c r="B32" s="222" t="s">
        <v>1161</v>
      </c>
      <c r="C32" s="222" t="s">
        <v>1162</v>
      </c>
      <c r="D32" s="222" t="s">
        <v>952</v>
      </c>
      <c r="E32" s="223">
        <v>216</v>
      </c>
      <c r="F32" s="224"/>
      <c r="G32" s="220">
        <f t="shared" si="0"/>
        <v>0</v>
      </c>
    </row>
    <row r="33" spans="1:7" s="209" customFormat="1" ht="12" customHeight="1" thickBot="1">
      <c r="A33" s="221">
        <v>71</v>
      </c>
      <c r="B33" s="222" t="s">
        <v>1163</v>
      </c>
      <c r="C33" s="222" t="s">
        <v>1164</v>
      </c>
      <c r="D33" s="222" t="s">
        <v>954</v>
      </c>
      <c r="E33" s="223">
        <v>109</v>
      </c>
      <c r="F33" s="224"/>
      <c r="G33" s="220">
        <f t="shared" si="0"/>
        <v>0</v>
      </c>
    </row>
    <row r="34" spans="1:7" s="209" customFormat="1" ht="24" customHeight="1" thickBot="1">
      <c r="A34" s="221">
        <v>12</v>
      </c>
      <c r="B34" s="222" t="s">
        <v>1165</v>
      </c>
      <c r="C34" s="222" t="s">
        <v>1166</v>
      </c>
      <c r="D34" s="222" t="s">
        <v>1153</v>
      </c>
      <c r="E34" s="223">
        <v>2</v>
      </c>
      <c r="F34" s="224"/>
      <c r="G34" s="220">
        <f t="shared" si="0"/>
        <v>0</v>
      </c>
    </row>
    <row r="35" spans="1:7" s="209" customFormat="1" ht="24" customHeight="1" thickBot="1">
      <c r="A35" s="221">
        <v>13</v>
      </c>
      <c r="B35" s="222" t="s">
        <v>1167</v>
      </c>
      <c r="C35" s="222" t="s">
        <v>1168</v>
      </c>
      <c r="D35" s="222" t="s">
        <v>1153</v>
      </c>
      <c r="E35" s="223">
        <v>2</v>
      </c>
      <c r="F35" s="224"/>
      <c r="G35" s="220">
        <f t="shared" si="0"/>
        <v>0</v>
      </c>
    </row>
    <row r="36" spans="1:7" s="209" customFormat="1" ht="45" customHeight="1" thickBot="1">
      <c r="A36" s="221">
        <v>14</v>
      </c>
      <c r="B36" s="222" t="s">
        <v>1169</v>
      </c>
      <c r="C36" s="222" t="s">
        <v>1170</v>
      </c>
      <c r="D36" s="222" t="s">
        <v>1153</v>
      </c>
      <c r="E36" s="223">
        <v>1</v>
      </c>
      <c r="F36" s="224"/>
      <c r="G36" s="220">
        <f t="shared" si="0"/>
        <v>0</v>
      </c>
    </row>
    <row r="37" spans="1:7" s="209" customFormat="1" ht="12" customHeight="1" thickBot="1">
      <c r="A37" s="221">
        <v>15</v>
      </c>
      <c r="B37" s="222" t="s">
        <v>1171</v>
      </c>
      <c r="C37" s="222" t="s">
        <v>1172</v>
      </c>
      <c r="D37" s="222" t="s">
        <v>1136</v>
      </c>
      <c r="E37" s="223">
        <v>1</v>
      </c>
      <c r="F37" s="224"/>
      <c r="G37" s="220">
        <f t="shared" si="0"/>
        <v>0</v>
      </c>
    </row>
    <row r="38" spans="1:7" s="209" customFormat="1" ht="12" customHeight="1" thickBot="1">
      <c r="A38" s="221">
        <v>16</v>
      </c>
      <c r="B38" s="222" t="s">
        <v>1173</v>
      </c>
      <c r="C38" s="222" t="s">
        <v>1174</v>
      </c>
      <c r="D38" s="222" t="s">
        <v>1136</v>
      </c>
      <c r="E38" s="223">
        <v>1</v>
      </c>
      <c r="F38" s="224"/>
      <c r="G38" s="220">
        <f t="shared" si="0"/>
        <v>0</v>
      </c>
    </row>
    <row r="39" spans="1:7" s="209" customFormat="1" ht="24" customHeight="1" thickBot="1">
      <c r="A39" s="225">
        <v>69</v>
      </c>
      <c r="B39" s="226" t="s">
        <v>1175</v>
      </c>
      <c r="C39" s="226" t="s">
        <v>1176</v>
      </c>
      <c r="D39" s="226" t="s">
        <v>1153</v>
      </c>
      <c r="E39" s="227">
        <v>6</v>
      </c>
      <c r="F39" s="228"/>
      <c r="G39" s="220">
        <f t="shared" si="0"/>
        <v>0</v>
      </c>
    </row>
    <row r="41" ht="12" customHeight="1">
      <c r="G41" s="230"/>
    </row>
  </sheetData>
  <sheetProtection/>
  <printOptions/>
  <pageMargins left="0.39375001192092896" right="0.39375001192092896" top="0.7875000238418579" bottom="0.7875000238418579" header="0" footer="0"/>
  <pageSetup fitToHeight="1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</cp:lastModifiedBy>
  <dcterms:created xsi:type="dcterms:W3CDTF">2016-05-10T10:47:25Z</dcterms:created>
  <dcterms:modified xsi:type="dcterms:W3CDTF">2016-05-10T10:52:40Z</dcterms:modified>
  <cp:category/>
  <cp:version/>
  <cp:contentType/>
  <cp:contentStatus/>
</cp:coreProperties>
</file>